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64a77922effcdf/Documents/CV Tirta Kusuma/20240725 Dempsey Hill/RAB/"/>
    </mc:Choice>
  </mc:AlternateContent>
  <xr:revisionPtr revIDLastSave="4" documentId="11_7E0FA5976FEEAF3B92D3CDA09658FF07A1E284A0" xr6:coauthVersionLast="47" xr6:coauthVersionMax="47" xr10:uidLastSave="{13397C5E-6635-4D4F-BF6C-B399F0AC13DD}"/>
  <bookViews>
    <workbookView xWindow="-108" yWindow="-108" windowWidth="23256" windowHeight="12576" firstSheet="4" activeTab="7" xr2:uid="{00000000-000D-0000-FFFF-FFFF00000000}"/>
  </bookViews>
  <sheets>
    <sheet name="REKAP MAPLE" sheetId="47" r:id="rId1"/>
    <sheet name="REKAP MAPLE POOL" sheetId="56" r:id="rId2"/>
    <sheet name="REKAP MAPLE ROOFTOP" sheetId="57" r:id="rId3"/>
    <sheet name="REKAP MAPLE POOL ROOF" sheetId="52" r:id="rId4"/>
    <sheet name="BQ MAPLE" sheetId="46" r:id="rId5"/>
    <sheet name="BQ MAPLE POOL" sheetId="54" r:id="rId6"/>
    <sheet name="BQ MAPLE ROOFTOP" sheetId="55" r:id="rId7"/>
    <sheet name="BQ MAPLE POOL ROOFTOP" sheetId="51" r:id="rId8"/>
    <sheet name="POOL" sheetId="53" r:id="rId9"/>
    <sheet name="Analisa" sheetId="12" r:id="rId10"/>
    <sheet name="AN BETON TYPE MAPLE" sheetId="37" r:id="rId11"/>
    <sheet name="AN KUSEN MAPLE" sheetId="4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</externalReferences>
  <definedNames>
    <definedName name="___________________________MMM19">'[1]4-Basic Price'!$F$71</definedName>
    <definedName name="__________________________MMM19">'[2]4-Basic Price'!$F$69</definedName>
    <definedName name="_________________________DIV1">[1]BOQ!$G$19</definedName>
    <definedName name="_________________________DIV10">[1]BOQ!$G$312</definedName>
    <definedName name="_________________________DIV2">[1]BOQ!$G$37</definedName>
    <definedName name="_________________________DIV5">[1]BOQ!$G$86</definedName>
    <definedName name="_________________________DIV7">[1]BOQ!$G$225</definedName>
    <definedName name="_________________________DIV8">[1]BOQ!$G$275</definedName>
    <definedName name="_________________________DIV9">[1]BOQ!$G$301</definedName>
    <definedName name="_________________________LLL01">'[1]4-Basic Price'!$F$8</definedName>
    <definedName name="_________________________LLL03">'[3]4-Basic Price'!$F$10</definedName>
    <definedName name="_________________________MMM10">'[2]4-Basic Price'!$F$57</definedName>
    <definedName name="_________________________MMM12">'[2]4-Basic Price'!$F$60</definedName>
    <definedName name="_________________________MMM16">'[2]4-Basic Price'!$F$65</definedName>
    <definedName name="_________________________MMM18">'[3]4-Basic Price'!$F$68</definedName>
    <definedName name="_________________________MMM19">'[3]4-Basic Price'!$F$69</definedName>
    <definedName name="_________________________MMM26">'[2]4-Basic Price'!$F$76</definedName>
    <definedName name="_________________________MMM27">'[2]4-Basic Price'!$F$77</definedName>
    <definedName name="_________________________MMM37">'[2]4-Basic Price'!$F$88</definedName>
    <definedName name="_________________________MMM39">'[2]4-Basic Price'!$F$89</definedName>
    <definedName name="_________________________MMM44">'[2]4-Basic Price'!$F$96</definedName>
    <definedName name="_________________________MMM47">'[2]4-Basic Price'!$F$99</definedName>
    <definedName name="_________________________MMM48">'[3]4-Basic Price'!$F$100</definedName>
    <definedName name="________________________DIV1">[2]BOQ!$G$29</definedName>
    <definedName name="________________________DIV10">[2]BOQ!$G$384</definedName>
    <definedName name="________________________DIV2">[2]BOQ!$G$54</definedName>
    <definedName name="________________________DIV3">[2]BOQ!$G$78</definedName>
    <definedName name="________________________DIV4">[2]BOQ!$G$91</definedName>
    <definedName name="________________________DIV5">[2]BOQ!$G$108</definedName>
    <definedName name="________________________DIV6">[1]BOQ!$G$124</definedName>
    <definedName name="________________________DIV7">[2]BOQ!$G$289</definedName>
    <definedName name="________________________DIV8">[2]BOQ!$G$347</definedName>
    <definedName name="________________________DIV9">[2]BOQ!$G$373</definedName>
    <definedName name="________________________EEE02">'[3]5-ALAT(1)'!$AW$9</definedName>
    <definedName name="________________________EEE05">'[3]5-ALAT(1)'!$AW$12</definedName>
    <definedName name="________________________EEE06">'[3]5-ALAT(1)'!$AW$13</definedName>
    <definedName name="________________________EEE07">'[3]5-ALAT(1)'!$AW$14</definedName>
    <definedName name="________________________EEE08">'[3]5-ALAT(1)'!$AW$15</definedName>
    <definedName name="________________________EEE09">'[3]5-ALAT(1)'!$AW$16</definedName>
    <definedName name="________________________EEE10">'[3]5-ALAT(1)'!$AW$17</definedName>
    <definedName name="________________________EEE11">'[3]5-ALAT(1)'!$AW$18</definedName>
    <definedName name="________________________EEE13">'[3]5-ALAT(1)'!$AW$20</definedName>
    <definedName name="________________________EEE15">'[3]5-ALAT(1)'!$AW$22</definedName>
    <definedName name="________________________EEE16">'[3]5-ALAT(1)'!$AW$23</definedName>
    <definedName name="________________________EEE17">'[3]5-ALAT(1)'!$AW$24</definedName>
    <definedName name="________________________EEE22">'[3]5-ALAT(1)'!$AW$29</definedName>
    <definedName name="________________________EEE23">'[3]5-ALAT(1)'!$AW$30</definedName>
    <definedName name="________________________EEE27">'[3]5-ALAT(1)'!$AW$34</definedName>
    <definedName name="________________________EEE29">'[3]5-ALAT(1)'!$AW$36</definedName>
    <definedName name="________________________LLL01">'[3]4-Basic Price'!$F$8</definedName>
    <definedName name="________________________LLL02">'[3]4-Basic Price'!$F$9</definedName>
    <definedName name="________________________LLL03">'[2]4-Basic Price'!$F$10</definedName>
    <definedName name="________________________MMM03">'[2]4-Basic Price'!$F$50</definedName>
    <definedName name="________________________MMM04">'[2]4-Basic Price'!$F$51</definedName>
    <definedName name="________________________MMM10">'[4]Harga bhn dan upah'!$F$60</definedName>
    <definedName name="________________________MMM11">'[2]4-Basic Price'!$F$59</definedName>
    <definedName name="________________________MMM12">'[3]4-Basic Price'!$F$60</definedName>
    <definedName name="________________________MMM16">'[3]4-Basic Price'!$F$65</definedName>
    <definedName name="________________________MMM18">'[2]4-Basic Price'!$F$68</definedName>
    <definedName name="________________________MMM19">'[4]Harga bhn dan upah'!$F$72</definedName>
    <definedName name="________________________MMM26">'[3]4-Basic Price'!$F$76</definedName>
    <definedName name="________________________MMM27">'[3]4-Basic Price'!$F$77</definedName>
    <definedName name="________________________MMM37">'[3]4-Basic Price'!$F$88</definedName>
    <definedName name="________________________MMM39">'[3]4-Basic Price'!$F$89</definedName>
    <definedName name="________________________MMM44">'[3]4-Basic Price'!$F$96</definedName>
    <definedName name="________________________MMM47">'[3]4-Basic Price'!$F$99</definedName>
    <definedName name="________________________MMM48">'[2]4-Basic Price'!$F$100</definedName>
    <definedName name="_______________________DIV1">[3]BOQ!$G$29</definedName>
    <definedName name="_______________________DIV10">[3]BOQ!$G$388</definedName>
    <definedName name="_______________________DIV2">[3]BOQ!$G$54</definedName>
    <definedName name="_______________________DIV3">[3]BOQ!$G$78</definedName>
    <definedName name="_______________________DIV4">[3]BOQ!$G$91</definedName>
    <definedName name="_______________________DIV5">[3]BOQ!$G$108</definedName>
    <definedName name="_______________________DIV6">[3]BOQ!$G$162</definedName>
    <definedName name="_______________________DIV7">[3]BOQ!$G$291</definedName>
    <definedName name="_______________________DIV8">[3]BOQ!$G$351</definedName>
    <definedName name="_______________________DIV9">[3]BOQ!$G$377</definedName>
    <definedName name="_______________________EEE02">'[3]5-ALAT(1)'!$AW$9</definedName>
    <definedName name="_______________________EEE05">'[3]5-ALAT(1)'!$AW$12</definedName>
    <definedName name="_______________________EEE06">'[3]5-ALAT(1)'!$AW$13</definedName>
    <definedName name="_______________________EEE07">'[3]5-ALAT(1)'!$AW$14</definedName>
    <definedName name="_______________________EEE08">'[3]5-ALAT(1)'!$AW$15</definedName>
    <definedName name="_______________________EEE09">'[3]5-ALAT(1)'!$AW$16</definedName>
    <definedName name="_______________________EEE10">'[3]5-ALAT(1)'!$AW$17</definedName>
    <definedName name="_______________________EEE11">'[3]5-ALAT(1)'!$AW$18</definedName>
    <definedName name="_______________________EEE13">'[3]5-ALAT(1)'!$AW$20</definedName>
    <definedName name="_______________________EEE15">'[3]5-ALAT(1)'!$AW$22</definedName>
    <definedName name="_______________________EEE16">'[3]5-ALAT(1)'!$AW$23</definedName>
    <definedName name="_______________________EEE17">'[3]5-ALAT(1)'!$AW$24</definedName>
    <definedName name="_______________________EEE19">'[3]5-ALAT(1)'!$AW$26</definedName>
    <definedName name="_______________________EEE22">'[3]5-ALAT(1)'!$AW$29</definedName>
    <definedName name="_______________________EEE23">'[3]5-ALAT(1)'!$AW$30</definedName>
    <definedName name="_______________________EEE27">'[3]5-ALAT(1)'!$AW$34</definedName>
    <definedName name="_______________________EEE29">'[3]5-ALAT(1)'!$AW$36</definedName>
    <definedName name="_______________________EEE31">'[3]5-ALAT(1)'!$AW$38</definedName>
    <definedName name="_______________________LLL01">'[2]4-Basic Price'!$F$8</definedName>
    <definedName name="_______________________LLL02">'[2]4-Basic Price'!$F$9</definedName>
    <definedName name="_______________________LLL03">'[3]4-Basic Price'!$F$10</definedName>
    <definedName name="_______________________MMM03">'[3]4-Basic Price'!$F$50</definedName>
    <definedName name="_______________________MMM04">'[3]4-Basic Price'!$F$51</definedName>
    <definedName name="_______________________MMM10">'[3]4-Basic Price'!$F$57</definedName>
    <definedName name="_______________________MMM11">'[3]4-Basic Price'!$F$59</definedName>
    <definedName name="_______________________MMM12">'[3]4-Basic Price'!$F$60</definedName>
    <definedName name="_______________________MMM16">'[3]4-Basic Price'!$F$65</definedName>
    <definedName name="_______________________MMM18">'[3]4-Basic Price'!$F$68</definedName>
    <definedName name="_______________________MMM19">'[3]4-Basic Price'!$F$69</definedName>
    <definedName name="_______________________MMM26">'[3]4-Basic Price'!$F$76</definedName>
    <definedName name="_______________________MMM27">'[3]4-Basic Price'!$F$77</definedName>
    <definedName name="_______________________MMM37">'[3]4-Basic Price'!$F$88</definedName>
    <definedName name="_______________________MMM39">'[3]4-Basic Price'!$F$89</definedName>
    <definedName name="_______________________MMM44">'[3]4-Basic Price'!$F$96</definedName>
    <definedName name="_______________________MMM47">'[3]4-Basic Price'!$F$99</definedName>
    <definedName name="_______________________MMM48">'[3]4-Basic Price'!$F$100</definedName>
    <definedName name="______________________DIV1">[3]BOQ!$G$29</definedName>
    <definedName name="______________________DIV10">[3]BOQ!$G$388</definedName>
    <definedName name="______________________DIV2">[3]BOQ!$G$54</definedName>
    <definedName name="______________________DIV3">[3]BOQ!$G$78</definedName>
    <definedName name="______________________DIV4">[3]BOQ!$G$91</definedName>
    <definedName name="______________________DIV5">[3]BOQ!$G$108</definedName>
    <definedName name="______________________DIV6">[3]BOQ!$G$162</definedName>
    <definedName name="______________________DIV7">[3]BOQ!$G$291</definedName>
    <definedName name="______________________DIV8">[3]BOQ!$G$351</definedName>
    <definedName name="______________________DIV9">[3]BOQ!$G$377</definedName>
    <definedName name="______________________EEE02">'[3]5-ALAT(1)'!$AW$9</definedName>
    <definedName name="______________________EEE05">'[3]5-ALAT(1)'!$AW$12</definedName>
    <definedName name="______________________EEE06">'[3]5-ALAT(1)'!$AW$13</definedName>
    <definedName name="______________________EEE07">'[3]5-ALAT(1)'!$AW$14</definedName>
    <definedName name="______________________EEE08">'[3]5-ALAT(1)'!$AW$15</definedName>
    <definedName name="______________________EEE09">'[3]5-ALAT(1)'!$AW$16</definedName>
    <definedName name="______________________EEE10">'[3]5-ALAT(1)'!$AW$17</definedName>
    <definedName name="______________________EEE11">'[3]5-ALAT(1)'!$AW$18</definedName>
    <definedName name="______________________EEE13">'[3]5-ALAT(1)'!$AW$20</definedName>
    <definedName name="______________________EEE15">'[3]5-ALAT(1)'!$AW$22</definedName>
    <definedName name="______________________EEE16">'[3]5-ALAT(1)'!$AW$23</definedName>
    <definedName name="______________________EEE17">'[3]5-ALAT(1)'!$AW$24</definedName>
    <definedName name="______________________EEE19">'[3]5-ALAT(1)'!$AW$26</definedName>
    <definedName name="______________________EEE22">'[3]5-ALAT(1)'!$AW$29</definedName>
    <definedName name="______________________EEE23">'[3]5-ALAT(1)'!$AW$30</definedName>
    <definedName name="______________________EEE27">'[3]5-ALAT(1)'!$AW$34</definedName>
    <definedName name="______________________EEE29">'[3]5-ALAT(1)'!$AW$36</definedName>
    <definedName name="______________________EEE31">'[3]5-ALAT(1)'!$AW$38</definedName>
    <definedName name="______________________LLL01">'[3]4-Basic Price'!$F$8</definedName>
    <definedName name="______________________LLL02">'[3]4-Basic Price'!$F$9</definedName>
    <definedName name="______________________LLL03">'[3]4-Basic Price'!$F$10</definedName>
    <definedName name="______________________MMM03">'[3]4-Basic Price'!$F$50</definedName>
    <definedName name="______________________MMM04">'[3]4-Basic Price'!$F$51</definedName>
    <definedName name="______________________MMM05">'[3]4-Basic Price'!$F$52</definedName>
    <definedName name="______________________MMM10">'[3]4-Basic Price'!$F$57</definedName>
    <definedName name="______________________MMM11">'[3]4-Basic Price'!$F$59</definedName>
    <definedName name="______________________MMM12">'[3]4-Basic Price'!$F$60</definedName>
    <definedName name="______________________MMM16">'[3]4-Basic Price'!$F$65</definedName>
    <definedName name="______________________MMM18">'[3]4-Basic Price'!$F$68</definedName>
    <definedName name="______________________MMM19">'[3]4-Basic Price'!$F$69</definedName>
    <definedName name="______________________MMM26">'[3]4-Basic Price'!$F$76</definedName>
    <definedName name="______________________MMM27">'[3]4-Basic Price'!$F$77</definedName>
    <definedName name="______________________MMM37">'[3]4-Basic Price'!$F$88</definedName>
    <definedName name="______________________MMM39">'[3]4-Basic Price'!$F$89</definedName>
    <definedName name="______________________MMM44">'[3]4-Basic Price'!$F$96</definedName>
    <definedName name="______________________MMM47">'[3]4-Basic Price'!$F$99</definedName>
    <definedName name="______________________MMM48">'[3]4-Basic Price'!$F$100</definedName>
    <definedName name="_____________________DIV1">[3]BOQ!$G$29</definedName>
    <definedName name="_____________________DIV10">[3]BOQ!$G$388</definedName>
    <definedName name="_____________________DIV2">[3]BOQ!$G$54</definedName>
    <definedName name="_____________________DIV3">[3]BOQ!$G$78</definedName>
    <definedName name="_____________________DIV4">[3]BOQ!$G$91</definedName>
    <definedName name="_____________________DIV5">[3]BOQ!$G$108</definedName>
    <definedName name="_____________________DIV6">[3]BOQ!$G$162</definedName>
    <definedName name="_____________________DIV7">[3]BOQ!$G$291</definedName>
    <definedName name="_____________________DIV8">[3]BOQ!$G$351</definedName>
    <definedName name="_____________________DIV9">[3]BOQ!$G$377</definedName>
    <definedName name="_____________________EEE02">'[3]5-ALAT(1)'!$AW$9</definedName>
    <definedName name="_____________________EEE05">'[3]5-ALAT(1)'!$AW$12</definedName>
    <definedName name="_____________________EEE06">'[3]5-ALAT(1)'!$AW$13</definedName>
    <definedName name="_____________________EEE07">'[3]5-ALAT(1)'!$AW$14</definedName>
    <definedName name="_____________________EEE08">'[3]5-ALAT(1)'!$AW$15</definedName>
    <definedName name="_____________________EEE09">'[3]5-ALAT(1)'!$AW$16</definedName>
    <definedName name="_____________________EEE10">'[3]5-ALAT(1)'!$AW$17</definedName>
    <definedName name="_____________________EEE11">'[3]5-ALAT(1)'!$AW$18</definedName>
    <definedName name="_____________________EEE13">'[3]5-ALAT(1)'!$AW$20</definedName>
    <definedName name="_____________________EEE15">'[3]5-ALAT(1)'!$AW$22</definedName>
    <definedName name="_____________________EEE16">'[3]5-ALAT(1)'!$AW$23</definedName>
    <definedName name="_____________________EEE17">'[3]5-ALAT(1)'!$AW$24</definedName>
    <definedName name="_____________________EEE19">'[3]5-ALAT(1)'!$AW$26</definedName>
    <definedName name="_____________________EEE22">'[3]5-ALAT(1)'!$AW$29</definedName>
    <definedName name="_____________________EEE23">'[3]5-ALAT(1)'!$AW$30</definedName>
    <definedName name="_____________________EEE27">'[3]5-ALAT(1)'!$AW$34</definedName>
    <definedName name="_____________________EEE29">'[3]5-ALAT(1)'!$AW$36</definedName>
    <definedName name="_____________________EEE31">'[3]5-ALAT(1)'!$AW$38</definedName>
    <definedName name="_____________________LLL01">'[3]4-Basic Price'!$F$8</definedName>
    <definedName name="_____________________LLL02">'[3]4-Basic Price'!$F$9</definedName>
    <definedName name="_____________________LLL03">'[3]4-Basic Price'!$F$10</definedName>
    <definedName name="_____________________MMM03">'[3]4-Basic Price'!$F$50</definedName>
    <definedName name="_____________________MMM04">'[3]4-Basic Price'!$F$51</definedName>
    <definedName name="_____________________MMM05">'[3]4-Basic Price'!$F$52</definedName>
    <definedName name="_____________________MMM10">'[3]4-Basic Price'!$F$57</definedName>
    <definedName name="_____________________MMM11">'[3]4-Basic Price'!$F$59</definedName>
    <definedName name="_____________________MMM12">'[3]4-Basic Price'!$F$60</definedName>
    <definedName name="_____________________MMM16">'[3]4-Basic Price'!$F$65</definedName>
    <definedName name="_____________________MMM18">'[3]4-Basic Price'!$F$68</definedName>
    <definedName name="_____________________MMM19">'[3]4-Basic Price'!$F$69</definedName>
    <definedName name="_____________________MMM26">'[3]4-Basic Price'!$F$76</definedName>
    <definedName name="_____________________MMM27">'[3]4-Basic Price'!$F$77</definedName>
    <definedName name="_____________________MMM37">'[3]4-Basic Price'!$F$88</definedName>
    <definedName name="_____________________MMM39">'[3]4-Basic Price'!$F$89</definedName>
    <definedName name="_____________________MMM44">'[3]4-Basic Price'!$F$96</definedName>
    <definedName name="_____________________MMM47">'[3]4-Basic Price'!$F$99</definedName>
    <definedName name="_____________________MMM48">'[3]4-Basic Price'!$F$100</definedName>
    <definedName name="____________________DIV1">[3]BOQ!$G$29</definedName>
    <definedName name="____________________DIV10">[3]BOQ!$G$388</definedName>
    <definedName name="____________________DIV2">[3]BOQ!$G$54</definedName>
    <definedName name="____________________DIV3">[3]BOQ!$G$78</definedName>
    <definedName name="____________________DIV4">[3]BOQ!$G$91</definedName>
    <definedName name="____________________DIV5">[3]BOQ!$G$108</definedName>
    <definedName name="____________________DIV6">[3]BOQ!$G$162</definedName>
    <definedName name="____________________DIV7">[3]BOQ!$G$291</definedName>
    <definedName name="____________________DIV8">[3]BOQ!$G$351</definedName>
    <definedName name="____________________DIV9">[3]BOQ!$G$377</definedName>
    <definedName name="____________________EEE02">'[3]5-ALAT(1)'!$AW$9</definedName>
    <definedName name="____________________EEE05">'[3]5-ALAT(1)'!$AW$12</definedName>
    <definedName name="____________________EEE06">'[3]5-ALAT(1)'!$AW$13</definedName>
    <definedName name="____________________EEE07">'[3]5-ALAT(1)'!$AW$14</definedName>
    <definedName name="____________________EEE08">'[3]5-ALAT(1)'!$AW$15</definedName>
    <definedName name="____________________EEE09">'[3]5-ALAT(1)'!$AW$16</definedName>
    <definedName name="____________________EEE10">'[3]5-ALAT(1)'!$AW$17</definedName>
    <definedName name="____________________EEE11">'[3]5-ALAT(1)'!$AW$18</definedName>
    <definedName name="____________________EEE13">'[3]5-ALAT(1)'!$AW$20</definedName>
    <definedName name="____________________EEE15">'[3]5-ALAT(1)'!$AW$22</definedName>
    <definedName name="____________________EEE16">'[3]5-ALAT(1)'!$AW$23</definedName>
    <definedName name="____________________EEE17">'[3]5-ALAT(1)'!$AW$24</definedName>
    <definedName name="____________________EEE19">'[3]5-ALAT(1)'!$AW$26</definedName>
    <definedName name="____________________EEE22">'[3]5-ALAT(1)'!$AW$29</definedName>
    <definedName name="____________________EEE23">'[3]5-ALAT(1)'!$AW$30</definedName>
    <definedName name="____________________EEE27">'[3]5-ALAT(1)'!$AW$34</definedName>
    <definedName name="____________________EEE29">'[3]5-ALAT(1)'!$AW$36</definedName>
    <definedName name="____________________EEE31">'[3]5-ALAT(1)'!$AW$38</definedName>
    <definedName name="____________________LLL01">'[3]4-Basic Price'!$F$8</definedName>
    <definedName name="____________________LLL02">'[3]4-Basic Price'!$F$9</definedName>
    <definedName name="____________________LLL03">'[3]4-Basic Price'!$F$10</definedName>
    <definedName name="____________________MMM03">'[3]4-Basic Price'!$F$50</definedName>
    <definedName name="____________________MMM04">'[3]4-Basic Price'!$F$51</definedName>
    <definedName name="____________________MMM05">'[3]4-Basic Price'!$F$52</definedName>
    <definedName name="____________________MMM10">'[3]4-Basic Price'!$F$57</definedName>
    <definedName name="____________________MMM11">'[3]4-Basic Price'!$F$59</definedName>
    <definedName name="____________________MMM12">'[3]4-Basic Price'!$F$60</definedName>
    <definedName name="____________________MMM16">'[3]4-Basic Price'!$F$65</definedName>
    <definedName name="____________________MMM18">'[3]4-Basic Price'!$F$68</definedName>
    <definedName name="____________________MMM19">'[3]4-Basic Price'!$F$69</definedName>
    <definedName name="____________________MMM26">'[3]4-Basic Price'!$F$76</definedName>
    <definedName name="____________________MMM27">'[3]4-Basic Price'!$F$77</definedName>
    <definedName name="____________________MMM37">'[3]4-Basic Price'!$F$88</definedName>
    <definedName name="____________________MMM39">'[3]4-Basic Price'!$F$89</definedName>
    <definedName name="____________________MMM44">'[3]4-Basic Price'!$F$96</definedName>
    <definedName name="____________________MMM47">'[3]4-Basic Price'!$F$99</definedName>
    <definedName name="____________________MMM48">'[3]4-Basic Price'!$F$100</definedName>
    <definedName name="___________________DIV1">[3]BOQ!$G$29</definedName>
    <definedName name="___________________DIV10">[3]BOQ!$G$388</definedName>
    <definedName name="___________________DIV2">[3]BOQ!$G$54</definedName>
    <definedName name="___________________DIV3">[3]BOQ!$G$78</definedName>
    <definedName name="___________________DIV4">[3]BOQ!$G$91</definedName>
    <definedName name="___________________DIV5">[3]BOQ!$G$108</definedName>
    <definedName name="___________________DIV6">[3]BOQ!$G$162</definedName>
    <definedName name="___________________DIV7">[3]BOQ!$G$291</definedName>
    <definedName name="___________________DIV8">[3]BOQ!$G$351</definedName>
    <definedName name="___________________DIV9">[3]BOQ!$G$377</definedName>
    <definedName name="___________________EEE02">'[3]5-ALAT(1)'!$AW$9</definedName>
    <definedName name="___________________EEE05">'[3]5-ALAT(1)'!$AW$12</definedName>
    <definedName name="___________________EEE06">'[3]5-ALAT(1)'!$AW$13</definedName>
    <definedName name="___________________EEE07">'[3]5-ALAT(1)'!$AW$14</definedName>
    <definedName name="___________________EEE08">'[3]5-ALAT(1)'!$AW$15</definedName>
    <definedName name="___________________EEE09">'[3]5-ALAT(1)'!$AW$16</definedName>
    <definedName name="___________________EEE10">'[3]5-ALAT(1)'!$AW$17</definedName>
    <definedName name="___________________EEE11">'[3]5-ALAT(1)'!$AW$18</definedName>
    <definedName name="___________________EEE13">'[3]5-ALAT(1)'!$AW$20</definedName>
    <definedName name="___________________EEE15">'[3]5-ALAT(1)'!$AW$22</definedName>
    <definedName name="___________________EEE16">'[3]5-ALAT(1)'!$AW$23</definedName>
    <definedName name="___________________EEE17">'[3]5-ALAT(1)'!$AW$24</definedName>
    <definedName name="___________________EEE19">'[3]5-ALAT(1)'!$AW$26</definedName>
    <definedName name="___________________EEE22">'[3]5-ALAT(1)'!$AW$29</definedName>
    <definedName name="___________________EEE23">'[3]5-ALAT(1)'!$AW$30</definedName>
    <definedName name="___________________EEE27">'[3]5-ALAT(1)'!$AW$34</definedName>
    <definedName name="___________________EEE29">'[3]5-ALAT(1)'!$AW$36</definedName>
    <definedName name="___________________EEE31">'[3]5-ALAT(1)'!$AW$38</definedName>
    <definedName name="___________________LLL01">'[3]4-Basic Price'!$F$8</definedName>
    <definedName name="___________________LLL02">'[3]4-Basic Price'!$F$9</definedName>
    <definedName name="___________________LLL03">'[3]4-Basic Price'!$F$10</definedName>
    <definedName name="___________________MMM03">'[3]4-Basic Price'!$F$50</definedName>
    <definedName name="___________________MMM04">'[3]4-Basic Price'!$F$51</definedName>
    <definedName name="___________________MMM05">'[3]4-Basic Price'!$F$52</definedName>
    <definedName name="___________________MMM10">'[3]4-Basic Price'!$F$57</definedName>
    <definedName name="___________________MMM11">'[3]4-Basic Price'!$F$59</definedName>
    <definedName name="___________________MMM12">'[3]4-Basic Price'!$F$60</definedName>
    <definedName name="___________________MMM16">'[3]4-Basic Price'!$F$65</definedName>
    <definedName name="___________________MMM18">'[3]4-Basic Price'!$F$68</definedName>
    <definedName name="___________________MMM19">'[3]4-Basic Price'!$F$69</definedName>
    <definedName name="___________________MMM26">'[3]4-Basic Price'!$F$76</definedName>
    <definedName name="___________________MMM27">'[3]4-Basic Price'!$F$77</definedName>
    <definedName name="___________________MMM37">'[3]4-Basic Price'!$F$88</definedName>
    <definedName name="___________________MMM39">'[3]4-Basic Price'!$F$89</definedName>
    <definedName name="___________________MMM44">'[3]4-Basic Price'!$F$96</definedName>
    <definedName name="___________________MMM47">'[3]4-Basic Price'!$F$99</definedName>
    <definedName name="___________________MMM48">'[3]4-Basic Price'!$F$100</definedName>
    <definedName name="__________________DIV1">[3]BOQ!$G$29</definedName>
    <definedName name="__________________DIV10">[3]BOQ!$G$388</definedName>
    <definedName name="__________________DIV2">[3]BOQ!$G$54</definedName>
    <definedName name="__________________DIV3">[3]BOQ!$G$78</definedName>
    <definedName name="__________________DIV4">[3]BOQ!$G$91</definedName>
    <definedName name="__________________DIV5">[3]BOQ!$G$108</definedName>
    <definedName name="__________________DIV6">[3]BOQ!$G$162</definedName>
    <definedName name="__________________DIV7">[3]BOQ!$G$291</definedName>
    <definedName name="__________________DIV8">[3]BOQ!$G$351</definedName>
    <definedName name="__________________DIV9">[3]BOQ!$G$377</definedName>
    <definedName name="__________________EEE02">'[2]5-ALAT(1)'!$AX$9</definedName>
    <definedName name="__________________EEE05">'[2]5-ALAT(1)'!$AX$12</definedName>
    <definedName name="__________________EEE06">'[2]5-ALAT(1)'!$AX$13</definedName>
    <definedName name="__________________EEE07">'[2]5-ALAT(1)'!$AX$14</definedName>
    <definedName name="__________________EEE08">'[2]5-ALAT(1)'!$AX$15</definedName>
    <definedName name="__________________EEE09">'[2]5-ALAT(1)'!$AX$16</definedName>
    <definedName name="__________________EEE10">'[2]5-ALAT(1)'!$AX$17</definedName>
    <definedName name="__________________EEE11">'[2]5-ALAT(1)'!$AX$18</definedName>
    <definedName name="__________________EEE13">'[2]5-ALAT(1)'!$AX$20</definedName>
    <definedName name="__________________EEE15">'[2]5-ALAT(1)'!$AX$22</definedName>
    <definedName name="__________________EEE16">'[2]5-ALAT(1)'!$AX$23</definedName>
    <definedName name="__________________EEE17">'[2]5-ALAT(1)'!$AX$24</definedName>
    <definedName name="__________________EEE19">'[3]5-ALAT(1)'!$AW$26</definedName>
    <definedName name="__________________EEE22">'[2]5-ALAT(1)'!$AX$29</definedName>
    <definedName name="__________________EEE23">'[2]5-ALAT(1)'!$AX$30</definedName>
    <definedName name="__________________EEE27">'[2]5-ALAT(1)'!$AX$34</definedName>
    <definedName name="__________________EEE29">'[2]5-ALAT(1)'!$AX$36</definedName>
    <definedName name="__________________EEE31">'[3]5-ALAT(1)'!$AW$38</definedName>
    <definedName name="__________________LLL01">'[3]4-Basic Price'!$F$8</definedName>
    <definedName name="__________________LLL02">'[3]4-Basic Price'!$F$9</definedName>
    <definedName name="__________________LLL03">'[3]4-Basic Price'!$F$10</definedName>
    <definedName name="__________________MMM03">'[3]4-Basic Price'!$F$50</definedName>
    <definedName name="__________________MMM04">'[3]4-Basic Price'!$F$51</definedName>
    <definedName name="__________________MMM05">'[3]4-Basic Price'!$F$52</definedName>
    <definedName name="__________________MMM10">'[3]4-Basic Price'!$F$57</definedName>
    <definedName name="__________________MMM11">'[3]4-Basic Price'!$F$59</definedName>
    <definedName name="__________________MMM12">'[3]4-Basic Price'!$F$60</definedName>
    <definedName name="__________________MMM16">'[3]4-Basic Price'!$F$65</definedName>
    <definedName name="__________________MMM18">'[3]4-Basic Price'!$F$68</definedName>
    <definedName name="__________________MMM19">'[3]4-Basic Price'!$F$69</definedName>
    <definedName name="__________________MMM26">'[3]4-Basic Price'!$F$76</definedName>
    <definedName name="__________________MMM27">'[3]4-Basic Price'!$F$77</definedName>
    <definedName name="__________________MMM37">'[3]4-Basic Price'!$F$88</definedName>
    <definedName name="__________________MMM39">'[3]4-Basic Price'!$F$89</definedName>
    <definedName name="__________________MMM44">'[3]4-Basic Price'!$F$96</definedName>
    <definedName name="__________________MMM47">'[3]4-Basic Price'!$F$99</definedName>
    <definedName name="__________________MMM48">'[3]4-Basic Price'!$F$100</definedName>
    <definedName name="_________________DIV1">[3]BOQ!$G$29</definedName>
    <definedName name="_________________DIV10">[3]BOQ!$G$388</definedName>
    <definedName name="_________________DIV2">[3]BOQ!$G$54</definedName>
    <definedName name="_________________DIV3">[3]BOQ!$G$78</definedName>
    <definedName name="_________________DIV4">[3]BOQ!$G$91</definedName>
    <definedName name="_________________DIV5">[3]BOQ!$G$108</definedName>
    <definedName name="_________________DIV6">[3]BOQ!$G$162</definedName>
    <definedName name="_________________DIV7">[3]BOQ!$G$291</definedName>
    <definedName name="_________________DIV8">[3]BOQ!$G$351</definedName>
    <definedName name="_________________DIV9">[3]BOQ!$G$377</definedName>
    <definedName name="_________________EEE02">'[3]5-ALAT(1)'!$AW$9</definedName>
    <definedName name="_________________EEE05">'[3]5-ALAT(1)'!$AW$12</definedName>
    <definedName name="_________________EEE06">'[3]5-ALAT(1)'!$AW$13</definedName>
    <definedName name="_________________EEE07">'[3]5-ALAT(1)'!$AW$14</definedName>
    <definedName name="_________________EEE08">'[3]5-ALAT(1)'!$AW$15</definedName>
    <definedName name="_________________EEE09">'[3]5-ALAT(1)'!$AW$16</definedName>
    <definedName name="_________________EEE10">'[3]5-ALAT(1)'!$AW$17</definedName>
    <definedName name="_________________EEE11">'[3]5-ALAT(1)'!$AW$18</definedName>
    <definedName name="_________________EEE13">'[3]5-ALAT(1)'!$AW$20</definedName>
    <definedName name="_________________EEE15">'[3]5-ALAT(1)'!$AW$22</definedName>
    <definedName name="_________________EEE16">'[3]5-ALAT(1)'!$AW$23</definedName>
    <definedName name="_________________EEE17">'[3]5-ALAT(1)'!$AW$24</definedName>
    <definedName name="_________________EEE19">'[2]5-ALAT(1)'!$AX$26</definedName>
    <definedName name="_________________EEE22">'[3]5-ALAT(1)'!$AW$29</definedName>
    <definedName name="_________________EEE23">'[3]5-ALAT(1)'!$AW$30</definedName>
    <definedName name="_________________EEE27">'[3]5-ALAT(1)'!$AW$34</definedName>
    <definedName name="_________________EEE29">'[3]5-ALAT(1)'!$AW$36</definedName>
    <definedName name="_________________EEE31">'[2]5-ALAT(1)'!$AX$38</definedName>
    <definedName name="_________________LLL01">'[3]4-Basic Price'!$F$8</definedName>
    <definedName name="_________________LLL02">'[3]4-Basic Price'!$F$9</definedName>
    <definedName name="_________________LLL03">'[1]4-Basic Price'!$F$10</definedName>
    <definedName name="_________________MMM03">'[3]4-Basic Price'!$F$50</definedName>
    <definedName name="_________________MMM04">'[3]4-Basic Price'!$F$51</definedName>
    <definedName name="_________________MMM05">'[3]4-Basic Price'!$F$52</definedName>
    <definedName name="_________________MMM10">'[3]4-Basic Price'!$F$57</definedName>
    <definedName name="_________________MMM11">'[3]4-Basic Price'!$F$59</definedName>
    <definedName name="_________________MMM18">'[1]4-Basic Price'!$F$70</definedName>
    <definedName name="_________________MMM19">'[5]4-Basic Price'!$F$69</definedName>
    <definedName name="_________________MMM37">'[1]4-Basic Price'!$F$90</definedName>
    <definedName name="_________________MMM39">'[1]4-Basic Price'!$F$91</definedName>
    <definedName name="_________________MMM44">'[1]4-Basic Price'!$F$98</definedName>
    <definedName name="________________DIV1">[3]BOQ!$G$29</definedName>
    <definedName name="________________DIV10">[3]BOQ!$G$388</definedName>
    <definedName name="________________DIV2">[3]BOQ!$G$54</definedName>
    <definedName name="________________DIV3">[3]BOQ!$G$78</definedName>
    <definedName name="________________DIV4">[3]BOQ!$G$91</definedName>
    <definedName name="________________DIV5">[3]BOQ!$G$108</definedName>
    <definedName name="________________DIV6">[3]BOQ!$G$162</definedName>
    <definedName name="________________DIV7">[3]BOQ!$G$291</definedName>
    <definedName name="________________DIV8">[3]BOQ!$G$351</definedName>
    <definedName name="________________DIV9">[3]BOQ!$G$377</definedName>
    <definedName name="________________EEE02">'[3]5-ALAT(1)'!$AW$9</definedName>
    <definedName name="________________EEE05">'[3]5-ALAT(1)'!$AW$12</definedName>
    <definedName name="________________EEE06">'[3]5-ALAT(1)'!$AW$13</definedName>
    <definedName name="________________EEE07">'[3]5-ALAT(1)'!$AW$14</definedName>
    <definedName name="________________EEE08">'[3]5-ALAT(1)'!$AW$15</definedName>
    <definedName name="________________EEE09">'[3]5-ALAT(1)'!$AW$16</definedName>
    <definedName name="________________EEE10">'[3]5-ALAT(1)'!$AW$17</definedName>
    <definedName name="________________EEE11">'[3]5-ALAT(1)'!$AW$18</definedName>
    <definedName name="________________EEE13">'[3]5-ALAT(1)'!$AW$20</definedName>
    <definedName name="________________EEE15">'[3]5-ALAT(1)'!$AW$22</definedName>
    <definedName name="________________EEE16">'[3]5-ALAT(1)'!$AW$23</definedName>
    <definedName name="________________EEE17">'[3]5-ALAT(1)'!$AW$24</definedName>
    <definedName name="________________EEE19">'[3]5-ALAT(1)'!$AW$26</definedName>
    <definedName name="________________EEE22">'[3]5-ALAT(1)'!$AW$29</definedName>
    <definedName name="________________EEE23">'[3]5-ALAT(1)'!$AW$30</definedName>
    <definedName name="________________EEE27">'[3]5-ALAT(1)'!$AW$34</definedName>
    <definedName name="________________EEE29">'[3]5-ALAT(1)'!$AW$36</definedName>
    <definedName name="________________EEE31">'[3]5-ALAT(1)'!$AW$38</definedName>
    <definedName name="________________LLL01">'[4]Harga bhn dan upah'!$F$9</definedName>
    <definedName name="________________LLL02">'[1]4-Basic Price'!$F$9</definedName>
    <definedName name="________________LLL03">'[3]4-Basic Price'!$F$10</definedName>
    <definedName name="________________MMM05">'[3]4-Basic Price'!$F$52</definedName>
    <definedName name="________________MMM10">'[5]4-Basic Price'!$F$57</definedName>
    <definedName name="________________MMM12">'[3]4-Basic Price'!$F$60</definedName>
    <definedName name="________________MMM16">'[3]4-Basic Price'!$F$65</definedName>
    <definedName name="________________MMM18">'[3]4-Basic Price'!$F$68</definedName>
    <definedName name="________________MMM19">'[3]4-Basic Price'!$F$69</definedName>
    <definedName name="________________MMM26">'[3]4-Basic Price'!$F$76</definedName>
    <definedName name="________________MMM27">'[3]4-Basic Price'!$F$77</definedName>
    <definedName name="________________MMM37">'[3]4-Basic Price'!$F$88</definedName>
    <definedName name="________________MMM39">'[3]4-Basic Price'!$F$89</definedName>
    <definedName name="________________MMM44">'[3]4-Basic Price'!$F$96</definedName>
    <definedName name="________________MMM47">'[3]4-Basic Price'!$F$99</definedName>
    <definedName name="________________MMM48">'[3]4-Basic Price'!$F$100</definedName>
    <definedName name="_______________DIV1">[2]BOQ!$G$29</definedName>
    <definedName name="_______________DIV10">[2]BOQ!$G$384</definedName>
    <definedName name="_______________DIV2">[2]BOQ!$G$54</definedName>
    <definedName name="_______________DIV3">[2]BOQ!$G$78</definedName>
    <definedName name="_______________DIV4">[2]BOQ!$G$91</definedName>
    <definedName name="_______________DIV5">[2]BOQ!$G$108</definedName>
    <definedName name="_______________DIV6">[2]BOQ!$G$162</definedName>
    <definedName name="_______________DIV7">[2]BOQ!$G$289</definedName>
    <definedName name="_______________DIV8">[2]BOQ!$G$347</definedName>
    <definedName name="_______________DIV9">[2]BOQ!$G$373</definedName>
    <definedName name="_______________EEE02">'[3]5-ALAT(1)'!$AW$9</definedName>
    <definedName name="_______________EEE05">'[3]5-ALAT(1)'!$AW$12</definedName>
    <definedName name="_______________EEE06">'[3]5-ALAT(1)'!$AW$13</definedName>
    <definedName name="_______________EEE07">'[3]5-ALAT(1)'!$AW$14</definedName>
    <definedName name="_______________EEE08">'[3]5-ALAT(1)'!$AW$15</definedName>
    <definedName name="_______________EEE09">'[3]5-ALAT(1)'!$AW$16</definedName>
    <definedName name="_______________EEE10">'[3]5-ALAT(1)'!$AW$17</definedName>
    <definedName name="_______________EEE11">'[3]5-ALAT(1)'!$AW$18</definedName>
    <definedName name="_______________EEE13">'[3]5-ALAT(1)'!$AW$20</definedName>
    <definedName name="_______________EEE15">'[3]5-ALAT(1)'!$AW$22</definedName>
    <definedName name="_______________EEE16">'[3]5-ALAT(1)'!$AW$23</definedName>
    <definedName name="_______________EEE17">'[3]5-ALAT(1)'!$AW$24</definedName>
    <definedName name="_______________EEE19">'[3]5-ALAT(1)'!$AW$26</definedName>
    <definedName name="_______________EEE22">'[3]5-ALAT(1)'!$AW$29</definedName>
    <definedName name="_______________EEE23">'[3]5-ALAT(1)'!$AW$30</definedName>
    <definedName name="_______________EEE27">'[3]5-ALAT(1)'!$AW$34</definedName>
    <definedName name="_______________EEE29">'[3]5-ALAT(1)'!$AW$36</definedName>
    <definedName name="_______________EEE31">'[3]5-ALAT(1)'!$AW$38</definedName>
    <definedName name="_______________LLL01">'[3]4-Basic Price'!$F$8</definedName>
    <definedName name="_______________LLL02">'[3]4-Basic Price'!$F$9</definedName>
    <definedName name="_______________LLL03">'[6]4-Basic Price'!$F$10</definedName>
    <definedName name="_______________MMM03">'[3]4-Basic Price'!$F$50</definedName>
    <definedName name="_______________MMM04">'[3]4-Basic Price'!$F$51</definedName>
    <definedName name="_______________MMM10">'[3]4-Basic Price'!$F$57</definedName>
    <definedName name="_______________MMM11">'[3]4-Basic Price'!$F$59</definedName>
    <definedName name="_______________MMM12">'[3]4-Basic Price'!$F$60</definedName>
    <definedName name="_______________MMM16">'[3]4-Basic Price'!$F$65</definedName>
    <definedName name="_______________MMM18">'[6]4-Basic Price'!$F$71</definedName>
    <definedName name="_______________MMM19">'[6]4-Basic Price'!$F$72</definedName>
    <definedName name="_______________MMM26">'[3]4-Basic Price'!$F$76</definedName>
    <definedName name="_______________MMM27">'[3]4-Basic Price'!$F$77</definedName>
    <definedName name="_______________MMM37">'[3]4-Basic Price'!$F$88</definedName>
    <definedName name="_______________MMM39">'[3]4-Basic Price'!$F$89</definedName>
    <definedName name="_______________MMM44">'[3]4-Basic Price'!$F$96</definedName>
    <definedName name="_______________MMM47">'[3]4-Basic Price'!$F$99</definedName>
    <definedName name="_______________MMM48">'[6]4-Basic Price'!$F$104</definedName>
    <definedName name="______________DIV1">[3]BOQ!$G$29</definedName>
    <definedName name="______________DIV10">[3]BOQ!$G$388</definedName>
    <definedName name="______________DIV2">[3]BOQ!$G$54</definedName>
    <definedName name="______________DIV3">[3]BOQ!$G$78</definedName>
    <definedName name="______________DIV4">[3]BOQ!$G$91</definedName>
    <definedName name="______________DIV5">[3]BOQ!$G$108</definedName>
    <definedName name="______________DIV6">[3]BOQ!$G$162</definedName>
    <definedName name="______________DIV7">[3]BOQ!$G$291</definedName>
    <definedName name="______________DIV8">[3]BOQ!$G$351</definedName>
    <definedName name="______________DIV9">[3]BOQ!$G$377</definedName>
    <definedName name="______________EEE02">'[6]5-ALAT(1)'!$AW$9</definedName>
    <definedName name="______________EEE05">'[6]5-ALAT(1)'!$AW$12</definedName>
    <definedName name="______________EEE06">'[6]5-ALAT(1)'!$AW$13</definedName>
    <definedName name="______________EEE07">'[6]5-ALAT(1)'!$AW$14</definedName>
    <definedName name="______________EEE08">'[6]5-ALAT(1)'!$AW$15</definedName>
    <definedName name="______________EEE09">'[6]5-ALAT(1)'!$AW$16</definedName>
    <definedName name="______________EEE10">'[6]5-ALAT(1)'!$AW$17</definedName>
    <definedName name="______________EEE11">'[6]5-ALAT(1)'!$AW$18</definedName>
    <definedName name="______________EEE13">'[6]5-ALAT(1)'!$AW$20</definedName>
    <definedName name="______________EEE15">'[6]5-ALAT(1)'!$AW$22</definedName>
    <definedName name="______________EEE16">'[6]5-ALAT(1)'!$AW$23</definedName>
    <definedName name="______________EEE17">'[6]5-ALAT(1)'!$AW$24</definedName>
    <definedName name="______________EEE19">'[3]5-ALAT(1)'!$AW$26</definedName>
    <definedName name="______________EEE22">'[6]5-ALAT(1)'!$AW$29</definedName>
    <definedName name="______________EEE23">'[6]5-ALAT(1)'!$AW$30</definedName>
    <definedName name="______________EEE27">'[6]5-ALAT(1)'!$AW$34</definedName>
    <definedName name="______________EEE29">'[6]5-ALAT(1)'!$AW$36</definedName>
    <definedName name="______________EEE31">'[3]5-ALAT(1)'!$AW$38</definedName>
    <definedName name="______________LLL01">'[6]4-Basic Price'!$F$8</definedName>
    <definedName name="______________LLL02">'[6]4-Basic Price'!$F$9</definedName>
    <definedName name="______________LLL03">'[7]4-Basic Price'!$F$10</definedName>
    <definedName name="______________MMM03">'[3]4-Basic Price'!$F$50</definedName>
    <definedName name="______________MMM04">'[3]4-Basic Price'!$F$51</definedName>
    <definedName name="______________MMM05">'[3]4-Basic Price'!$F$52</definedName>
    <definedName name="______________MMM10">'[3]4-Basic Price'!$F$57</definedName>
    <definedName name="______________MMM11">'[3]4-Basic Price'!$F$59</definedName>
    <definedName name="______________MMM12">'[6]4-Basic Price'!$F$63</definedName>
    <definedName name="______________MMM16">'[6]4-Basic Price'!$F$68</definedName>
    <definedName name="______________MMM18">'[7]4-Basic Price'!$F$71</definedName>
    <definedName name="______________MMM19">'[7]4-Basic Price'!$F$72</definedName>
    <definedName name="______________MMM26">'[6]4-Basic Price'!$F$79</definedName>
    <definedName name="______________MMM27">'[6]4-Basic Price'!$F$80</definedName>
    <definedName name="______________MMM37">'[6]4-Basic Price'!$F$92</definedName>
    <definedName name="______________MMM39">'[6]4-Basic Price'!$F$93</definedName>
    <definedName name="______________MMM44">'[6]4-Basic Price'!$F$100</definedName>
    <definedName name="______________MMM47">'[6]4-Basic Price'!$F$103</definedName>
    <definedName name="______________MMM48">'[7]4-Basic Price'!$F$104</definedName>
    <definedName name="_____________EEE02">'[7]5-ALAT(1)'!$AW$9</definedName>
    <definedName name="_____________EEE05">'[7]5-ALAT(1)'!$AW$12</definedName>
    <definedName name="_____________EEE06">'[7]5-ALAT(1)'!$AW$13</definedName>
    <definedName name="_____________EEE07">'[7]5-ALAT(1)'!$AW$14</definedName>
    <definedName name="_____________EEE08">'[7]5-ALAT(1)'!$AW$15</definedName>
    <definedName name="_____________EEE09">'[7]5-ALAT(1)'!$AW$16</definedName>
    <definedName name="_____________EEE10">'[7]5-ALAT(1)'!$AW$17</definedName>
    <definedName name="_____________EEE11">'[7]5-ALAT(1)'!$AW$18</definedName>
    <definedName name="_____________EEE13">'[7]5-ALAT(1)'!$AW$20</definedName>
    <definedName name="_____________EEE15">'[7]5-ALAT(1)'!$AW$22</definedName>
    <definedName name="_____________EEE16">'[7]5-ALAT(1)'!$AW$23</definedName>
    <definedName name="_____________EEE17">'[7]5-ALAT(1)'!$AW$24</definedName>
    <definedName name="_____________EEE19">'[6]5-ALAT(1)'!$AW$26</definedName>
    <definedName name="_____________EEE22">'[7]5-ALAT(1)'!$AW$29</definedName>
    <definedName name="_____________EEE23">'[7]5-ALAT(1)'!$AW$30</definedName>
    <definedName name="_____________EEE27">'[7]5-ALAT(1)'!$AW$34</definedName>
    <definedName name="_____________EEE29">'[7]5-ALAT(1)'!$AW$36</definedName>
    <definedName name="_____________EEE31">'[6]5-ALAT(1)'!$AW$38</definedName>
    <definedName name="_____________LLL01">'[7]4-Basic Price'!$F$8</definedName>
    <definedName name="_____________LLL02">'[7]4-Basic Price'!$F$9</definedName>
    <definedName name="_____________LLL03">'[3]4-Basic Price'!$F$10</definedName>
    <definedName name="_____________MMM03">'[6]4-Basic Price'!$F$53</definedName>
    <definedName name="_____________MMM04">'[6]4-Basic Price'!$F$54</definedName>
    <definedName name="_____________MMM05">'[3]4-Basic Price'!$F$52</definedName>
    <definedName name="_____________MMM10">'[6]4-Basic Price'!$F$60</definedName>
    <definedName name="_____________MMM11">'[6]4-Basic Price'!$F$62</definedName>
    <definedName name="_____________MMM12">'[7]4-Basic Price'!$F$63</definedName>
    <definedName name="_____________MMM16">'[7]4-Basic Price'!$F$68</definedName>
    <definedName name="_____________MMM18">'[3]4-Basic Price'!$F$68</definedName>
    <definedName name="_____________MMM19">'[3]4-Basic Price'!$F$69</definedName>
    <definedName name="_____________MMM26">'[7]4-Basic Price'!$F$79</definedName>
    <definedName name="_____________MMM27">'[7]4-Basic Price'!$F$80</definedName>
    <definedName name="_____________MMM37">'[7]4-Basic Price'!$F$92</definedName>
    <definedName name="_____________MMM39">'[7]4-Basic Price'!$F$93</definedName>
    <definedName name="_____________MMM44">'[7]4-Basic Price'!$F$100</definedName>
    <definedName name="_____________MMM47">'[7]4-Basic Price'!$F$103</definedName>
    <definedName name="_____________MMM48">'[3]4-Basic Price'!$F$100</definedName>
    <definedName name="____________DIV1">[3]BOQ!$G$29</definedName>
    <definedName name="____________DIV10">[3]BOQ!$G$388</definedName>
    <definedName name="____________DIV2">[3]BOQ!$G$54</definedName>
    <definedName name="____________DIV3">[3]BOQ!$G$78</definedName>
    <definedName name="____________DIV4">[3]BOQ!$G$91</definedName>
    <definedName name="____________DIV5">[3]BOQ!$G$108</definedName>
    <definedName name="____________DIV6">[3]BOQ!$G$162</definedName>
    <definedName name="____________DIV7">[3]BOQ!$G$291</definedName>
    <definedName name="____________DIV8">[3]BOQ!$G$351</definedName>
    <definedName name="____________DIV9">[3]BOQ!$G$377</definedName>
    <definedName name="____________EEE02">'[3]5-ALAT(1)'!$AW$9</definedName>
    <definedName name="____________EEE05">'[3]5-ALAT(1)'!$AW$12</definedName>
    <definedName name="____________EEE06">'[3]5-ALAT(1)'!$AW$13</definedName>
    <definedName name="____________EEE07">'[3]5-ALAT(1)'!$AW$14</definedName>
    <definedName name="____________EEE08">'[3]5-ALAT(1)'!$AW$15</definedName>
    <definedName name="____________EEE09">'[3]5-ALAT(1)'!$AW$16</definedName>
    <definedName name="____________EEE10">'[3]5-ALAT(1)'!$AW$17</definedName>
    <definedName name="____________EEE11">'[3]5-ALAT(1)'!$AW$18</definedName>
    <definedName name="____________EEE13">'[3]5-ALAT(1)'!$AW$20</definedName>
    <definedName name="____________EEE15">'[3]5-ALAT(1)'!$AW$22</definedName>
    <definedName name="____________EEE16">'[3]5-ALAT(1)'!$AW$23</definedName>
    <definedName name="____________EEE17">'[3]5-ALAT(1)'!$AW$24</definedName>
    <definedName name="____________EEE19">'[7]5-ALAT(1)'!$AW$26</definedName>
    <definedName name="____________EEE22">'[3]5-ALAT(1)'!$AW$29</definedName>
    <definedName name="____________EEE23">'[3]5-ALAT(1)'!$AW$30</definedName>
    <definedName name="____________EEE27">'[3]5-ALAT(1)'!$AW$34</definedName>
    <definedName name="____________EEE29">'[3]5-ALAT(1)'!$AW$36</definedName>
    <definedName name="____________EEE31">'[7]5-ALAT(1)'!$AW$38</definedName>
    <definedName name="____________LLL01">'[3]4-Basic Price'!$F$8</definedName>
    <definedName name="____________LLL02">'[3]4-Basic Price'!$F$9</definedName>
    <definedName name="____________LLL03">'[3]4-Basic Price'!$F$10</definedName>
    <definedName name="____________MMM03">'[7]4-Basic Price'!$F$53</definedName>
    <definedName name="____________MMM04">'[7]4-Basic Price'!$F$54</definedName>
    <definedName name="____________MMM05">'[3]4-Basic Price'!$F$52</definedName>
    <definedName name="____________MMM10">'[7]4-Basic Price'!$F$60</definedName>
    <definedName name="____________MMM11">'[7]4-Basic Price'!$F$62</definedName>
    <definedName name="____________MMM12">'[3]4-Basic Price'!$F$60</definedName>
    <definedName name="____________MMM16">'[3]4-Basic Price'!$F$65</definedName>
    <definedName name="____________MMM18">'[3]4-Basic Price'!$F$68</definedName>
    <definedName name="____________MMM19">'[3]4-Basic Price'!$F$69</definedName>
    <definedName name="____________MMM26">'[3]4-Basic Price'!$F$76</definedName>
    <definedName name="____________MMM27">'[3]4-Basic Price'!$F$77</definedName>
    <definedName name="____________MMM37">'[3]4-Basic Price'!$F$88</definedName>
    <definedName name="____________MMM39">'[3]4-Basic Price'!$F$89</definedName>
    <definedName name="____________MMM44">'[3]4-Basic Price'!$F$96</definedName>
    <definedName name="____________MMM47">'[3]4-Basic Price'!$F$99</definedName>
    <definedName name="____________MMM48">'[3]4-Basic Price'!$F$100</definedName>
    <definedName name="___________DIV1">[3]BOQ!$G$29</definedName>
    <definedName name="___________DIV10">[3]BOQ!$G$388</definedName>
    <definedName name="___________DIV2">[3]BOQ!$G$54</definedName>
    <definedName name="___________DIV3">[3]BOQ!$G$78</definedName>
    <definedName name="___________DIV4">[3]BOQ!$G$91</definedName>
    <definedName name="___________DIV5">[3]BOQ!$G$108</definedName>
    <definedName name="___________DIV6">[3]BOQ!$G$162</definedName>
    <definedName name="___________DIV7">[3]BOQ!$G$291</definedName>
    <definedName name="___________DIV8">[3]BOQ!$G$351</definedName>
    <definedName name="___________DIV9">[3]BOQ!$G$377</definedName>
    <definedName name="___________EEE02">'[3]5-ALAT(1)'!$AW$9</definedName>
    <definedName name="___________EEE05">'[3]5-ALAT(1)'!$AW$12</definedName>
    <definedName name="___________EEE06">'[3]5-ALAT(1)'!$AW$13</definedName>
    <definedName name="___________EEE07">'[3]5-ALAT(1)'!$AW$14</definedName>
    <definedName name="___________EEE08">'[3]5-ALAT(1)'!$AW$15</definedName>
    <definedName name="___________EEE09">'[3]5-ALAT(1)'!$AW$16</definedName>
    <definedName name="___________EEE10">'[3]5-ALAT(1)'!$AW$17</definedName>
    <definedName name="___________EEE11">'[3]5-ALAT(1)'!$AW$18</definedName>
    <definedName name="___________EEE13">'[3]5-ALAT(1)'!$AW$20</definedName>
    <definedName name="___________EEE15">'[3]5-ALAT(1)'!$AW$22</definedName>
    <definedName name="___________EEE16">'[3]5-ALAT(1)'!$AW$23</definedName>
    <definedName name="___________EEE17">'[3]5-ALAT(1)'!$AW$24</definedName>
    <definedName name="___________EEE19">'[3]5-ALAT(1)'!$AW$26</definedName>
    <definedName name="___________EEE22">'[3]5-ALAT(1)'!$AW$29</definedName>
    <definedName name="___________EEE23">'[3]5-ALAT(1)'!$AW$30</definedName>
    <definedName name="___________EEE27">'[3]5-ALAT(1)'!$AW$34</definedName>
    <definedName name="___________EEE29">'[3]5-ALAT(1)'!$AW$36</definedName>
    <definedName name="___________EEE31">'[3]5-ALAT(1)'!$AW$38</definedName>
    <definedName name="___________LLL01">'[3]4-Basic Price'!$F$8</definedName>
    <definedName name="___________LLL02">'[3]4-Basic Price'!$F$9</definedName>
    <definedName name="___________LLL03">'[3]4-Basic Price'!$F$10</definedName>
    <definedName name="___________MMM03">'[3]4-Basic Price'!$F$50</definedName>
    <definedName name="___________MMM04">'[3]4-Basic Price'!$F$51</definedName>
    <definedName name="___________MMM05">'[3]4-Basic Price'!$F$52</definedName>
    <definedName name="___________MMM10">'[3]4-Basic Price'!$F$57</definedName>
    <definedName name="___________MMM11">'[3]4-Basic Price'!$F$59</definedName>
    <definedName name="___________MMM12">'[3]4-Basic Price'!$F$60</definedName>
    <definedName name="___________MMM16">'[3]4-Basic Price'!$F$65</definedName>
    <definedName name="___________MMM18">'[3]4-Basic Price'!$F$68</definedName>
    <definedName name="___________MMM19">'[3]4-Basic Price'!$F$69</definedName>
    <definedName name="___________MMM26">'[3]4-Basic Price'!$F$76</definedName>
    <definedName name="___________MMM27">'[3]4-Basic Price'!$F$77</definedName>
    <definedName name="___________MMM37">'[3]4-Basic Price'!$F$88</definedName>
    <definedName name="___________MMM39">'[3]4-Basic Price'!$F$89</definedName>
    <definedName name="___________MMM44">'[3]4-Basic Price'!$F$96</definedName>
    <definedName name="___________MMM47">'[3]4-Basic Price'!$F$99</definedName>
    <definedName name="___________MMM48">'[3]4-Basic Price'!$F$100</definedName>
    <definedName name="__________DIV1">[3]BOQ!$G$29</definedName>
    <definedName name="__________DIV10">[3]BOQ!$G$388</definedName>
    <definedName name="__________DIV2">[3]BOQ!$G$54</definedName>
    <definedName name="__________DIV3">[3]BOQ!$G$78</definedName>
    <definedName name="__________DIV4">[3]BOQ!$G$91</definedName>
    <definedName name="__________DIV5">[3]BOQ!$G$108</definedName>
    <definedName name="__________DIV6">[3]BOQ!$G$162</definedName>
    <definedName name="__________DIV7">[3]BOQ!$G$291</definedName>
    <definedName name="__________DIV8">[3]BOQ!$G$351</definedName>
    <definedName name="__________DIV9">[3]BOQ!$G$377</definedName>
    <definedName name="__________EEE02">'[3]5-ALAT(1)'!$AW$9</definedName>
    <definedName name="__________EEE05">'[3]5-ALAT(1)'!$AW$12</definedName>
    <definedName name="__________EEE06">'[3]5-ALAT(1)'!$AW$13</definedName>
    <definedName name="__________EEE07">'[3]5-ALAT(1)'!$AW$14</definedName>
    <definedName name="__________EEE08">'[3]5-ALAT(1)'!$AW$15</definedName>
    <definedName name="__________EEE09">'[3]5-ALAT(1)'!$AW$16</definedName>
    <definedName name="__________EEE10">'[3]5-ALAT(1)'!$AW$17</definedName>
    <definedName name="__________EEE11">'[3]5-ALAT(1)'!$AW$18</definedName>
    <definedName name="__________EEE13">'[3]5-ALAT(1)'!$AW$20</definedName>
    <definedName name="__________EEE15">'[3]5-ALAT(1)'!$AW$22</definedName>
    <definedName name="__________EEE16">'[3]5-ALAT(1)'!$AW$23</definedName>
    <definedName name="__________EEE17">'[3]5-ALAT(1)'!$AW$24</definedName>
    <definedName name="__________EEE19">'[3]5-ALAT(1)'!$AW$26</definedName>
    <definedName name="__________EEE22">'[3]5-ALAT(1)'!$AW$29</definedName>
    <definedName name="__________EEE23">'[3]5-ALAT(1)'!$AW$30</definedName>
    <definedName name="__________EEE27">'[3]5-ALAT(1)'!$AW$34</definedName>
    <definedName name="__________EEE29">'[3]5-ALAT(1)'!$AW$36</definedName>
    <definedName name="__________EEE31">'[3]5-ALAT(1)'!$AW$38</definedName>
    <definedName name="__________LLL01">'[3]4-Basic Price'!$F$8</definedName>
    <definedName name="__________LLL02">'[3]4-Basic Price'!$F$9</definedName>
    <definedName name="__________LLL03">'[3]4-Basic Price'!$F$10</definedName>
    <definedName name="__________MMM03">'[3]4-Basic Price'!$F$50</definedName>
    <definedName name="__________MMM04">'[3]4-Basic Price'!$F$51</definedName>
    <definedName name="__________MMM05">'[3]4-Basic Price'!$F$52</definedName>
    <definedName name="__________MMM10">'[3]4-Basic Price'!$F$57</definedName>
    <definedName name="__________MMM11">'[3]4-Basic Price'!$F$59</definedName>
    <definedName name="__________MMM12">'[3]4-Basic Price'!$F$60</definedName>
    <definedName name="__________MMM16">'[3]4-Basic Price'!$F$65</definedName>
    <definedName name="__________MMM18">'[3]4-Basic Price'!$F$68</definedName>
    <definedName name="__________MMM19">'[3]4-Basic Price'!$F$69</definedName>
    <definedName name="__________MMM26">'[3]4-Basic Price'!$F$76</definedName>
    <definedName name="__________MMM27">'[3]4-Basic Price'!$F$77</definedName>
    <definedName name="__________MMM33">'[2]4-Basic Price'!$F$83</definedName>
    <definedName name="__________MMM37">'[3]4-Basic Price'!$F$88</definedName>
    <definedName name="__________MMM39">'[3]4-Basic Price'!$F$89</definedName>
    <definedName name="__________MMM44">'[3]4-Basic Price'!$F$96</definedName>
    <definedName name="__________MMM47">'[3]4-Basic Price'!$F$99</definedName>
    <definedName name="__________MMM48">'[3]4-Basic Price'!$F$100</definedName>
    <definedName name="_________DIV1">[3]BOQ!$G$29</definedName>
    <definedName name="_________DIV10">[3]BOQ!$G$388</definedName>
    <definedName name="_________DIV2">[3]BOQ!$G$54</definedName>
    <definedName name="_________DIV3">[3]BOQ!$G$78</definedName>
    <definedName name="_________DIV4">[3]BOQ!$G$91</definedName>
    <definedName name="_________DIV5">[3]BOQ!$G$108</definedName>
    <definedName name="_________DIV6">[3]BOQ!$G$162</definedName>
    <definedName name="_________DIV7">[3]BOQ!$G$291</definedName>
    <definedName name="_________DIV8">[3]BOQ!$G$351</definedName>
    <definedName name="_________DIV9">[3]BOQ!$G$377</definedName>
    <definedName name="_________EEE02">'[3]5-ALAT(1)'!$AW$9</definedName>
    <definedName name="_________EEE05">'[3]5-ALAT(1)'!$AW$12</definedName>
    <definedName name="_________EEE06">'[3]5-ALAT(1)'!$AW$13</definedName>
    <definedName name="_________EEE07">'[3]5-ALAT(1)'!$AW$14</definedName>
    <definedName name="_________EEE08">'[3]5-ALAT(1)'!$AW$15</definedName>
    <definedName name="_________EEE09">'[3]5-ALAT(1)'!$AW$16</definedName>
    <definedName name="_________EEE10">'[3]5-ALAT(1)'!$AW$17</definedName>
    <definedName name="_________EEE11">'[3]5-ALAT(1)'!$AW$18</definedName>
    <definedName name="_________EEE13">'[3]5-ALAT(1)'!$AW$20</definedName>
    <definedName name="_________EEE15">'[3]5-ALAT(1)'!$AW$22</definedName>
    <definedName name="_________EEE16">'[3]5-ALAT(1)'!$AW$23</definedName>
    <definedName name="_________EEE17">'[3]5-ALAT(1)'!$AW$24</definedName>
    <definedName name="_________EEE19">'[3]5-ALAT(1)'!$AW$26</definedName>
    <definedName name="_________EEE22">'[3]5-ALAT(1)'!$AW$29</definedName>
    <definedName name="_________EEE23">'[3]5-ALAT(1)'!$AW$30</definedName>
    <definedName name="_________EEE27">'[3]5-ALAT(1)'!$AW$34</definedName>
    <definedName name="_________EEE29">'[3]5-ALAT(1)'!$AW$36</definedName>
    <definedName name="_________EEE31">'[3]5-ALAT(1)'!$AW$38</definedName>
    <definedName name="_________LLL01">'[3]4-Basic Price'!$F$8</definedName>
    <definedName name="_________LLL02">'[3]4-Basic Price'!$F$9</definedName>
    <definedName name="_________LLL03">'[3]4-Basic Price'!$F$10</definedName>
    <definedName name="_________MMM03">'[3]4-Basic Price'!$F$50</definedName>
    <definedName name="_________MMM04">'[3]4-Basic Price'!$F$51</definedName>
    <definedName name="_________MMM05">'[3]4-Basic Price'!$F$52</definedName>
    <definedName name="_________MMM10">'[3]4-Basic Price'!$F$57</definedName>
    <definedName name="_________MMM11">'[3]4-Basic Price'!$F$59</definedName>
    <definedName name="_________MMM12">'[3]4-Basic Price'!$F$60</definedName>
    <definedName name="_________MMM16">'[3]4-Basic Price'!$F$65</definedName>
    <definedName name="_________MMM18">'[3]4-Basic Price'!$F$68</definedName>
    <definedName name="_________MMM19">'[3]4-Basic Price'!$F$69</definedName>
    <definedName name="_________MMM26">'[3]4-Basic Price'!$F$76</definedName>
    <definedName name="_________MMM27">'[3]4-Basic Price'!$F$77</definedName>
    <definedName name="_________MMM33">'[4]Harga bhn dan upah'!$F$86</definedName>
    <definedName name="_________MMM37">'[3]4-Basic Price'!$F$88</definedName>
    <definedName name="_________MMM39">'[3]4-Basic Price'!$F$89</definedName>
    <definedName name="_________MMM44">'[3]4-Basic Price'!$F$96</definedName>
    <definedName name="_________MMM47">'[3]4-Basic Price'!$F$99</definedName>
    <definedName name="_________MMM48">'[3]4-Basic Price'!$F$100</definedName>
    <definedName name="________DIV1">[2]BOQ!$G$29</definedName>
    <definedName name="________DIV10">[2]BOQ!$G$384</definedName>
    <definedName name="________DIV2">[2]BOQ!$G$54</definedName>
    <definedName name="________DIV3">[2]BOQ!$G$78</definedName>
    <definedName name="________DIV4">[2]BOQ!$G$91</definedName>
    <definedName name="________DIV5">[2]BOQ!$G$108</definedName>
    <definedName name="________DIV6">[2]BOQ!$G$162</definedName>
    <definedName name="________DIV7">[2]BOQ!$G$289</definedName>
    <definedName name="________DIV8">[2]BOQ!$G$347</definedName>
    <definedName name="________DIV9">[2]BOQ!$G$373</definedName>
    <definedName name="________EEE02">'[2]5-ALAT(1)'!$AX$9</definedName>
    <definedName name="________EEE05">'[2]5-ALAT(1)'!$AX$12</definedName>
    <definedName name="________EEE06">'[2]5-ALAT(1)'!$AX$13</definedName>
    <definedName name="________EEE07">'[2]5-ALAT(1)'!$AX$14</definedName>
    <definedName name="________EEE08">'[2]5-ALAT(1)'!$AX$15</definedName>
    <definedName name="________EEE09">'[2]5-ALAT(1)'!$AX$16</definedName>
    <definedName name="________EEE10">'[2]5-ALAT(1)'!$AX$17</definedName>
    <definedName name="________EEE11">'[2]5-ALAT(1)'!$AX$18</definedName>
    <definedName name="________EEE13">'[2]5-ALAT(1)'!$AX$20</definedName>
    <definedName name="________EEE15">'[2]5-ALAT(1)'!$AX$22</definedName>
    <definedName name="________EEE16">'[2]5-ALAT(1)'!$AX$23</definedName>
    <definedName name="________EEE17">'[2]5-ALAT(1)'!$AX$24</definedName>
    <definedName name="________EEE19">'[2]5-ALAT(1)'!$AX$26</definedName>
    <definedName name="________EEE22">'[2]5-ALAT(1)'!$AX$29</definedName>
    <definedName name="________EEE23">'[2]5-ALAT(1)'!$AX$30</definedName>
    <definedName name="________EEE27">'[2]5-ALAT(1)'!$AX$34</definedName>
    <definedName name="________EEE29">'[2]5-ALAT(1)'!$AX$36</definedName>
    <definedName name="________EEE31">'[2]5-ALAT(1)'!$AX$38</definedName>
    <definedName name="________LLL01">'[2]4-Basic Price'!$F$8</definedName>
    <definedName name="________LLL02">'[2]4-Basic Price'!$F$9</definedName>
    <definedName name="________LLL03">'[2]4-Basic Price'!$F$10</definedName>
    <definedName name="________MMM03">'[2]4-Basic Price'!$F$50</definedName>
    <definedName name="________MMM04">'[2]4-Basic Price'!$F$51</definedName>
    <definedName name="________MMM05">'[3]4-Basic Price'!$F$52</definedName>
    <definedName name="________MMM10">'[2]4-Basic Price'!$F$57</definedName>
    <definedName name="________MMM11">'[2]4-Basic Price'!$F$59</definedName>
    <definedName name="________MMM12">'[2]4-Basic Price'!$F$60</definedName>
    <definedName name="________MMM16">'[2]4-Basic Price'!$F$65</definedName>
    <definedName name="________MMM18">'[2]4-Basic Price'!$F$68</definedName>
    <definedName name="________MMM19">'[2]4-Basic Price'!$F$69</definedName>
    <definedName name="________MMM26">'[2]4-Basic Price'!$F$76</definedName>
    <definedName name="________MMM27">'[2]4-Basic Price'!$F$77</definedName>
    <definedName name="________MMM33">'[2]4-Basic Price'!$F$83</definedName>
    <definedName name="________MMM37">'[2]4-Basic Price'!$F$88</definedName>
    <definedName name="________MMM39">'[2]4-Basic Price'!$F$89</definedName>
    <definedName name="________MMM44">'[2]4-Basic Price'!$F$96</definedName>
    <definedName name="________MMM47">'[2]4-Basic Price'!$F$99</definedName>
    <definedName name="________MMM48">'[2]4-Basic Price'!$F$100</definedName>
    <definedName name="_______DIV1">[2]BOQ!$G$29</definedName>
    <definedName name="_______DIV10">[2]BOQ!$G$384</definedName>
    <definedName name="_______DIV2">[2]BOQ!$G$54</definedName>
    <definedName name="_______DIV3">[2]BOQ!$G$78</definedName>
    <definedName name="_______DIV4">[2]BOQ!$G$91</definedName>
    <definedName name="_______DIV5">[2]BOQ!$G$108</definedName>
    <definedName name="_______DIV6">[2]BOQ!$G$162</definedName>
    <definedName name="_______DIV7">[2]BOQ!$G$289</definedName>
    <definedName name="_______DIV8">[2]BOQ!$G$347</definedName>
    <definedName name="_______DIV9">[2]BOQ!$G$373</definedName>
    <definedName name="_______EEE02">'[2]5-ALAT(1)'!$AX$9</definedName>
    <definedName name="_______EEE05">'[2]5-ALAT(1)'!$AX$12</definedName>
    <definedName name="_______EEE06">'[2]5-ALAT(1)'!$AX$13</definedName>
    <definedName name="_______EEE07">'[2]5-ALAT(1)'!$AX$14</definedName>
    <definedName name="_______EEE08">'[2]5-ALAT(1)'!$AX$15</definedName>
    <definedName name="_______EEE09">'[2]5-ALAT(1)'!$AX$16</definedName>
    <definedName name="_______EEE10">'[2]5-ALAT(1)'!$AX$17</definedName>
    <definedName name="_______EEE11">'[2]5-ALAT(1)'!$AX$18</definedName>
    <definedName name="_______EEE13">'[2]5-ALAT(1)'!$AX$20</definedName>
    <definedName name="_______EEE15">'[2]5-ALAT(1)'!$AX$22</definedName>
    <definedName name="_______EEE16">'[2]5-ALAT(1)'!$AX$23</definedName>
    <definedName name="_______EEE17">'[2]5-ALAT(1)'!$AX$24</definedName>
    <definedName name="_______EEE19">'[2]5-ALAT(1)'!$AX$26</definedName>
    <definedName name="_______EEE22">'[2]5-ALAT(1)'!$AX$29</definedName>
    <definedName name="_______EEE23">'[2]5-ALAT(1)'!$AX$30</definedName>
    <definedName name="_______EEE27">'[2]5-ALAT(1)'!$AX$34</definedName>
    <definedName name="_______EEE29">'[2]5-ALAT(1)'!$AX$36</definedName>
    <definedName name="_______EEE31">'[2]5-ALAT(1)'!$AX$38</definedName>
    <definedName name="_______LLL01">'[2]4-Basic Price'!$F$8</definedName>
    <definedName name="_______LLL02">'[2]4-Basic Price'!$F$9</definedName>
    <definedName name="_______LLL03">'[2]4-Basic Price'!$F$10</definedName>
    <definedName name="_______MDE35">'[8]Peralatan (2)'!$R$27</definedName>
    <definedName name="_______ME35">'[8]Peralatan (2)'!$R$26</definedName>
    <definedName name="_______MMM03">'[2]4-Basic Price'!$F$50</definedName>
    <definedName name="_______MMM04">'[2]4-Basic Price'!$F$51</definedName>
    <definedName name="_______MMM05">'[3]4-Basic Price'!$F$52</definedName>
    <definedName name="_______MMM10">'[2]4-Basic Price'!$F$57</definedName>
    <definedName name="_______MMM11">'[2]4-Basic Price'!$F$59</definedName>
    <definedName name="_______MMM12">'[2]4-Basic Price'!$F$60</definedName>
    <definedName name="_______MMM16">'[2]4-Basic Price'!$F$65</definedName>
    <definedName name="_______MMM18">'[2]4-Basic Price'!$F$68</definedName>
    <definedName name="_______MMM19">'[2]4-Basic Price'!$F$69</definedName>
    <definedName name="_______MMM26">'[2]4-Basic Price'!$F$76</definedName>
    <definedName name="_______MMM27">'[2]4-Basic Price'!$F$77</definedName>
    <definedName name="_______MMM33">'[2]4-Basic Price'!$F$83</definedName>
    <definedName name="_______MMM37">'[2]4-Basic Price'!$F$88</definedName>
    <definedName name="_______MMM39">'[2]4-Basic Price'!$F$89</definedName>
    <definedName name="_______MMM44">'[2]4-Basic Price'!$F$96</definedName>
    <definedName name="_______MMM47">'[2]4-Basic Price'!$F$99</definedName>
    <definedName name="_______MMM48">'[2]4-Basic Price'!$F$100</definedName>
    <definedName name="______DIV1">[2]BOQ!$G$29</definedName>
    <definedName name="______DIV10">[2]BOQ!$G$384</definedName>
    <definedName name="______DIV2">[2]BOQ!$G$54</definedName>
    <definedName name="______DIV3">[2]BOQ!$G$78</definedName>
    <definedName name="______DIV4">[2]BOQ!$G$91</definedName>
    <definedName name="______DIV5">[2]BOQ!$G$108</definedName>
    <definedName name="______DIV6">[2]BOQ!$G$162</definedName>
    <definedName name="______DIV7">[2]BOQ!$G$289</definedName>
    <definedName name="______DIV8">[2]BOQ!$G$347</definedName>
    <definedName name="______DIV9">[2]BOQ!$G$373</definedName>
    <definedName name="______EEE19">'[2]5-ALAT(1)'!$AX$26</definedName>
    <definedName name="______EEE22">'[2]5-ALAT(1)'!$AX$29</definedName>
    <definedName name="______LLL01">'[2]4-Basic Price'!$F$8</definedName>
    <definedName name="______LLL02">'[2]4-Basic Price'!$F$9</definedName>
    <definedName name="______LLL03">'[2]4-Basic Price'!$F$10</definedName>
    <definedName name="______MDE35">'[8]Peralatan (2)'!$R$27</definedName>
    <definedName name="______ME35">'[8]Peralatan (2)'!$R$26</definedName>
    <definedName name="______MMM03">'[2]4-Basic Price'!$F$50</definedName>
    <definedName name="______MMM04">'[2]4-Basic Price'!$F$51</definedName>
    <definedName name="______MMM05">'[3]4-Basic Price'!$F$52</definedName>
    <definedName name="______MMM10">'[2]4-Basic Price'!$F$57</definedName>
    <definedName name="______MMM11">'[2]4-Basic Price'!$F$59</definedName>
    <definedName name="______MMM12">'[2]4-Basic Price'!$F$60</definedName>
    <definedName name="______MMM16">'[2]4-Basic Price'!$F$65</definedName>
    <definedName name="______MMM18">'[2]4-Basic Price'!$F$68</definedName>
    <definedName name="______MMM19">'[2]4-Basic Price'!$F$69</definedName>
    <definedName name="______MMM26">'[2]4-Basic Price'!$F$76</definedName>
    <definedName name="______MMM27">'[2]4-Basic Price'!$F$77</definedName>
    <definedName name="______MMM33">'[2]4-Basic Price'!$F$83</definedName>
    <definedName name="______MMM37">'[2]4-Basic Price'!$F$88</definedName>
    <definedName name="______MMM39">'[2]4-Basic Price'!$F$89</definedName>
    <definedName name="______MMM44">'[2]4-Basic Price'!$F$96</definedName>
    <definedName name="______MMM47">'[2]4-Basic Price'!$F$99</definedName>
    <definedName name="______MMM48">'[2]4-Basic Price'!$F$100</definedName>
    <definedName name="_____DIV1">[2]BOQ!$G$29</definedName>
    <definedName name="_____DIV10">[2]BOQ!$G$384</definedName>
    <definedName name="_____DIV2">[2]BOQ!$G$54</definedName>
    <definedName name="_____DIV3">[2]BOQ!$G$78</definedName>
    <definedName name="_____DIV4">[2]BOQ!$G$91</definedName>
    <definedName name="_____DIV5">[2]BOQ!$G$108</definedName>
    <definedName name="_____DIV6">[2]BOQ!$G$162</definedName>
    <definedName name="_____DIV7">[2]BOQ!$G$289</definedName>
    <definedName name="_____DIV8">[2]BOQ!$G$347</definedName>
    <definedName name="_____DIV9">[2]BOQ!$G$373</definedName>
    <definedName name="_____LLL01">'[2]4-Basic Price'!$F$8</definedName>
    <definedName name="_____LLL02">'[2]4-Basic Price'!$F$9</definedName>
    <definedName name="_____LLL03">'[2]4-Basic Price'!$F$10</definedName>
    <definedName name="_____MDE35">'[9]Peralatan (2)'!$R$27</definedName>
    <definedName name="_____ME35">'[9]Peralatan (2)'!$R$26</definedName>
    <definedName name="_____MMM03">'[2]4-Basic Price'!$F$50</definedName>
    <definedName name="_____MMM04">'[2]4-Basic Price'!$F$51</definedName>
    <definedName name="_____MMM05">'[3]4-Basic Price'!$F$52</definedName>
    <definedName name="_____MMM10">'[2]4-Basic Price'!$F$57</definedName>
    <definedName name="_____MMM11">'[2]4-Basic Price'!$F$59</definedName>
    <definedName name="_____MMM12">'[2]4-Basic Price'!$F$60</definedName>
    <definedName name="_____MMM16">'[2]4-Basic Price'!$F$65</definedName>
    <definedName name="_____MMM18">'[2]4-Basic Price'!$F$68</definedName>
    <definedName name="_____MMM19">'[2]4-Basic Price'!$F$69</definedName>
    <definedName name="_____MMM26">'[2]4-Basic Price'!$F$76</definedName>
    <definedName name="_____MMM27">'[2]4-Basic Price'!$F$77</definedName>
    <definedName name="_____MMM33">'[2]4-Basic Price'!$F$83</definedName>
    <definedName name="_____MMM37">'[2]4-Basic Price'!$F$88</definedName>
    <definedName name="_____MMM39">'[2]4-Basic Price'!$F$89</definedName>
    <definedName name="_____MMM44">'[2]4-Basic Price'!$F$96</definedName>
    <definedName name="_____MMM47">'[2]4-Basic Price'!$F$99</definedName>
    <definedName name="_____MMM48">'[2]4-Basic Price'!$F$100</definedName>
    <definedName name="____DIV1">[2]BOQ!$G$29</definedName>
    <definedName name="____DIV10">[2]BOQ!$G$384</definedName>
    <definedName name="____DIV2">[2]BOQ!$G$54</definedName>
    <definedName name="____DIV3">[2]BOQ!$G$78</definedName>
    <definedName name="____DIV4">[2]BOQ!$G$91</definedName>
    <definedName name="____DIV5">[2]BOQ!$G$108</definedName>
    <definedName name="____DIV6">[2]BOQ!$G$162</definedName>
    <definedName name="____DIV7">[2]BOQ!$G$289</definedName>
    <definedName name="____DIV8">[2]BOQ!$G$347</definedName>
    <definedName name="____DIV9">[2]BOQ!$G$373</definedName>
    <definedName name="____EEE02">'[10]5-ALAT(1)'!$AW$9</definedName>
    <definedName name="____EEE05">'[10]5-ALAT(1)'!$AW$12</definedName>
    <definedName name="____EEE06">'[10]5-ALAT(1)'!$AW$13</definedName>
    <definedName name="____EEE07">'[10]5-ALAT(1)'!$AW$14</definedName>
    <definedName name="____EEE08">'[10]5-ALAT(1)'!$AW$15</definedName>
    <definedName name="____EEE09">'[10]5-ALAT(1)'!$AW$16</definedName>
    <definedName name="____EEE10">'[10]5-ALAT(1)'!$AW$17</definedName>
    <definedName name="____EEE11">'[10]5-ALAT(1)'!$AW$18</definedName>
    <definedName name="____EEE13">'[10]5-ALAT(1)'!$AW$20</definedName>
    <definedName name="____EEE15">'[10]5-ALAT(1)'!$AW$22</definedName>
    <definedName name="____EEE16">'[10]5-ALAT(1)'!$AW$23</definedName>
    <definedName name="____EEE17">'[10]5-ALAT(1)'!$AW$24</definedName>
    <definedName name="____EEE23">'[10]5-ALAT(1)'!$AW$30</definedName>
    <definedName name="____EEE27">'[10]5-ALAT(1)'!$AW$34</definedName>
    <definedName name="____EEE29">'[10]5-ALAT(1)'!$AW$36</definedName>
    <definedName name="____EEE31">'[10]5-ALAT(1)'!$AW$38</definedName>
    <definedName name="____LLL01">'[2]4-Basic Price'!$F$8</definedName>
    <definedName name="____LLL02">'[2]4-Basic Price'!$F$9</definedName>
    <definedName name="____LLL03">'[2]4-Basic Price'!$F$10</definedName>
    <definedName name="____LLL04">'[11]Basic Price'!$F$14</definedName>
    <definedName name="____LLL05">'[11]Basic Price'!$F$16</definedName>
    <definedName name="____LLL06">'[11]Basic Price'!$F$18</definedName>
    <definedName name="____LLL07">'[11]Basic Price'!$F$20</definedName>
    <definedName name="____LLL08">'[11]Basic Price'!$F$22</definedName>
    <definedName name="____LLL09">'[11]Basic Price'!$F$24</definedName>
    <definedName name="____LLL10">'[11]Basic Price'!$F$26</definedName>
    <definedName name="____LLL11">'[11]Basic Price'!$F$28</definedName>
    <definedName name="____MDE35">'[9]Peralatan (2)'!$R$27</definedName>
    <definedName name="____ME35">'[9]Peralatan (2)'!$R$26</definedName>
    <definedName name="____MMM03">'[2]4-Basic Price'!$F$50</definedName>
    <definedName name="____MMM04">'[2]4-Basic Price'!$F$51</definedName>
    <definedName name="____MMM06">'[11]Basic Price'!$F$60</definedName>
    <definedName name="____MMM08">'[11]Basic Price'!$F$64</definedName>
    <definedName name="____MMM09">'[11]Basic Price'!$F$66</definedName>
    <definedName name="____MMM10">'[2]4-Basic Price'!$F$57</definedName>
    <definedName name="____MMM11">'[2]4-Basic Price'!$F$59</definedName>
    <definedName name="____MMM12">'[2]4-Basic Price'!$F$60</definedName>
    <definedName name="____MMM13">'[11]Basic Price'!$F$74</definedName>
    <definedName name="____MMM14">'[11]Basic Price'!$F$76</definedName>
    <definedName name="____MMM15">'[11]Basic Price'!$F$78</definedName>
    <definedName name="____MMM16">'[2]4-Basic Price'!$F$65</definedName>
    <definedName name="____MMM17">'[11]Basic Price'!$F$82</definedName>
    <definedName name="____MMM18">'[2]4-Basic Price'!$F$68</definedName>
    <definedName name="____MMM19">'[2]4-Basic Price'!$F$69</definedName>
    <definedName name="____MMM20">'[11]Basic Price'!$F$97</definedName>
    <definedName name="____MMM21">'[11]Basic Price'!$F$99</definedName>
    <definedName name="____MMM22">'[11]Basic Price'!$F$101</definedName>
    <definedName name="____MMM23">'[11]Basic Price'!$F$103</definedName>
    <definedName name="____MMM24">'[11]Basic Price'!$F$105</definedName>
    <definedName name="____MMM25">'[11]Basic Price'!$F$107</definedName>
    <definedName name="____MMM26">'[2]4-Basic Price'!$F$76</definedName>
    <definedName name="____MMM27">'[2]4-Basic Price'!$F$77</definedName>
    <definedName name="____MMM28">'[11]Basic Price'!$F$113</definedName>
    <definedName name="____MMM29">'[11]Basic Price'!$F$115</definedName>
    <definedName name="____MMM30">'[11]Basic Price'!$F$117</definedName>
    <definedName name="____MMM31">'[11]Basic Price'!$F$119</definedName>
    <definedName name="____MMM32">'[11]Basic Price'!$F$121</definedName>
    <definedName name="____MMM33">'[2]4-Basic Price'!$F$83</definedName>
    <definedName name="____MMM34">'[11]Basic Price'!$F$125</definedName>
    <definedName name="____MMM35">'[11]Basic Price'!$F$127</definedName>
    <definedName name="____MMM36">'[11]Basic Price'!$F$129</definedName>
    <definedName name="____MMM37">'[2]4-Basic Price'!$F$88</definedName>
    <definedName name="____MMM39">'[2]4-Basic Price'!$F$89</definedName>
    <definedName name="____MMM40">'[11]Basic Price'!$F$145</definedName>
    <definedName name="____MMM41">'[11]Basic Price'!$F$147</definedName>
    <definedName name="____MMM411">'[11]Basic Price'!$F$148</definedName>
    <definedName name="____MMM42">'[11]Basic Price'!$F$150</definedName>
    <definedName name="____MMM43">'[11]Basic Price'!$F$152</definedName>
    <definedName name="____MMM44">'[2]4-Basic Price'!$F$96</definedName>
    <definedName name="____MMM45">'[11]Basic Price'!$F$156</definedName>
    <definedName name="____MMM46">'[11]Basic Price'!$F$158</definedName>
    <definedName name="____MMM47">'[2]4-Basic Price'!$F$99</definedName>
    <definedName name="____MMM48">'[2]4-Basic Price'!$F$100</definedName>
    <definedName name="____MMM49">'[11]Basic Price'!$F$164</definedName>
    <definedName name="____MMM50">'[11]Basic Price'!$F$166</definedName>
    <definedName name="____MMM51">'[11]Basic Price'!$F$168</definedName>
    <definedName name="____MMM52">'[11]Basic Price'!$F$170</definedName>
    <definedName name="____MMM53">'[11]Basic Price'!$F$172</definedName>
    <definedName name="____MMM54">'[11]Basic Price'!$F$185</definedName>
    <definedName name="____mu1">'[12]har-sat'!$J$2</definedName>
    <definedName name="____XAG2">[13]BOW!$B$221</definedName>
    <definedName name="____XAG50">[13]BOW!$B$12</definedName>
    <definedName name="____XAW2">[13]BOW!$B$60</definedName>
    <definedName name="____XAW3">[13]BOW!$B$68</definedName>
    <definedName name="____XAW4">[13]BOW!$B$45</definedName>
    <definedName name="___DIV1">[2]BOQ!$G$29</definedName>
    <definedName name="___DIV10">[2]BOQ!$G$384</definedName>
    <definedName name="___DIV2">[2]BOQ!$G$54</definedName>
    <definedName name="___DIV3">[2]BOQ!$G$78</definedName>
    <definedName name="___DIV4">[2]BOQ!$G$91</definedName>
    <definedName name="___DIV5">[2]BOQ!$G$108</definedName>
    <definedName name="___DIV6">[2]BOQ!$G$162</definedName>
    <definedName name="___DIV7">[2]BOQ!$G$289</definedName>
    <definedName name="___DIV8">[2]BOQ!$G$347</definedName>
    <definedName name="___DIV9">[2]BOQ!$G$373</definedName>
    <definedName name="___LLL01">'[2]4-Basic Price'!$F$8</definedName>
    <definedName name="___LLL02">'[2]4-Basic Price'!$F$9</definedName>
    <definedName name="___LLL03">'[2]4-Basic Price'!$F$10</definedName>
    <definedName name="___LLL04">'[11]Basic Price'!$F$14</definedName>
    <definedName name="___LLL05">'[11]Basic Price'!$F$16</definedName>
    <definedName name="___LLL06">'[11]Basic Price'!$F$18</definedName>
    <definedName name="___LLL07">'[11]Basic Price'!$F$20</definedName>
    <definedName name="___LLL08">'[11]Basic Price'!$F$22</definedName>
    <definedName name="___LLL09">'[11]Basic Price'!$F$24</definedName>
    <definedName name="___LLL10">'[11]Basic Price'!$F$26</definedName>
    <definedName name="___LLL11">'[11]Basic Price'!$F$28</definedName>
    <definedName name="___MDE01">[14]Peralatan!$BO$27</definedName>
    <definedName name="___MDE02">[14]Peralatan!$BO$47</definedName>
    <definedName name="___MDE03">[14]Peralatan!$BO$67</definedName>
    <definedName name="___MDE04">[14]Peralatan!$BO$87</definedName>
    <definedName name="___MDE05">[14]Peralatan!$BO$107</definedName>
    <definedName name="___MDE06">[14]Peralatan!$BO$127</definedName>
    <definedName name="___MDE07">[14]Peralatan!$BO$147</definedName>
    <definedName name="___MDE08">[14]Peralatan!$BO$167</definedName>
    <definedName name="___MDE09">[14]Peralatan!$BO$187</definedName>
    <definedName name="___MDE10">[14]Peralatan!$BO$207</definedName>
    <definedName name="___MDE11">[14]Peralatan!$BO$227</definedName>
    <definedName name="___MDE12">[14]Peralatan!$BO$247</definedName>
    <definedName name="___MDE13">[14]Peralatan!$BO$267</definedName>
    <definedName name="___MDE14">[14]Peralatan!$BO$287</definedName>
    <definedName name="___MDE15">[14]Peralatan!$BO$307</definedName>
    <definedName name="___MDE16">[14]Peralatan!$BO$327</definedName>
    <definedName name="___MDE17">[14]Peralatan!$BO$347</definedName>
    <definedName name="___MDE18">[14]Peralatan!$BO$367</definedName>
    <definedName name="___MDE19">[14]Peralatan!$BO$387</definedName>
    <definedName name="___MDE20">[14]Peralatan!$BO$407</definedName>
    <definedName name="___MDE21">[14]Peralatan!$BO$427</definedName>
    <definedName name="___MDE22">[14]Peralatan!$BO$447</definedName>
    <definedName name="___MDE23">[14]Peralatan!$BO$467</definedName>
    <definedName name="___MDE24">[14]Peralatan!$BO$487</definedName>
    <definedName name="___MDE25">[14]Peralatan!$BO$507</definedName>
    <definedName name="___MDE26">[14]Peralatan!$BO$527</definedName>
    <definedName name="___MDE27">[14]Peralatan!$BO$547</definedName>
    <definedName name="___MDE28">[14]Peralatan!$BO$567</definedName>
    <definedName name="___MDE29">[14]Peralatan!$BO$587</definedName>
    <definedName name="___MDE30">[14]Peralatan!$BO$607</definedName>
    <definedName name="___MDE31">[14]Peralatan!$BO$627</definedName>
    <definedName name="___MDE32">[14]Peralatan!$BO$647</definedName>
    <definedName name="___MDE33">[14]Peralatan!$BO$667</definedName>
    <definedName name="___MDE34">[14]Peralatan!$BO$698</definedName>
    <definedName name="___MDE35">'[15]Peralatan (2)'!$R$27</definedName>
    <definedName name="___ME01">[14]Peralatan!$BO$26</definedName>
    <definedName name="___ME02">[14]Peralatan!$BO$46</definedName>
    <definedName name="___ME03">[14]Peralatan!$BO$66</definedName>
    <definedName name="___ME04">[14]Peralatan!$BO$86</definedName>
    <definedName name="___ME05">[14]Peralatan!$BO$106</definedName>
    <definedName name="___ME06">[14]Peralatan!$BO$126</definedName>
    <definedName name="___ME07">[14]Peralatan!$BO$146</definedName>
    <definedName name="___ME08">[14]Peralatan!$BO$166</definedName>
    <definedName name="___ME09">[14]Peralatan!$BO$186</definedName>
    <definedName name="___ME10">[14]Peralatan!$BO$206</definedName>
    <definedName name="___ME11">[14]Peralatan!$BO$226</definedName>
    <definedName name="___ME12">[14]Peralatan!$BO$246</definedName>
    <definedName name="___ME13">[14]Peralatan!$BO$266</definedName>
    <definedName name="___ME14">[14]Peralatan!$BO$286</definedName>
    <definedName name="___ME15">[14]Peralatan!$BO$306</definedName>
    <definedName name="___ME16">[14]Peralatan!$BO$326</definedName>
    <definedName name="___ME17">[14]Peralatan!$BO$346</definedName>
    <definedName name="___ME18">[14]Peralatan!$BO$366</definedName>
    <definedName name="___ME19">[14]Peralatan!$BO$386</definedName>
    <definedName name="___ME20">[14]Peralatan!$BO$406</definedName>
    <definedName name="___ME21">[14]Peralatan!$BO$426</definedName>
    <definedName name="___ME22">[14]Peralatan!$BO$446</definedName>
    <definedName name="___ME23">[14]Peralatan!$BO$466</definedName>
    <definedName name="___ME24">[14]Peralatan!$BO$486</definedName>
    <definedName name="___ME25">[14]Peralatan!$BO$506</definedName>
    <definedName name="___ME26">[14]Peralatan!$BO$526</definedName>
    <definedName name="___ME27">[14]Peralatan!$BO$546</definedName>
    <definedName name="___ME28">[14]Peralatan!$BO$566</definedName>
    <definedName name="___ME29">[14]Peralatan!$BO$586</definedName>
    <definedName name="___ME30">[14]Peralatan!$BO$606</definedName>
    <definedName name="___ME31">[14]Peralatan!$BO$626</definedName>
    <definedName name="___ME32">[14]Peralatan!$BO$646</definedName>
    <definedName name="___ME33">[14]Peralatan!$BO$666</definedName>
    <definedName name="___ME34">[14]Peralatan!$BO$697</definedName>
    <definedName name="___ME35">'[15]Peralatan (2)'!$R$26</definedName>
    <definedName name="___MMM01">'[11]Basic Price'!$F$50</definedName>
    <definedName name="___MMM02">'[11]Basic Price'!$F$52</definedName>
    <definedName name="___MMM03">'[2]4-Basic Price'!$F$50</definedName>
    <definedName name="___MMM04">'[2]4-Basic Price'!$F$51</definedName>
    <definedName name="___MMM05">'[3]4-Basic Price'!$F$52</definedName>
    <definedName name="___MMM06">'[11]Basic Price'!$F$60</definedName>
    <definedName name="___MMM07">'[11]Basic Price'!$F$62</definedName>
    <definedName name="___MMM08">'[11]Basic Price'!$F$64</definedName>
    <definedName name="___MMM09">'[11]Basic Price'!$F$66</definedName>
    <definedName name="___MMM10">'[2]4-Basic Price'!$F$57</definedName>
    <definedName name="___MMM11">'[2]4-Basic Price'!$F$59</definedName>
    <definedName name="___MMM12">'[2]4-Basic Price'!$F$60</definedName>
    <definedName name="___MMM13">'[11]Basic Price'!$F$74</definedName>
    <definedName name="___MMM14">'[11]Basic Price'!$F$76</definedName>
    <definedName name="___MMM15">'[11]Basic Price'!$F$78</definedName>
    <definedName name="___MMM16">'[2]4-Basic Price'!$F$65</definedName>
    <definedName name="___MMM17">'[11]Basic Price'!$F$82</definedName>
    <definedName name="___MMM18">'[2]4-Basic Price'!$F$68</definedName>
    <definedName name="___MMM19">'[2]4-Basic Price'!$F$69</definedName>
    <definedName name="___MMM20">'[11]Basic Price'!$F$97</definedName>
    <definedName name="___MMM21">'[11]Basic Price'!$F$99</definedName>
    <definedName name="___MMM22">'[11]Basic Price'!$F$101</definedName>
    <definedName name="___MMM23">'[11]Basic Price'!$F$103</definedName>
    <definedName name="___MMM24">'[11]Basic Price'!$F$105</definedName>
    <definedName name="___MMM25">'[11]Basic Price'!$F$107</definedName>
    <definedName name="___MMM26">'[2]4-Basic Price'!$F$76</definedName>
    <definedName name="___MMM27">'[2]4-Basic Price'!$F$77</definedName>
    <definedName name="___MMM28">'[11]Basic Price'!$F$113</definedName>
    <definedName name="___MMM29">'[11]Basic Price'!$F$115</definedName>
    <definedName name="___MMM30">'[11]Basic Price'!$F$117</definedName>
    <definedName name="___MMM31">'[11]Basic Price'!$F$119</definedName>
    <definedName name="___MMM32">'[11]Basic Price'!$F$121</definedName>
    <definedName name="___MMM33">'[2]4-Basic Price'!$F$83</definedName>
    <definedName name="___MMM34">'[11]Basic Price'!$F$125</definedName>
    <definedName name="___MMM35">'[11]Basic Price'!$F$127</definedName>
    <definedName name="___MMM36">'[11]Basic Price'!$F$129</definedName>
    <definedName name="___MMM37">'[2]4-Basic Price'!$F$88</definedName>
    <definedName name="___MMM39">'[2]4-Basic Price'!$F$89</definedName>
    <definedName name="___MMM40">'[11]Basic Price'!$F$145</definedName>
    <definedName name="___MMM41">'[11]Basic Price'!$F$147</definedName>
    <definedName name="___MMM411">'[11]Basic Price'!$F$148</definedName>
    <definedName name="___MMM42">'[11]Basic Price'!$F$150</definedName>
    <definedName name="___MMM43">'[11]Basic Price'!$F$152</definedName>
    <definedName name="___MMM44">'[2]4-Basic Price'!$F$96</definedName>
    <definedName name="___MMM45">'[11]Basic Price'!$F$156</definedName>
    <definedName name="___MMM46">'[11]Basic Price'!$F$158</definedName>
    <definedName name="___MMM47">'[2]4-Basic Price'!$F$99</definedName>
    <definedName name="___MMM48">'[2]4-Basic Price'!$F$100</definedName>
    <definedName name="___MMM49">'[11]Basic Price'!$F$164</definedName>
    <definedName name="___MMM50">'[11]Basic Price'!$F$166</definedName>
    <definedName name="___MMM51">'[11]Basic Price'!$F$168</definedName>
    <definedName name="___MMM52">'[11]Basic Price'!$F$170</definedName>
    <definedName name="___MMM53">'[11]Basic Price'!$F$172</definedName>
    <definedName name="___MMM54">'[11]Basic Price'!$F$185</definedName>
    <definedName name="___mu1">'[12]har-sat'!$J$2</definedName>
    <definedName name="___XAG2">[16]BOW!$B$221</definedName>
    <definedName name="___XAG43">[16]BOW!$B$198</definedName>
    <definedName name="___XAG50">[16]BOW!$B$12</definedName>
    <definedName name="___XAG67">[16]BOW!$B$230</definedName>
    <definedName name="___XAW2">[16]BOW!$B$60</definedName>
    <definedName name="___XAW3">[16]BOW!$B$68</definedName>
    <definedName name="___XAW4">[16]BOW!$B$45</definedName>
    <definedName name="___XK010">[16]Analisa!$K$3774</definedName>
    <definedName name="___XK011">[16]Analisa!$K$3851</definedName>
    <definedName name="___XK012">[16]Analisa!$K$3928</definedName>
    <definedName name="___XK013">[16]Analisa!$K$4005</definedName>
    <definedName name="___XK014">[16]Analisa!$K$4082</definedName>
    <definedName name="___XK016">[16]Analisa!$K$4159</definedName>
    <definedName name="___XK017">[16]Analisa!$K$4236</definedName>
    <definedName name="___XK018">[16]Analisa!$K$4313</definedName>
    <definedName name="___XK020">[16]Analisa!$K$4390</definedName>
    <definedName name="___XK023">[16]Analisa!$K$4467</definedName>
    <definedName name="___XK024">[16]Analisa!$K$4544</definedName>
    <definedName name="___XK025">[16]Analisa!$K$4621</definedName>
    <definedName name="___XK026">[16]Analisa!$K$4698</definedName>
    <definedName name="___XK030">[16]Analisa!$K$4775</definedName>
    <definedName name="___XK035">[16]Analisa!$K$4852</definedName>
    <definedName name="___XK040">[16]Analisa!$K$4929</definedName>
    <definedName name="___XK110">[16]Analisa!$K$5006</definedName>
    <definedName name="___XK111">[16]Analisa!$K$5083</definedName>
    <definedName name="___XK112">[16]Analisa!$K$5160</definedName>
    <definedName name="___XK113">[16]Analisa!$K$5237</definedName>
    <definedName name="___XK114">[16]Analisa!$K$5314</definedName>
    <definedName name="___XK115">[16]Analisa!$K$5391</definedName>
    <definedName name="___XK116">[16]Analisa!$K$5468</definedName>
    <definedName name="___XK117">[16]Analisa!$K$5545</definedName>
    <definedName name="___XK118">[16]Analisa!$K$5622</definedName>
    <definedName name="___xk12">[16]Analisa!$I$513</definedName>
    <definedName name="___XK121">[16]Analisa!$K$5699</definedName>
    <definedName name="___XK122">[16]Analisa!$K$3389</definedName>
    <definedName name="___XK123">[16]Analisa!$K$3312</definedName>
    <definedName name="___XK124">[16]Analisa!$K$3235</definedName>
    <definedName name="___XK125">[16]Analisa!$K$3158</definedName>
    <definedName name="___xk126">[16]Analisa!$K$6149</definedName>
    <definedName name="___XK131">[16]Analisa!$K$6469</definedName>
    <definedName name="___XK132">[16]Analisa!$K$6546</definedName>
    <definedName name="___XK139">[16]Analisa!$K$6623</definedName>
    <definedName name="___XK140">[16]Analisa!$K$6700</definedName>
    <definedName name="___XK158">[16]Analisa!$K$3466</definedName>
    <definedName name="___XK175">[16]Analisa!$B$6466:$K$6541</definedName>
    <definedName name="___XK210">[16]Analisa!$K$3543</definedName>
    <definedName name="___XK211">[16]Analisa!$K$1772</definedName>
    <definedName name="___XK220">[16]Analisa!$K$3620</definedName>
    <definedName name="___XK221">[16]Analisa!$K$3697</definedName>
    <definedName name="___XK224">[16]Analisa!$K$1156</definedName>
    <definedName name="___XK225">[16]Analisa!$K$1849</definedName>
    <definedName name="___XK230">[16]Analisa!$K$309</definedName>
    <definedName name="___XK231">[16]Analisa!$K$386</definedName>
    <definedName name="___XK232">[16]Analisa!$K$6084</definedName>
    <definedName name="___XK233">[16]Analisa!$K$6161</definedName>
    <definedName name="___XK310">[16]Analisa!$K$4</definedName>
    <definedName name="___XK311">[16]Analisa!$K$82</definedName>
    <definedName name="___XK320">[16]Analisa!$K$155</definedName>
    <definedName name="___XK321">[16]Analisa!$K$232</definedName>
    <definedName name="___xk324">[16]Analisa!$G$639</definedName>
    <definedName name="___XK341">[16]Analisa!$K$5853</definedName>
    <definedName name="___XK342">[16]Analisa!$K$5930</definedName>
    <definedName name="___XK410">[16]Analisa!$K$6007</definedName>
    <definedName name="___XK411">[16]Analisa!$K$5776</definedName>
    <definedName name="___XK421">[16]Analisa!$K$2619</definedName>
    <definedName name="___XK422">[16]Analisa!$K$2696</definedName>
    <definedName name="___XK424">[16]Analisa!$K$2773</definedName>
    <definedName name="___XK510">[16]Analisa!$K$3004</definedName>
    <definedName name="___XK511">[16]Analisa!$K$2850</definedName>
    <definedName name="___XK512">[16]Analisa!$K$2927</definedName>
    <definedName name="___XK513">[16]Analisa!$K$2388</definedName>
    <definedName name="___XK514">[16]Analisa!$K$463</definedName>
    <definedName name="___XK515">[16]Analisa!$K$617</definedName>
    <definedName name="___XK516">[16]Analisa!$K$2542</definedName>
    <definedName name="___XK520">[16]Analisa!$K$694</definedName>
    <definedName name="___XK521">[16]Analisa!$K$771</definedName>
    <definedName name="___XK522">[16]Analisa!$K$848</definedName>
    <definedName name="___XK523">[16]Analisa!$K$925</definedName>
    <definedName name="___XK612">[16]Analisa!$K$2157</definedName>
    <definedName name="___XK615">[16]Analisa!$K$2305</definedName>
    <definedName name="___XK618">[16]Analisa!$K$1002</definedName>
    <definedName name="___XK636">[16]Analisa!$I$92</definedName>
    <definedName name="___XK638">[16]Analisa!$K$1079</definedName>
    <definedName name="___xk639">[16]Analisa!$H$1157</definedName>
    <definedName name="___XK705">[16]Analisa!$K$1926</definedName>
    <definedName name="___XK710">[16]Analisa!$K$2003</definedName>
    <definedName name="___XK715">[16]Analisa!$K$2079</definedName>
    <definedName name="___XK719">[16]Analisa!$B$2077:$K$2152</definedName>
    <definedName name="___XK720">[16]Analisa!$K$1310</definedName>
    <definedName name="___XK722">[16]Analisa!$K$7008</definedName>
    <definedName name="___XK725">[16]Analisa!$K$7238</definedName>
    <definedName name="___XK726">[16]Analisa!$K$7162</definedName>
    <definedName name="___xk730">[16]Analisa!$H$1431</definedName>
    <definedName name="___XK810">[16]Analisa!$K$1387</definedName>
    <definedName name="___XK815">[16]Analisa!$K$1464</definedName>
    <definedName name="___XK855">[16]Analisa!$K$1541</definedName>
    <definedName name="___XK865">[16]Analisa!$K$1695</definedName>
    <definedName name="__1__123Graph_ACHART_1" hidden="1">'[17]L 1'!$G$26:$V$26</definedName>
    <definedName name="__123Graph_A" hidden="1">#REF!</definedName>
    <definedName name="__123Graph_B" hidden="1">#REF!</definedName>
    <definedName name="__123Graph_X" hidden="1">#REF!</definedName>
    <definedName name="__DIV1">[10]BOQ!$G$19</definedName>
    <definedName name="__DIV10">[10]BOQ!$G$312</definedName>
    <definedName name="__DIV2">[10]BOQ!$G$37</definedName>
    <definedName name="__DIV3">[1]BOQ!$G$60</definedName>
    <definedName name="__DIV4">[1]BOQ!$G$73</definedName>
    <definedName name="__DIV5">[10]BOQ!$G$86</definedName>
    <definedName name="__DIV6">[10]BOQ!$G$124</definedName>
    <definedName name="__DIV7">[10]BOQ!$G$225</definedName>
    <definedName name="__DIV8">[10]BOQ!$G$275</definedName>
    <definedName name="__DIV9">[10]BOQ!$G$301</definedName>
    <definedName name="__dtr8">[18]DHSD!$G$38</definedName>
    <definedName name="__hsm01">[19]QUARI!$F$120</definedName>
    <definedName name="__hsm02">[19]QUARI!$F$232</definedName>
    <definedName name="__hsm06">[19]QUARI!$F$365</definedName>
    <definedName name="__hsm07">[19]QUARI!$F$456</definedName>
    <definedName name="__hsm16">[19]QUARI!$F$568</definedName>
    <definedName name="__hsm44">[19]QUARI!$F$680</definedName>
    <definedName name="__LLL01">'[10]4-Basic Price'!$F$8</definedName>
    <definedName name="__LLL02">'[10]4-Basic Price'!$F$9</definedName>
    <definedName name="__LLL03">'[10]4-Basic Price'!$F$10</definedName>
    <definedName name="__LLL04">'[11]Basic Price'!$F$14</definedName>
    <definedName name="__LLL05">'[11]Basic Price'!$F$16</definedName>
    <definedName name="__LLL06">'[11]Basic Price'!$F$18</definedName>
    <definedName name="__LLL07">'[11]Basic Price'!$F$20</definedName>
    <definedName name="__LLL08">'[11]Basic Price'!$F$22</definedName>
    <definedName name="__LLL09">'[11]Basic Price'!$F$24</definedName>
    <definedName name="__LLL10">'[11]Basic Price'!$F$26</definedName>
    <definedName name="__LLL11">'[11]Basic Price'!$F$28</definedName>
    <definedName name="__MDE35">'[9]Peralatan (2)'!$R$27</definedName>
    <definedName name="__ME35">'[9]Peralatan (2)'!$R$26</definedName>
    <definedName name="__MMM01">'[11]Basic Price'!$F$50</definedName>
    <definedName name="__MMM02">'[11]Basic Price'!$F$52</definedName>
    <definedName name="__MMM03">'[10]4-Basic Price'!$F$53</definedName>
    <definedName name="__MMM04">'[10]4-Basic Price'!$F$54</definedName>
    <definedName name="__MMM05">'[3]4-Basic Price'!$F$52</definedName>
    <definedName name="__MMM06">'[11]Basic Price'!$F$60</definedName>
    <definedName name="__MMM07">'[11]Basic Price'!$F$62</definedName>
    <definedName name="__MMM08">'[11]Basic Price'!$F$64</definedName>
    <definedName name="__MMM09">'[11]Basic Price'!$F$66</definedName>
    <definedName name="__MMM10">'[10]4-Basic Price'!$F$60</definedName>
    <definedName name="__MMM11">'[10]4-Basic Price'!$F$61</definedName>
    <definedName name="__MMM12">'[2]4-Basic Price'!$F$60</definedName>
    <definedName name="__MMM13">'[11]Basic Price'!$F$74</definedName>
    <definedName name="__MMM14">'[11]Basic Price'!$F$76</definedName>
    <definedName name="__MMM15">'[11]Basic Price'!$F$78</definedName>
    <definedName name="__MMM16">'[10]4-Basic Price'!$F$67</definedName>
    <definedName name="__MMM17">'[11]Basic Price'!$F$82</definedName>
    <definedName name="__MMM18">'[10]4-Basic Price'!$F$70</definedName>
    <definedName name="__MMM19">'[10]4-Basic Price'!$F$71</definedName>
    <definedName name="__MMM20">'[11]Basic Price'!$F$97</definedName>
    <definedName name="__MMM21">'[11]Basic Price'!$F$99</definedName>
    <definedName name="__MMM22">'[11]Basic Price'!$F$101</definedName>
    <definedName name="__MMM23">'[11]Basic Price'!$F$103</definedName>
    <definedName name="__MMM24">'[11]Basic Price'!$F$105</definedName>
    <definedName name="__MMM25">'[11]Basic Price'!$F$107</definedName>
    <definedName name="__MMM26">'[10]4-Basic Price'!$F$78</definedName>
    <definedName name="__MMM27">'[10]4-Basic Price'!$F$79</definedName>
    <definedName name="__MMM28">'[11]Basic Price'!$F$113</definedName>
    <definedName name="__MMM29">'[11]Basic Price'!$F$115</definedName>
    <definedName name="__MMM30">'[11]Basic Price'!$F$117</definedName>
    <definedName name="__MMM31">'[11]Basic Price'!$F$119</definedName>
    <definedName name="__MMM32">'[11]Basic Price'!$F$121</definedName>
    <definedName name="__MMM33">'[10]4-Basic Price'!$F$85</definedName>
    <definedName name="__MMM34">'[11]Basic Price'!$F$125</definedName>
    <definedName name="__MMM35">'[11]Basic Price'!$F$127</definedName>
    <definedName name="__MMM36">'[11]Basic Price'!$F$129</definedName>
    <definedName name="__MMM37">'[10]4-Basic Price'!$F$90</definedName>
    <definedName name="__MMM39">'[10]4-Basic Price'!$F$91</definedName>
    <definedName name="__MMM40">'[11]Basic Price'!$F$145</definedName>
    <definedName name="__MMM41">'[11]Basic Price'!$F$147</definedName>
    <definedName name="__MMM411">'[11]Basic Price'!$F$148</definedName>
    <definedName name="__MMM42">'[11]Basic Price'!$F$150</definedName>
    <definedName name="__MMM43">'[11]Basic Price'!$F$152</definedName>
    <definedName name="__MMM44">'[10]4-Basic Price'!$F$98</definedName>
    <definedName name="__MMM45">'[11]Basic Price'!$F$156</definedName>
    <definedName name="__MMM46">'[11]Basic Price'!$F$158</definedName>
    <definedName name="__MMM47">'[10]4-Basic Price'!$F$101</definedName>
    <definedName name="__MMM48">'[10]4-Basic Price'!$F$102</definedName>
    <definedName name="__MMM49">'[11]Basic Price'!$F$164</definedName>
    <definedName name="__MMM50">'[11]Basic Price'!$F$166</definedName>
    <definedName name="__MMM51">'[11]Basic Price'!$F$168</definedName>
    <definedName name="__MMM52">'[11]Basic Price'!$F$170</definedName>
    <definedName name="__MMM53">'[11]Basic Price'!$F$172</definedName>
    <definedName name="__MMM54">'[11]Basic Price'!$F$185</definedName>
    <definedName name="__mu1">'[12]har-sat'!$J$2</definedName>
    <definedName name="__XAG2">[20]BOW!$B$221</definedName>
    <definedName name="__XAG50">[20]BOW!$B$12</definedName>
    <definedName name="__XAW2">[20]BOW!$B$60</definedName>
    <definedName name="__XAW3">[20]BOW!$B$68</definedName>
    <definedName name="__XAW4">[20]BOW!$B$45</definedName>
    <definedName name="_1__123Graph_ACHART_1" hidden="1">'[21]L 1'!$G$26:$V$26</definedName>
    <definedName name="_2__123Graph_ACHART_1" hidden="1">[22]RAB!#REF!</definedName>
    <definedName name="_3__123Graph_ACHART_1" hidden="1">#REF!</definedName>
    <definedName name="_4__123Graph_ACHART_1" hidden="1">#REF!</definedName>
    <definedName name="_4__123Graph_XCHART_1" hidden="1">[23]RAB!#REF!</definedName>
    <definedName name="_Dist_Bin" hidden="1">#REF!</definedName>
    <definedName name="_DIV1">[24]BOQ!$G$31</definedName>
    <definedName name="_DIV10">[24]BOQ!$G$387</definedName>
    <definedName name="_DIV2">[24]BOQ!$G$56</definedName>
    <definedName name="_DIV3">[24]BOQ!$G$80</definedName>
    <definedName name="_DIV4">[24]BOQ!$G$93</definedName>
    <definedName name="_DIV5">[24]BOQ!$G$110</definedName>
    <definedName name="_DIV6">[24]BOQ!$G$164</definedName>
    <definedName name="_DIV7">[24]BOQ!$G$293</definedName>
    <definedName name="_DIV8">[24]BOQ!$G$351</definedName>
    <definedName name="_DIV9">[24]BOQ!$G$377</definedName>
    <definedName name="_dtr34">[18]DHSD!$G$37</definedName>
    <definedName name="_dtr8">[25]DHSD!$G$38</definedName>
    <definedName name="_EEE02">'[24]5-ALAT(1)'!$AW$9</definedName>
    <definedName name="_EEE05">'[24]5-ALAT(1)'!$AW$12</definedName>
    <definedName name="_EEE06">'[24]5-ALAT(1)'!$AW$13</definedName>
    <definedName name="_EEE07">'[24]5-ALAT(1)'!$AW$14</definedName>
    <definedName name="_EEE08">'[24]5-ALAT(1)'!$AW$15</definedName>
    <definedName name="_EEE09">'[24]5-ALAT(1)'!$AW$16</definedName>
    <definedName name="_EEE10">'[24]5-ALAT(1)'!$AW$17</definedName>
    <definedName name="_EEE11">'[24]5-ALAT(1)'!$AW$18</definedName>
    <definedName name="_EEE13">'[24]5-ALAT(1)'!$AW$20</definedName>
    <definedName name="_EEE15">'[24]5-ALAT(1)'!$AW$22</definedName>
    <definedName name="_EEE16">'[24]5-ALAT(1)'!$AW$23</definedName>
    <definedName name="_EEE17">'[24]5-ALAT(1)'!$AW$24</definedName>
    <definedName name="_EEE19">'[24]5-ALAT(1)'!$AW$26</definedName>
    <definedName name="_EEE22">'[24]5-ALAT(1)'!$AW$29</definedName>
    <definedName name="_EEE23">'[24]5-ALAT(1)'!$AW$30</definedName>
    <definedName name="_EEE27">'[24]5-ALAT(1)'!$AW$34</definedName>
    <definedName name="_EEE29">'[24]5-ALAT(1)'!$AW$36</definedName>
    <definedName name="_EEE31">'[24]5-ALAT(1)'!$AW$38</definedName>
    <definedName name="_Fill" hidden="1">#REF!</definedName>
    <definedName name="_xlnm._FilterDatabase" hidden="1">#REF!</definedName>
    <definedName name="_frm74">[26]NP!$L$1322:$V$1382</definedName>
    <definedName name="_hsm01">[27]QUARI!$F$120</definedName>
    <definedName name="_hsm02">[27]QUARI!$F$232</definedName>
    <definedName name="_hsm06">[27]QUARI!$F$365</definedName>
    <definedName name="_hsm07">[27]QUARI!$F$456</definedName>
    <definedName name="_hsm16">[27]QUARI!$F$568</definedName>
    <definedName name="_hsm44">[27]QUARI!$F$680</definedName>
    <definedName name="_Key1" hidden="1">[28]Schdule!$Z$16</definedName>
    <definedName name="_Key2" hidden="1">#REF!</definedName>
    <definedName name="_LLL01">'[24]4-Basic Price'!$F$8</definedName>
    <definedName name="_LLL02">'[24]4-Basic Price'!$F$9</definedName>
    <definedName name="_LLL03">'[24]4-Basic Price'!$F$10</definedName>
    <definedName name="_LLL04">'[11]Basic Price'!$F$14</definedName>
    <definedName name="_LLL05">'[11]Basic Price'!$F$16</definedName>
    <definedName name="_LLL06">'[11]Basic Price'!$F$18</definedName>
    <definedName name="_LLL07">'[11]Basic Price'!$F$20</definedName>
    <definedName name="_LLL08">'[11]Basic Price'!$F$22</definedName>
    <definedName name="_LLL09">'[11]Basic Price'!$F$24</definedName>
    <definedName name="_LLL10">'[11]Basic Price'!$F$26</definedName>
    <definedName name="_LLL11">'[11]Basic Price'!$F$28</definedName>
    <definedName name="_MatInverse_Out" hidden="1">#REF!</definedName>
    <definedName name="_MatMult_A" hidden="1">#REF!</definedName>
    <definedName name="_MatMult_AxB" hidden="1">#REF!</definedName>
    <definedName name="_MatMult_B" hidden="1">#REF!</definedName>
    <definedName name="_Mm01">[19]QUARI!$F$120</definedName>
    <definedName name="_MMM01">[29]Basic!$F$40</definedName>
    <definedName name="_MMM02">'[11]Basic Price'!$F$52</definedName>
    <definedName name="_MMM03">'[24]4-Basic Price'!$F$53</definedName>
    <definedName name="_MMM04">'[24]4-Basic Price'!$F$54</definedName>
    <definedName name="_MMM05">'[11]Basic Price'!$F$58</definedName>
    <definedName name="_MMM06">[29]Basic!$F$50</definedName>
    <definedName name="_MMM07">'[11]Basic Price'!$F$62</definedName>
    <definedName name="_MMM08">'[24]4-Basic Price'!$F$58</definedName>
    <definedName name="_MMM09">'[11]Basic Price'!$F$66</definedName>
    <definedName name="_MMM10">'[24]4-Basic Price'!$F$60</definedName>
    <definedName name="_MMM11">'[24]4-Basic Price'!$F$62</definedName>
    <definedName name="_MMM12">'[24]4-Basic Price'!$F$63</definedName>
    <definedName name="_MMM13">'[11]Basic Price'!$F$74</definedName>
    <definedName name="_MMM14">'[11]Basic Price'!$F$76</definedName>
    <definedName name="_MMM15">'[11]Basic Price'!$F$78</definedName>
    <definedName name="_MMM16">'[24]4-Basic Price'!$F$69</definedName>
    <definedName name="_MMM17">'[11]Basic Price'!$F$82</definedName>
    <definedName name="_MMM18">'[24]4-Basic Price'!$F$72</definedName>
    <definedName name="_MMM19">'[24]4-Basic Price'!$F$73</definedName>
    <definedName name="_MMM20">'[11]Basic Price'!$F$97</definedName>
    <definedName name="_MMM21">'[11]Basic Price'!$F$99</definedName>
    <definedName name="_MMM22">'[11]Basic Price'!$F$101</definedName>
    <definedName name="_MMM23">'[11]Basic Price'!$F$103</definedName>
    <definedName name="_MMM24">'[11]Basic Price'!$F$105</definedName>
    <definedName name="_MMM25">'[11]Basic Price'!$F$107</definedName>
    <definedName name="_MMM26">'[24]4-Basic Price'!$F$80</definedName>
    <definedName name="_MMM27">'[24]4-Basic Price'!$F$81</definedName>
    <definedName name="_MMM28">'[11]Basic Price'!$F$113</definedName>
    <definedName name="_MMM29">'[11]Basic Price'!$F$115</definedName>
    <definedName name="_MMM31">'[11]Basic Price'!$F$119</definedName>
    <definedName name="_MMM32">'[11]Basic Price'!$F$121</definedName>
    <definedName name="_MMM33">'[24]4-Basic Price'!$F$88</definedName>
    <definedName name="_MMM34">'[11]Basic Price'!$F$125</definedName>
    <definedName name="_MMM35">'[11]Basic Price'!$F$127</definedName>
    <definedName name="_MMM37">'[24]4-Basic Price'!$F$92</definedName>
    <definedName name="_MMM39">'[24]4-Basic Price'!$F$93</definedName>
    <definedName name="_MMM41">'[11]Basic Price'!$F$147</definedName>
    <definedName name="_MMM411">'[11]Basic Price'!$F$148</definedName>
    <definedName name="_MMM42">'[11]Basic Price'!$F$150</definedName>
    <definedName name="_MMM43">'[11]Basic Price'!$F$152</definedName>
    <definedName name="_MMM44">'[24]4-Basic Price'!$F$99</definedName>
    <definedName name="_MMM45">'[11]Basic Price'!$F$156</definedName>
    <definedName name="_MMM46">'[11]Basic Price'!$F$158</definedName>
    <definedName name="_MMM47">'[24]4-Basic Price'!$F$102</definedName>
    <definedName name="_MMM48">'[24]4-Basic Price'!$F$103</definedName>
    <definedName name="_MMM49">'[11]Basic Price'!$F$164</definedName>
    <definedName name="_MMM50">'[11]Basic Price'!$F$166</definedName>
    <definedName name="_MMM51">'[11]Basic Price'!$F$168</definedName>
    <definedName name="_MMM52">'[11]Basic Price'!$F$170</definedName>
    <definedName name="_MMM53">'[11]Basic Price'!$F$172</definedName>
    <definedName name="_MMM54">'[11]Basic Price'!$F$185</definedName>
    <definedName name="_mu1">'[12]har-sat'!$J$2</definedName>
    <definedName name="_Order1" hidden="1">0</definedName>
    <definedName name="_Order2" hidden="1">255</definedName>
    <definedName name="_Parse_Out" hidden="1">#REF!</definedName>
    <definedName name="_Regression_Int">1</definedName>
    <definedName name="_Regression_X" hidden="1">#REF!</definedName>
    <definedName name="_rek1">[19]REKAP!$I$29</definedName>
    <definedName name="_Sort" hidden="1">[28]Schdule!$Z$16:$Z$112</definedName>
    <definedName name="_Table1_In1" hidden="1">#REF!</definedName>
    <definedName name="_XAF9">[20]BOW!$B$134</definedName>
    <definedName name="_XAG2">[20]BOW!$B$221</definedName>
    <definedName name="_XAG43">[20]BOW!$B$198</definedName>
    <definedName name="_XAG50">[20]BOW!$B$12</definedName>
    <definedName name="_XAG67">[20]BOW!$B$230</definedName>
    <definedName name="_XAW2">[20]BOW!$B$60</definedName>
    <definedName name="_XAW3">[20]BOW!$B$68</definedName>
    <definedName name="_XAW4">[20]BOW!$B$45</definedName>
    <definedName name="_XK010">[20]Analisa!$K$3774</definedName>
    <definedName name="_XK011">[20]Analisa!$K$3851</definedName>
    <definedName name="_XK012">[20]Analisa!$K$3928</definedName>
    <definedName name="_XK013">[20]Analisa!$K$4005</definedName>
    <definedName name="_XK014">[20]Analisa!$K$4082</definedName>
    <definedName name="_XK016">[20]Analisa!$K$4159</definedName>
    <definedName name="_XK017">[20]Analisa!$K$4236</definedName>
    <definedName name="_XK018">[20]Analisa!$K$4313</definedName>
    <definedName name="_XK020">[20]Analisa!$K$4390</definedName>
    <definedName name="_XK023">[20]Analisa!$K$4467</definedName>
    <definedName name="_XK024">[20]Analisa!$K$4544</definedName>
    <definedName name="_XK025">[20]Analisa!$K$4621</definedName>
    <definedName name="_XK026">[20]Analisa!$K$4698</definedName>
    <definedName name="_XK030">[20]Analisa!$K$4775</definedName>
    <definedName name="_XK035">[20]Analisa!$K$4852</definedName>
    <definedName name="_XK040">[20]Analisa!$K$4929</definedName>
    <definedName name="_XK110">[20]Analisa!$K$5006</definedName>
    <definedName name="_XK111">[20]Analisa!$K$5083</definedName>
    <definedName name="_XK112">[20]Analisa!$K$5160</definedName>
    <definedName name="_XK113">[20]Analisa!$K$5237</definedName>
    <definedName name="_XK114">[20]Analisa!$K$5314</definedName>
    <definedName name="_XK115">[20]Analisa!$K$5391</definedName>
    <definedName name="_XK116">[20]Analisa!$K$5468</definedName>
    <definedName name="_XK117">[20]Analisa!$K$5545</definedName>
    <definedName name="_XK118">[20]Analisa!$K$5622</definedName>
    <definedName name="_xk12">[20]Analisa!$I$513</definedName>
    <definedName name="_XK121">[20]Analisa!$K$5699</definedName>
    <definedName name="_XK122">[20]Analisa!$K$3389</definedName>
    <definedName name="_XK123">[20]Analisa!$K$3312</definedName>
    <definedName name="_XK124">[20]Analisa!$K$3235</definedName>
    <definedName name="_XK125">[20]Analisa!$K$3158</definedName>
    <definedName name="_xk126">[20]Analisa!$K$6149</definedName>
    <definedName name="_XK131">[20]Analisa!$K$6469</definedName>
    <definedName name="_XK132">[20]Analisa!$K$6546</definedName>
    <definedName name="_XK139">[20]Analisa!$K$6623</definedName>
    <definedName name="_XK140">[20]Analisa!$K$6700</definedName>
    <definedName name="_XK158">[20]Analisa!$K$3466</definedName>
    <definedName name="_XK175">[20]Analisa!$B$6466:$K$6541</definedName>
    <definedName name="_XK210">[20]Analisa!$K$3543</definedName>
    <definedName name="_XK211">[20]Analisa!$K$1772</definedName>
    <definedName name="_XK220">[20]Analisa!$K$3620</definedName>
    <definedName name="_XK221">[20]Analisa!$K$3697</definedName>
    <definedName name="_XK224">[20]Analisa!$K$1156</definedName>
    <definedName name="_XK225">[20]Analisa!$K$1849</definedName>
    <definedName name="_XK230">[20]Analisa!$K$309</definedName>
    <definedName name="_XK231">[20]Analisa!$K$386</definedName>
    <definedName name="_XK232">[20]Analisa!$K$6084</definedName>
    <definedName name="_XK233">[20]Analisa!$K$6161</definedName>
    <definedName name="_XK310">[20]Analisa!$K$4</definedName>
    <definedName name="_XK311">[20]Analisa!$K$82</definedName>
    <definedName name="_XK320">[20]Analisa!$K$155</definedName>
    <definedName name="_XK321">[20]Analisa!$K$232</definedName>
    <definedName name="_xk324">[20]Analisa!$G$639</definedName>
    <definedName name="_XK341">[20]Analisa!$K$5853</definedName>
    <definedName name="_XK342">[20]Analisa!$K$5930</definedName>
    <definedName name="_XK410">[20]Analisa!$K$6007</definedName>
    <definedName name="_XK411">[20]Analisa!$K$5776</definedName>
    <definedName name="_XK421">[20]Analisa!$K$2619</definedName>
    <definedName name="_XK422">[20]Analisa!$K$2696</definedName>
    <definedName name="_XK424">[20]Analisa!$K$2773</definedName>
    <definedName name="_XK510">[20]Analisa!$K$3004</definedName>
    <definedName name="_XK511">[20]Analisa!$K$2850</definedName>
    <definedName name="_XK512">[20]Analisa!$K$2927</definedName>
    <definedName name="_XK513">[20]Analisa!$K$2388</definedName>
    <definedName name="_XK514">[20]Analisa!$K$463</definedName>
    <definedName name="_XK515">[20]Analisa!$K$617</definedName>
    <definedName name="_XK516">[20]Analisa!$K$2542</definedName>
    <definedName name="_XK520">[20]Analisa!$K$694</definedName>
    <definedName name="_XK521">[20]Analisa!$K$771</definedName>
    <definedName name="_XK522">[20]Analisa!$K$848</definedName>
    <definedName name="_XK523">[20]Analisa!$K$925</definedName>
    <definedName name="_XK612">[20]Analisa!$K$2157</definedName>
    <definedName name="_XK615">[20]Analisa!$K$2305</definedName>
    <definedName name="_XK618">[20]Analisa!$K$1002</definedName>
    <definedName name="_XK636">[20]Analisa!$I$92</definedName>
    <definedName name="_XK638">[20]Analisa!$K$1079</definedName>
    <definedName name="_xk639">[20]Analisa!$H$1157</definedName>
    <definedName name="_XK705">[20]Analisa!$K$1926</definedName>
    <definedName name="_XK710">[20]Analisa!$K$2003</definedName>
    <definedName name="_XK715">[20]Analisa!$K$2079</definedName>
    <definedName name="_XK719">[20]Analisa!$B$2077:$K$2152</definedName>
    <definedName name="_XK720">[20]Analisa!$K$1310</definedName>
    <definedName name="_XK722">[20]Analisa!$K$7008</definedName>
    <definedName name="_XK725">[20]Analisa!$K$7238</definedName>
    <definedName name="_XK726">[20]Analisa!$K$7162</definedName>
    <definedName name="_xk730">[20]Analisa!$H$1431</definedName>
    <definedName name="_XK810">[20]Analisa!$K$1387</definedName>
    <definedName name="_XK815">[20]Analisa!$K$1464</definedName>
    <definedName name="_XK855">[20]Analisa!$K$1541</definedName>
    <definedName name="_XK865">[20]Analisa!$K$1695</definedName>
    <definedName name="a" hidden="1">[30]Mobilisasi!$G$30:$G$36</definedName>
    <definedName name="aanstamp.">[31]Progress!$C$22</definedName>
    <definedName name="afinis">[32]Harsat!$E$70</definedName>
    <definedName name="ag">'[33]SAT-DAS'!$I$27</definedName>
    <definedName name="aghls">[25]DHSD!$G$20</definedName>
    <definedName name="agksbc">[25]DHSD!$G$18</definedName>
    <definedName name="agkslk">[25]DHSD!$G$19</definedName>
    <definedName name="AGREGAT1">'[34]Kuantitas &amp; Harga'!$A$86:$K$100</definedName>
    <definedName name="agrt.a" hidden="1">'[35]Agregat Halus &amp; Kasar'!$H$12:$H$20</definedName>
    <definedName name="AHSP">#REF!</definedName>
    <definedName name="AIRCOMPRESOR611">[36]URAIAN!$J$2096</definedName>
    <definedName name="ALAT">[37]S_DAYA!$C$95:$E$142</definedName>
    <definedName name="Alat_Bantu">[38]harga!$D$88</definedName>
    <definedName name="ALATUTAMA">'[39]anlsa alat'!$BA$1:$BJ$118</definedName>
    <definedName name="Alumunium">[40]Harga!$D$22</definedName>
    <definedName name="AMP">'[39]anlsa alat'!$A$1:$J$59</definedName>
    <definedName name="Analisa_A.1">[40]Analisa!$L$11</definedName>
    <definedName name="Analisa_A.18">[40]Analisa!$L$36</definedName>
    <definedName name="Analisa_A.18a">[40]Analisa!$L$43</definedName>
    <definedName name="Analisa_A.2">[40]Analisa!$L$17</definedName>
    <definedName name="Analisa_A.4">[40]Analisa!$L$23</definedName>
    <definedName name="Analisa_F.22">[40]Analisa!$L$265</definedName>
    <definedName name="Analisa_F.26">[40]Analisa!$L$278</definedName>
    <definedName name="Analisa_F.33">[40]Analisa!$L$287</definedName>
    <definedName name="Analisa_F.33.a">[40]Analisa!$L$297</definedName>
    <definedName name="Analisa_F.34">[40]Analisa!$L$309</definedName>
    <definedName name="Analisa_F.36">[40]Analisa!$L$321</definedName>
    <definedName name="Analisa_F.36a">[40]Analisa!$L$738</definedName>
    <definedName name="Analisa_F.36b">[40]Analisa!$L$331</definedName>
    <definedName name="Analisa_F.38">[40]Analisa!$L$341</definedName>
    <definedName name="Analisa_G._VI.a">[40]Analisa!$L$141</definedName>
    <definedName name="Analisa_G.14">[40]Analisa!$L$476</definedName>
    <definedName name="Analisa_G.41a.1">[40]Analisa!$L$500</definedName>
    <definedName name="Analisa_G.41b">[40]Analisa!$L$518</definedName>
    <definedName name="Analisa_G.41c">[40]Analisa!$L$532</definedName>
    <definedName name="Analisa_G.41d">[40]Analisa!$L$537</definedName>
    <definedName name="Analisa_G.41e">[40]Analisa!$L$547</definedName>
    <definedName name="Analisa_G.50h">[40]Analisa!$L$151</definedName>
    <definedName name="Analisa_G.50h1">[40]Analisa!$L$695</definedName>
    <definedName name="Analisa_G.50q">[40]Analisa!$L$161</definedName>
    <definedName name="Analisa_G.53">[40]Analisa!$L$437</definedName>
    <definedName name="Analisa_G.6">[40]Analisa!$L$179</definedName>
    <definedName name="Analisa_G.67">[40]Analisa!$L$173</definedName>
    <definedName name="Analisa_G.69">[40]Analisa!$L$484</definedName>
    <definedName name="Analisa_G.79">[40]Analisa!$L$191</definedName>
    <definedName name="Analisa_H.10a">[40]Analisa!$L$402</definedName>
    <definedName name="Analisa_H.10b">[40]Analisa!$L$423</definedName>
    <definedName name="Analisa_H.11">[40]Analisa!$L$728</definedName>
    <definedName name="Analisa_H.8a">[40]Analisa!$L$392</definedName>
    <definedName name="Analisa_H.8b">[40]Analisa!$L$413</definedName>
    <definedName name="ANALISA_HARGA_SATUAN">[41]Sheet1!$X$3:$AH$54,[41]Sheet1!$X$72:$AH$111,[41]Sheet1!$X$134:$AH$174</definedName>
    <definedName name="Analisa_K.34">[40]Analisa!$L$469</definedName>
    <definedName name="Analisa_K10_K23_K28">[40]Analisa!$L$462</definedName>
    <definedName name="Analisa_K2_K23_K28">[40]Analisa!$L$448</definedName>
    <definedName name="Analisa_Pek._Paving">[40]Analisa!$L$706</definedName>
    <definedName name="Analisa101A">'[42]Analisa HSP'!$U$51</definedName>
    <definedName name="Analisa101B">'[42]Analisa HSP'!$U$231</definedName>
    <definedName name="Analisa101C">'[42]Analisa HSP'!$U$410</definedName>
    <definedName name="Analisa101D">'[42]Analisa HSP'!$U$589</definedName>
    <definedName name="Analisa101E">'[42]Analisa HSP'!$U$768</definedName>
    <definedName name="Analiswa_G.32c">[40]Analisa!$L$74</definedName>
    <definedName name="Analiswa_G.43">[40]Analisa!$L$86</definedName>
    <definedName name="Anl._L.11">[40]Analisa!$L$663</definedName>
    <definedName name="Anl._L.4">[40]Analisa!$L$676</definedName>
    <definedName name="Anl._L.5">[40]Analisa!$L$670</definedName>
    <definedName name="Anl._L.9">[40]Analisa!$L$654</definedName>
    <definedName name="Anl._Sul._Va">[40]Analisa!$L$556</definedName>
    <definedName name="Anl._Sul._Va1">[40]Analisa!$L$564</definedName>
    <definedName name="Anl._Sul._Va2">[40]Analisa!$L$572</definedName>
    <definedName name="Anl._Sul._Vb">[40]Analisa!$L$580</definedName>
    <definedName name="Anl._Sul._Vb1">[40]Analisa!$L$588</definedName>
    <definedName name="Anl._Sul._Vb2">[40]Analisa!$L$596</definedName>
    <definedName name="Anl._Sul._Vc">[40]Analisa!$L$604</definedName>
    <definedName name="Anl._Sul._Vc1">[40]Analisa!$L$612</definedName>
    <definedName name="Anl._Sul._Vc2">[40]Analisa!$L$620</definedName>
    <definedName name="Anl._Sul._Vc3">[40]Analisa!$L$629</definedName>
    <definedName name="Anl._Sul._Vd">[40]Analisa!$L$638</definedName>
    <definedName name="Anl._Sul._Vd1">[40]Analisa!$L$685</definedName>
    <definedName name="Anl._Sul._Ve">[40]Analisa!$L$646</definedName>
    <definedName name="Anl._Supl._F23">[40]Analisa!$L$717</definedName>
    <definedName name="Anl._Supl._VII">[40]Analisa!$L$350</definedName>
    <definedName name="Anl._Supl._VII.a">[40]Analisa!$L$361</definedName>
    <definedName name="Anl._Supl._VII.b">[40]Analisa!$L$371</definedName>
    <definedName name="Anl._Supl._VII.c">[40]Analisa!$L$381</definedName>
    <definedName name="Anl._Supl.III.b">[40]Analisa!$L$206</definedName>
    <definedName name="Anl._Supl.III.c">[40]Analisa!$L$221</definedName>
    <definedName name="Anl._Supl.III.e">[40]Analisa!$L$236</definedName>
    <definedName name="Anl._Supl.III.f">[40]Analisa!$L$251</definedName>
    <definedName name="anl.atapseng30">[43]ANALISA!$H$339</definedName>
    <definedName name="anl.betoncor136">[43]ANALISA!$H$310</definedName>
    <definedName name="Anl.bongkardinding">[44]ANALISA!$H$376</definedName>
    <definedName name="anl.bongkarlantai">[43]ANALISA!$H$394</definedName>
    <definedName name="anl.catkayu">[43]ANALISA!$H$609</definedName>
    <definedName name="anl.catplafond">[43]ANALISA!$H$590</definedName>
    <definedName name="anl.cattembok">[43]ANALISA!$H$578</definedName>
    <definedName name="Anl.f2">[43]ANALISA!$H$39</definedName>
    <definedName name="Anl.jalusi">[43]ANALISA!$H$119</definedName>
    <definedName name="anl.kacabuka">[43]ANALISA!$H$131</definedName>
    <definedName name="Anl.kacamati">[43]ANALISA!$H$158</definedName>
    <definedName name="Anl.kuda2">[43]ANALISA!$H$77</definedName>
    <definedName name="Anl.kusen">[43]ANALISA!$H$88</definedName>
    <definedName name="anl.lantaikeramik30">[43]ANALISA!$H$433</definedName>
    <definedName name="anl.listplankm2">[43]ANALISA!$H$60</definedName>
    <definedName name="anl.pasbata1.2">[43]ANALISA!$H$243</definedName>
    <definedName name="anl.pasbata1.4">[43]ANALISA!$H$228</definedName>
    <definedName name="Anl.pasirurug">[43]ANALISA!$H$23</definedName>
    <definedName name="Anl.pintupanel">[43]ANALISA!$H$110</definedName>
    <definedName name="anl.plafondtriplek3">[43]ANALISA!$H$182</definedName>
    <definedName name="anl.plester1.2">[43]ANALISA!$H$264</definedName>
    <definedName name="anl.plester1.4">[43]ANALISA!$H$284</definedName>
    <definedName name="anl.rabungseng30">[43]ANALISA!$H$349</definedName>
    <definedName name="anl.residu">[43]ANALISA!$H$382</definedName>
    <definedName name="ascem">[25]DHSD!$G$23</definedName>
    <definedName name="ASPALSPRAYER611">[36]URAIAN!$J$2088</definedName>
    <definedName name="aspfin">[25]DHSD!$G$34</definedName>
    <definedName name="asprayer">[32]Harsat!$E$71</definedName>
    <definedName name="aspspr">[25]DHSD!$G$33</definedName>
    <definedName name="ATB">'[45]Analisa '!$A$662:$G$731</definedName>
    <definedName name="ATBL">'[45]Analisa '!$A$732:$G$800</definedName>
    <definedName name="B.List_Profil_4.5_cm">'[46]HSBU ANA'!$D$136</definedName>
    <definedName name="B.Paku__1___3_cm">'[46]HSBU ANA'!$D$61</definedName>
    <definedName name="b__Analisa_G.41__b">[40]Analisa!$L$518</definedName>
    <definedName name="b_0">[47]ANALISA!$K$57</definedName>
    <definedName name="Bahan">#REF!</definedName>
    <definedName name="BAHAN?">'[48]Harsat Bahan'!$A$6:$E$731</definedName>
    <definedName name="BAHAN521">[36]URAIAN!$J$1927</definedName>
    <definedName name="balokkam">'[12]har-sat'!$H$23</definedName>
    <definedName name="balokkuda21313">[43]ANALISA!$H$568</definedName>
    <definedName name="BalokRB1">[49]Analis!$I$82</definedName>
    <definedName name="BAQ">[50]Analis!$E$475</definedName>
    <definedName name="batako">'[12]har-sat'!$H$20</definedName>
    <definedName name="Batu_Bata">[40]Harga!$D$27</definedName>
    <definedName name="Batu_Belah___Kali">[40]Harga!$D$29</definedName>
    <definedName name="Batu_Tempel">[40]Harga!$D$28</definedName>
    <definedName name="Batubata">[51]UPAH!$D$22</definedName>
    <definedName name="Baut_Angker">[40]Harga!$D$30</definedName>
    <definedName name="Baut_dia._1_2">[40]Harga!$D$31</definedName>
    <definedName name="Baut_Untuk_Atap_Metal">[40]Harga!$D$33</definedName>
    <definedName name="Bautkuda2">[43]UPAH!$D$87</definedName>
    <definedName name="BBB">[41]Sheet1!$X$3:$AH$54,[41]Sheet1!$X$72:$AH$111,[41]Sheet1!$X$134:$AH$174</definedName>
    <definedName name="BBt">'[52]SAT-DAS'!$I$36</definedName>
    <definedName name="bbtn">[25]DHSD!$G$26</definedName>
    <definedName name="Bdz">'[52]SAT-DAS'!$I$67</definedName>
    <definedName name="besi">[47]ANALISA!$K$88</definedName>
    <definedName name="Besi_Beton_Polos">[40]Harga!$D$34</definedName>
    <definedName name="Besi_Polos">'[53]Daftar Besi Beton Polos'!$C$8:$K$114</definedName>
    <definedName name="besi10">[54]B.T!$C$9</definedName>
    <definedName name="besi12">[54]B.T!$C$11</definedName>
    <definedName name="besi16">[55]B.T!$C$15</definedName>
    <definedName name="besi19">[55]B.T!$C$18</definedName>
    <definedName name="besi6">[55]B.T!$C$5</definedName>
    <definedName name="besi8">[55]B.T!$C$7</definedName>
    <definedName name="BesiBeton">'[56]Upah Modifikasi'!$E$22</definedName>
    <definedName name="Besipolos">[38]harga!$D$40</definedName>
    <definedName name="beton175">'[12]har-sat'!$H$32</definedName>
    <definedName name="BGE">[50]Analis!$E$146</definedName>
    <definedName name="BILL1">[36]Bill!$I$20</definedName>
    <definedName name="BILL10">[36]Bill!$I$399</definedName>
    <definedName name="BILL2">[36]Bill!$I$44</definedName>
    <definedName name="BILL3">[36]Bill!$I$67</definedName>
    <definedName name="BILL4">[36]Bill!$I$93</definedName>
    <definedName name="BILL5">[36]Bill!$I$103</definedName>
    <definedName name="BILL6">[36]Bill!$I$130</definedName>
    <definedName name="BILL7">[36]Bill!$I$270</definedName>
    <definedName name="BILL8">[36]Bill!$I$327</definedName>
    <definedName name="BILL9">[36]Bill!$I$385</definedName>
    <definedName name="Bitumen.Residual.Utk.Pek.Minoor">'[45]Analisa '!$A$935:$G$994</definedName>
    <definedName name="bka">[25]DHSD!$G$17</definedName>
    <definedName name="bkal">'[57]DU&amp;B'!$F$16</definedName>
    <definedName name="bkali">'[12]har-sat'!$H$8</definedName>
    <definedName name="BLK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LK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Bonbon_keramik_setelah_dipasang">'[58]HARGA BAHAN'!$F$21</definedName>
    <definedName name="bor_80">[47]ANALISA!$K$50</definedName>
    <definedName name="borneo">'[12]har-sat'!$H$25</definedName>
    <definedName name="bouwplank">[59]Progress!$C$15</definedName>
    <definedName name="Bt">'[60]SAT-DAS'!$I$27</definedName>
    <definedName name="BULLDOZER">'[39]anlsa alat'!$A$178:$J$236</definedName>
    <definedName name="Camp.Aspal.Panas.Utk.Pek.Minor">'[45]Analisa '!$A$865:$G$934</definedName>
    <definedName name="CANCEL">'[61]2'!$L$720:$W$781</definedName>
    <definedName name="CAPE01">[62]ALAT!$Q$19</definedName>
    <definedName name="CAPE03">[27]ALAT!$Q$21</definedName>
    <definedName name="cape06">[27]ALAT!$Q$24</definedName>
    <definedName name="CAPE09">[27]ALAT!$Q$27</definedName>
    <definedName name="CAPE15">[27]ALAT!$Q$33</definedName>
    <definedName name="Cat_Kayu_Mengkilat">[40]Harga!$D$37</definedName>
    <definedName name="Cat_Menie">[40]Harga!$D$38</definedName>
    <definedName name="Cat_Tembok">[40]Harga!$D$39</definedName>
    <definedName name="ccren">[63]TAB!$F$47</definedName>
    <definedName name="cdh">[63]TAB!$F$74</definedName>
    <definedName name="cdt">[63]TAB!$F$23</definedName>
    <definedName name="cek">[24]Rekap!$H$33</definedName>
    <definedName name="ckk">[63]TAB!$F$43</definedName>
    <definedName name="clt">[63]TAB!$F$71</definedName>
    <definedName name="cmix">[25]DHSD!$G$36</definedName>
    <definedName name="CMr">'[52]SAT-DAS'!$I$68</definedName>
    <definedName name="Code" hidden="1">#REF!</definedName>
    <definedName name="comp">[25]DHSD!$G$35</definedName>
    <definedName name="compress">[64]Harsat!$E$73</definedName>
    <definedName name="CONCRETEMIXER">'[39]anlsa alat'!$A$296:$J$354</definedName>
    <definedName name="CONCRETEVIBRO">'[39]anlsa alat'!$A$1122:$J$1180</definedName>
    <definedName name="covib">[25]DHSD!$G$46</definedName>
    <definedName name="CRANE">'[39]anlsa alat'!$A$355:$J$413</definedName>
    <definedName name="cst">[63]TAB!$F$63</definedName>
    <definedName name="cv">[65]Profil!$C$2</definedName>
    <definedName name="cvr">[63]TAB!$F$39</definedName>
    <definedName name="cwp">[63]TAB!$F$59</definedName>
    <definedName name="D">'[66]Bhn+Uph'!$B$15:$E$630</definedName>
    <definedName name="DAFTARSEWA">'[39]anlsa alat'!$AO$1:$AX$49</definedName>
    <definedName name="DATA">[67]HS!$B$9:$H$110</definedName>
    <definedName name="data1" hidden="1">#REF!</definedName>
    <definedName name="data2" hidden="1">#REF!</definedName>
    <definedName name="data3" hidden="1">#REF!</definedName>
    <definedName name="_xlnm.Database" hidden="1">#REF!</definedName>
    <definedName name="DATAUPAH">'[24]4-Basic Price'!$E$8:$F$38</definedName>
    <definedName name="dfd">'[3]4-Basic Price'!$F$9</definedName>
    <definedName name="dgdf">'[68]SAT-DAS'!$J$68</definedName>
    <definedName name="dharga">[69]Hrg!$B$13:$F$13</definedName>
    <definedName name="Discount" hidden="1">#REF!</definedName>
    <definedName name="display_area_2" hidden="1">#REF!</definedName>
    <definedName name="Divisi1">'[70]Anl. Mobilisasi'!$K$57</definedName>
    <definedName name="Divisi10">'[70]Kuantitas &amp; Harga'!$I$176</definedName>
    <definedName name="Divisi3">'[70]Kuantitas &amp; Harga'!$I$48</definedName>
    <definedName name="Divisi4">'[70]Kuantitas &amp; Harga'!$I$59</definedName>
    <definedName name="Divisi5">'[70]Kuantitas &amp; Harga'!$I$69</definedName>
    <definedName name="Divisi6">'[70]Kuantitas &amp; Harga'!$I$82</definedName>
    <definedName name="Divisi7">'[70]Kuantitas &amp; Harga'!$I$106</definedName>
    <definedName name="Divisi8">'[70]Kuantitas &amp; Harga'!$I$138</definedName>
    <definedName name="dm">1416.98</definedName>
    <definedName name="Doorstop">#REF!</definedName>
    <definedName name="dppvc">'[12]har-sat'!$H$33</definedName>
    <definedName name="dri">[63]DH!$G$13</definedName>
    <definedName name="DUMPTRUCK1">'[39]anlsa alat'!$A$414:$J$472</definedName>
    <definedName name="DUMPTRUCK2">'[39]anlsa alat'!$A$473:$J$531</definedName>
    <definedName name="DUMPTRUCK511">[36]URAIAN!$J$1657</definedName>
    <definedName name="DUMPTRUCK512">[36]URAIAN!$J$1810</definedName>
    <definedName name="DUMPTRUCK521">[36]URAIAN!$J$1965</definedName>
    <definedName name="DUMPTRUCK611">[36]URAIAN!$J$2111</definedName>
    <definedName name="ebd">[63]TAB!$K$32</definedName>
    <definedName name="ecr">[63]TAB!$K$27</definedName>
    <definedName name="ecren">[63]TAB!$K$47</definedName>
    <definedName name="edh">[63]TAB!$K$74</definedName>
    <definedName name="edt">[63]TAB!$K$23</definedName>
    <definedName name="EEE06REV">'[71]5-Peralatan'!$AW$13</definedName>
    <definedName name="EEE09REV1">'[71]5-Peralatan'!$AW$16</definedName>
    <definedName name="EEE17REV">'[71]5-Peralatan'!$AW$24</definedName>
    <definedName name="EEE17REV1">'[71]5-Peralatan'!$AW$24</definedName>
    <definedName name="eex">[63]TAB!$K$11</definedName>
    <definedName name="egen">[63]TAB!$K$67</definedName>
    <definedName name="egr">[63]TAB!$K$55</definedName>
    <definedName name="ekk">[63]TAB!$K$43</definedName>
    <definedName name="ELT">[63]TAB!$K$71</definedName>
    <definedName name="emc">[63]TAB!$K$51</definedName>
    <definedName name="emco">'[12]har-sat'!$H$37</definedName>
    <definedName name="Engsel3">[43]UPAH!$D$39</definedName>
    <definedName name="Engsel4">[43]UPAH!$D$38</definedName>
    <definedName name="est">[63]TAB!$K$63</definedName>
    <definedName name="Eternit">[40]Harga!$D$42</definedName>
    <definedName name="evfv">'[72]SAT-DAS'!$J$54</definedName>
    <definedName name="EVR">[63]TAB!$K$39</definedName>
    <definedName name="ewp">[63]TAB!$K$59</definedName>
    <definedName name="exc">[25]DHSD!$G$39</definedName>
    <definedName name="EXCAVATOR">'[73]An. Alat'!$A$237:$J$237</definedName>
    <definedName name="EXCAVATOR321">[36]URAIAN!$J$889</definedName>
    <definedName name="Excel_BuiltIn_Print_Titles">'[74]Upah Bahan'!$A$7:$IV$8</definedName>
    <definedName name="F">[75]REKAPITULASI!$E$20</definedName>
    <definedName name="fadf">'[68]SAT-DAS'!$J$20</definedName>
    <definedName name="faf">'[68]SAT-DAS'!$J$14</definedName>
    <definedName name="FCode" hidden="1">#REF!</definedName>
    <definedName name="FORM21">'[76]3-DIV2'!$L$1:$V$61</definedName>
    <definedName name="FORM22L">'[76]3-DIV2'!$L$121:$V$121</definedName>
    <definedName name="FORM231">'[76]3-DIV2'!$L$123:$V$183</definedName>
    <definedName name="FORM232">'[76]3-DIV2'!$L$243:$V$303</definedName>
    <definedName name="FORM233">'[76]3-DIV2'!$L$363:$V$423</definedName>
    <definedName name="Form234">'[76]3-DIV2'!$L$483:$V$543</definedName>
    <definedName name="Form235">'[76]3-DIV2'!$L$603:$V$663</definedName>
    <definedName name="Form236">'[76]3-DIV2'!$L$854:$V$914</definedName>
    <definedName name="FORM242">'[76]3-DIV2'!$L$978:$V$1038</definedName>
    <definedName name="FORM243">'[76]3-DIV2'!$L$1039:$V$1100</definedName>
    <definedName name="FORM311">'[77]3-DIV3'!$L$1:$V$61</definedName>
    <definedName name="FORM312">'[77]3-DIV3'!$L$121:$V$181</definedName>
    <definedName name="FORM313">'[77]3-DIV3'!$L$255:$V$315</definedName>
    <definedName name="FORM314">'[77]3-DIV3'!$L$375:$V$435</definedName>
    <definedName name="FORM315">'[77]3-DIV3'!$L$1766:$V$1826</definedName>
    <definedName name="FORM319">'[77]3-DIV3'!$L$1886:$V$1946</definedName>
    <definedName name="FORM322">'[77]3-DIV3'!$L$1947:$V$2007</definedName>
    <definedName name="FORM323">'[77]3-DIV3'!$L$2126:$V$2186</definedName>
    <definedName name="FORM324">'[77]3-DIV3'!$L$2305:$V$2365</definedName>
    <definedName name="FORM331">'[77]3-DIV3'!$L$2427:$V$2487</definedName>
    <definedName name="FORM346">'[77]3-DIV3'!$L$2547:$V$2607</definedName>
    <definedName name="FORM421">'[78]3-DIV4'!$L$1:$V$61</definedName>
    <definedName name="FORM422">'[78]3-DIV4'!$L$180:$V$240</definedName>
    <definedName name="FORM423">'[78]3-DIV4'!$L$479:$V$539</definedName>
    <definedName name="FORM424">'[78]3-DIV4'!$L$359:$V$419</definedName>
    <definedName name="FORM425">'[78]3-DIV4'!$L$718:$V$778</definedName>
    <definedName name="FORM426">'[78]3-DIV4'!$L$897:$V$957</definedName>
    <definedName name="FORM427">'[78]3-DIV4'!$L$1017:$V$1077</definedName>
    <definedName name="FORM511">'[79]3-DIV5'!$L$1:$V$61</definedName>
    <definedName name="FORM512">'[79]3-DIV5'!$L$180:$V$240</definedName>
    <definedName name="FORM521">'[79]3-DIV5'!$L$359:$V$419</definedName>
    <definedName name="FORM522">'[79]3-DIV5'!$L$3075:$V$3135</definedName>
    <definedName name="FORM541">'[79]3-DIV5'!$L$3254:$V$3314</definedName>
    <definedName name="FORM542">'[79]3-DIV5'!$L$3374:$V$3434</definedName>
    <definedName name="G">[75]REKAPITULASI!$E$22</definedName>
    <definedName name="G.Batuan">'[45]Analisa '!$A$214:$G$275</definedName>
    <definedName name="G.Biasa">'[45]Analisa '!$A$152:$G$213</definedName>
    <definedName name="G_50H">'[80]Analisa BOW'!$N$172</definedName>
    <definedName name="gad">'[81]SAT-DAS'!$J$59</definedName>
    <definedName name="galtanahkons">[82]analisa!$I$582</definedName>
    <definedName name="galvalum">'[12]har-sat'!$H$47</definedName>
    <definedName name="galvanis4">'[83]Upah '!$F$43</definedName>
    <definedName name="GENSET">'[73]An. Alat'!$A$238:$J$296</definedName>
    <definedName name="Geotex">[84]Beton!$L$2153:$V$2213</definedName>
    <definedName name="gf">'[85]SAT-DAS'!$J$22</definedName>
    <definedName name="ghgh">'[68]SAT-DAS'!$J$65</definedName>
    <definedName name="ghghh">'[68]SAT-DAS'!$J$38</definedName>
    <definedName name="gip">'[12]har-sat'!$H$41</definedName>
    <definedName name="Grv">'[52]SAT-DAS'!$I$30</definedName>
    <definedName name="gsfg">'[68]SAT-DAS'!$J$38</definedName>
    <definedName name="h_batu_kali">[86]upah!$F$14</definedName>
    <definedName name="h_cat_dasar_vinilex">[86]upah!$F$45</definedName>
    <definedName name="h_cat_super_vibilex">[86]upah!$F$44</definedName>
    <definedName name="h_harga_keramik_dinding_20x25">[86]upah!$F$21</definedName>
    <definedName name="h_kayu_klas_I_kusen">[86]upah!$F$32</definedName>
    <definedName name="h_kayu_klasII">[86]upah!$F$33</definedName>
    <definedName name="h_kep">'[87]HARGA UPAH BAHAN'!$D$9</definedName>
    <definedName name="H_Kepala_tukang">[86]upah!$F$5</definedName>
    <definedName name="h_keramik_20x20">[86]upah!$F$20</definedName>
    <definedName name="h_keramik_lantai_40x40_Merk_ikad">[86]upah!$F$18</definedName>
    <definedName name="h_keramik30x30">[86]upah!$F$19</definedName>
    <definedName name="h_list_kayu_0.5x2.5">[86]upah!$F$35</definedName>
    <definedName name="h_man">'[87]HARGA UPAH BAHAN'!$D$10</definedName>
    <definedName name="h_multyplek9mm">[86]upah!$F$41</definedName>
    <definedName name="h_papan_listplak_25x400">[86]upah!$F$39</definedName>
    <definedName name="h_paving_block">[86]upah!$F$28</definedName>
    <definedName name="h_pek">'[87]HARGA UPAH BAHAN'!$D$7</definedName>
    <definedName name="h_semen_andalas">[86]upah!$F$17</definedName>
    <definedName name="H_triplek_3_mm">[86]upah!$F$40</definedName>
    <definedName name="h_tuk">'[87]HARGA UPAH BAHAN'!$D$8</definedName>
    <definedName name="Hakangin">#REF!</definedName>
    <definedName name="Hammer">[88]harga!$D$78</definedName>
    <definedName name="Handeldek">#REF!</definedName>
    <definedName name="haraga">[89]Hrg!$B$8:$F$10</definedName>
    <definedName name="HARGA">[67]HS!$M$5</definedName>
    <definedName name="harga1">[90]Hrg!$B$8:$F$9</definedName>
    <definedName name="hargaBasic">[91]input!$B$2:$E$134</definedName>
    <definedName name="HASIL">'[36]Rekap Bill'!$H$31</definedName>
    <definedName name="hfg">'[85]SAT-DAS'!$J$15</definedName>
    <definedName name="hgblkdhlh" hidden="1">[92]Sheet2!$H$54:$S$54</definedName>
    <definedName name="hgh">'[3]4-Basic Price'!$F$8</definedName>
    <definedName name="HiddenRows" hidden="1">#REF!</definedName>
    <definedName name="hjhgj">'[68]SAT-DAS'!$J$17</definedName>
    <definedName name="HSAA">[27]AGGR!$H$302</definedName>
    <definedName name="HSAC">[27]AGGR!$H$430</definedName>
    <definedName name="HSAh">[27]AGGR!$H$89</definedName>
    <definedName name="HSAk">[27]AGGR!$H$74</definedName>
    <definedName name="hsRp1">[27]QUARI!$F$79</definedName>
    <definedName name="hsRp2">[27]QUARI!$F$110</definedName>
    <definedName name="hydrolik">[63]DH!$G$33</definedName>
    <definedName name="Ijuk">[40]Harga!$D$46</definedName>
    <definedName name="iones" hidden="1">'[35]Agregat Halus &amp; Kasar'!$H$12:$H$20</definedName>
    <definedName name="J">[75]REKAPITULASI!$E$24</definedName>
    <definedName name="jack">[32]Harsat!$E$94</definedName>
    <definedName name="JACKHAMMER">'[73]An. Alat'!$A$711:$J$769</definedName>
    <definedName name="jer">'[93]Kuantitas &amp; Harga'!$A$100:$J$119</definedName>
    <definedName name="Jrgambar">'[56]Upah Modifikasi'!$E$16</definedName>
    <definedName name="JUDUL">[36]Menu!$B$2</definedName>
    <definedName name="Kabel2.5">[43]UPAH!$D$48</definedName>
    <definedName name="Kaca">#REF!</definedName>
    <definedName name="Kaca_tebal_3_mm">[40]Harga!$D$57</definedName>
    <definedName name="Kaca_tebal_5_mm">[40]Harga!$D$56</definedName>
    <definedName name="Kapur_Batu">[40]Harga!$D$89</definedName>
    <definedName name="kasomer">'[12]har-sat'!$H$26</definedName>
    <definedName name="Kawat_Beton">[40]Harga!$D$47</definedName>
    <definedName name="Kawat_Las">[40]Harga!$D$49</definedName>
    <definedName name="kawatbeton">'[12]har-sat'!$H$14</definedName>
    <definedName name="KawatBtn">'[56]Upah Modifikasi'!$E$23</definedName>
    <definedName name="Kawatdigalvano">'[56]Upah Modifikasi'!$E$30</definedName>
    <definedName name="Kayu_Bekisting">[40]Harga!$D$61</definedName>
    <definedName name="Kayu_Kaso_5_7">[40]Harga!$D$62</definedName>
    <definedName name="Kayu_Klas_I__Damar_Laut_Seumantok_dll">[40]Harga!$D$58</definedName>
    <definedName name="Kayu_Klas_II">[40]Harga!$D$59</definedName>
    <definedName name="Kayu_Rangka">[40]Harga!$D$60</definedName>
    <definedName name="Kayu_Reng_3_4">[40]Harga!$D$63</definedName>
    <definedName name="KayuBekisting">'[56]Upah Modifikasi'!$E$28</definedName>
    <definedName name="kbet">'[57]DU&amp;B'!$F$17</definedName>
    <definedName name="kbeton">[32]Harsat!$E$40</definedName>
    <definedName name="KBr">'[94]SAT-DAS'!$I$38</definedName>
    <definedName name="KBt">'[52]SAT-DAS'!$I$37</definedName>
    <definedName name="kep.tkg">'[12]har-sat'!$H$77</definedName>
    <definedName name="Kepala.Tukang">'[95]DAFTAR HARGA'!$E$12</definedName>
    <definedName name="Kepala_Tukang">[40]Harga!$D$14</definedName>
    <definedName name="Kepalatukang">[88]harga!$D$6</definedName>
    <definedName name="Keptu">[96]Bahan!$D$15</definedName>
    <definedName name="Keramik_Uk._20_x_20_cm_Corak_Warna">[40]Harga!$D$51</definedName>
    <definedName name="Keramik_Uk._20_x_25_cm_Corak_Warna">[40]Harga!$D$50</definedName>
    <definedName name="Keramik_Uk._30_x_30_cm_Corak_Warna">[40]Harga!$D$52</definedName>
    <definedName name="Keramik_Uk._30_x_30_cm_Putih_Polos">[40]Harga!$D$53</definedName>
    <definedName name="Kerikil_Beton">[40]Harga!$D$21</definedName>
    <definedName name="Kertas_Amplas">[40]Harga!$D$54</definedName>
    <definedName name="kkl">'[3]4-Basic Price'!$F$57</definedName>
    <definedName name="Kolom2020">[43]ANALISA!$H$552</definedName>
    <definedName name="KolomK1">[97]Analisa!$I$90</definedName>
    <definedName name="KolomKP">[97]Analisa!$I$81</definedName>
    <definedName name="KolomRB1">[97]Analisa!$I$99</definedName>
    <definedName name="KolomRB2">[97]Analisa!$I$108</definedName>
    <definedName name="Koral_Beton">[40]Harga!$D$55</definedName>
    <definedName name="kperancah">[32]Harsat!$E$39</definedName>
    <definedName name="Kptukang">'[56]Upah Modifikasi'!$E$14</definedName>
    <definedName name="krankitchen">'[12]har-sat'!$H$52</definedName>
    <definedName name="krmddg">'[12]har-sat'!$H$35</definedName>
    <definedName name="krmlt20">'[12]har-sat'!$H$34</definedName>
    <definedName name="krsine">[25]DHSD!$G$24</definedName>
    <definedName name="ktkc">[98]DUB!$F$11</definedName>
    <definedName name="Kuas_3">[40]Harga!$D$68</definedName>
    <definedName name="kuda">[31]Progress!$C$49</definedName>
    <definedName name="Kuncipacok">[43]UPAH!$D$77</definedName>
    <definedName name="Kuncipintu2slaag">[43]UPAH!$D$78</definedName>
    <definedName name="KURVA">[99]REKAPITULASI!$E$12</definedName>
    <definedName name="kwbro">[98]DUB!$F$22</definedName>
    <definedName name="kwbtn">[25]DHSD!$G$27</definedName>
    <definedName name="kydol">[98]DUB!$F$23</definedName>
    <definedName name="kyprch">[25]DHSD!$G$29</definedName>
    <definedName name="l_061">'[100]Upah&amp;Bhn '!$L$80</definedName>
    <definedName name="L_071">'[100]Upah&amp;Bhn '!$L$81</definedName>
    <definedName name="L_072">[101]Upah!$L$83</definedName>
    <definedName name="l_073">[101]Upah!$L$84</definedName>
    <definedName name="L_079">[101]Upah!$L$85</definedName>
    <definedName name="L_081">'[100]Upah&amp;Bhn '!$L$85</definedName>
    <definedName name="L_082">'[100]Upah&amp;Bhn '!$L$86</definedName>
    <definedName name="L_089">[101]Upah!$L$88</definedName>
    <definedName name="L_091">'[100]Upah&amp;Bhn '!$L$88</definedName>
    <definedName name="L_092">'[100]Upah&amp;Bhn '!$L$89</definedName>
    <definedName name="L_099">[101]Upah!$L$91</definedName>
    <definedName name="L_101">'[100]Upah&amp;Bhn '!$L$91</definedName>
    <definedName name="L_103">'[100]Upah&amp;Bhn '!$L$92</definedName>
    <definedName name="L_106">'[100]Upah&amp;Bhn '!$L$93</definedName>
    <definedName name="Lamputl10">[43]UPAH!$D$80</definedName>
    <definedName name="Lamputl20">[43]UPAH!$D$81</definedName>
    <definedName name="Lap.Perekat">'[45]Analisa '!$A$533:$G$592</definedName>
    <definedName name="Lap.Resap.Pengikat">'[45]Analisa '!$A$471:$G$532</definedName>
    <definedName name="Laston.AC">'[45]Analisa '!$A$593:$G$661</definedName>
    <definedName name="latasir">[82]analisa!$I$363</definedName>
    <definedName name="Lem_Fox">[40]Harga!$D$72</definedName>
    <definedName name="Lempengan_Rumput">[40]Harga!$D$69</definedName>
    <definedName name="Lis_Kayu_Profil">[40]Harga!$D$70</definedName>
    <definedName name="List">#REF!</definedName>
    <definedName name="List_Kayu_0_5_x_2_5_cm">[40]Harga!$D$71</definedName>
    <definedName name="ljk">'[68]SAT-DAS'!$J$20</definedName>
    <definedName name="M">'[36]Daftar Harga'!$E$17</definedName>
    <definedName name="m_010">[101]Upah!$M$10</definedName>
    <definedName name="M_013">[101]Upah!$M$12</definedName>
    <definedName name="m_014">[101]Upah!$M$13</definedName>
    <definedName name="m_020">[101]Upah!$M$14</definedName>
    <definedName name="m_021">[101]Upah!$M$15</definedName>
    <definedName name="m_022">[101]Upah!$M$16</definedName>
    <definedName name="m_023">[101]Upah!$M$17</definedName>
    <definedName name="m_024">[101]Upah!$M$18</definedName>
    <definedName name="m_025">[101]Upah!$M$19</definedName>
    <definedName name="m_026">[101]Upah!$M$20</definedName>
    <definedName name="m_031">[101]Upah!$M$21</definedName>
    <definedName name="m_033">[101]Upah!$M$22</definedName>
    <definedName name="m_040">[101]Upah!$M$23</definedName>
    <definedName name="m_041">'[100]Upah&amp;Bhn '!$M$25</definedName>
    <definedName name="M_050">[101]Upah!$M$26</definedName>
    <definedName name="M_061">'[100]Upah&amp;Bhn '!$M$28</definedName>
    <definedName name="M_065">'[100]Upah&amp;Bhn '!$M$29</definedName>
    <definedName name="M_070">[101]Upah!$M$29</definedName>
    <definedName name="M_080">[101]Upah!$M$30</definedName>
    <definedName name="M_081">[101]Upah!$M$31</definedName>
    <definedName name="M_090">[101]Upah!$M$32</definedName>
    <definedName name="M_091">[101]Upah!$M$33</definedName>
    <definedName name="M_100">[101]Upah!$M$34</definedName>
    <definedName name="M_161">[101]Upah!$M$35</definedName>
    <definedName name="M_162">[101]Upah!$M$36</definedName>
    <definedName name="M_163">[101]Upah!$M$37</definedName>
    <definedName name="M_164">[101]Upah!$M$38</definedName>
    <definedName name="M_165">[101]Upah!$M$42</definedName>
    <definedName name="M_166">[101]Upah!$M$43</definedName>
    <definedName name="M_167">[101]Upah!$M$44</definedName>
    <definedName name="M_170">'[100]Upah&amp;Bhn '!$M$45</definedName>
    <definedName name="M_180">[101]Upah!$M$47</definedName>
    <definedName name="M_181">[101]Upah!$M$48</definedName>
    <definedName name="MANDOR33">[36]URAIAN!$J$1219</definedName>
    <definedName name="MANDOR521">[36]URAIAN!$J$2028</definedName>
    <definedName name="MANDOR753">[36]URAIAN!$J$3812</definedName>
    <definedName name="MATERIAL">'[11]Basic Price'!$A$43:$G$175</definedName>
    <definedName name="matim">[25]DHSD!$G$22</definedName>
    <definedName name="mdr">'[52]SAT-DAS'!$I$13</definedName>
    <definedName name="Minyak_Cat">[40]Harga!$D$73</definedName>
    <definedName name="mm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MMM17A">'[11]Basic Price'!$F$83</definedName>
    <definedName name="MMM35A">'[11]Basic Price'!$F$128</definedName>
    <definedName name="MOTORGRADER33">[36]URAIAN!$J$1173</definedName>
    <definedName name="MOTORGRADER511">[36]URAIAN!$J$1681</definedName>
    <definedName name="MOTORGRADER512">[36]URAIAN!$J$1826</definedName>
    <definedName name="MOTORGRADER521">[36]URAIAN!$J$1981</definedName>
    <definedName name="MP">'[102]har-sat'!$K$3</definedName>
    <definedName name="MR_12">'[100]Upah&amp;Bhn '!$M$11</definedName>
    <definedName name="mR_42">[101]Upah!$M$25</definedName>
    <definedName name="MT">'[52]SAT-DAS'!$I$31</definedName>
    <definedName name="N_12">'[36]Analisa Harga'!$K$99</definedName>
    <definedName name="N_22">'[36]Analisa Harga'!$K$212</definedName>
    <definedName name="N_321">'[36]Analisa Harga'!$K$453</definedName>
    <definedName name="N_33">'[36]Analisa Harga'!$K$574</definedName>
    <definedName name="N_34">'[36]Analisa Harga'!$K$637</definedName>
    <definedName name="N_511">'[36]Analisa Harga'!$K$700</definedName>
    <definedName name="N_74">'[36]Analisa Harga'!$K$1502</definedName>
    <definedName name="nb">'[68]SAT-DAS'!$J$33</definedName>
    <definedName name="NEVER">[50]Analis!$E$594</definedName>
    <definedName name="no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nok">'[12]har-sat'!$H$48</definedName>
    <definedName name="nst">[63]TAB!$G$63</definedName>
    <definedName name="OM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OrderTable" hidden="1">#REF!</definedName>
    <definedName name="P">'[36]Daftar Harga'!$E$20</definedName>
    <definedName name="PAKET">'[61]2'!$L$841:$W$902</definedName>
    <definedName name="Paku_Kayu">[40]Harga!$D$74</definedName>
    <definedName name="Paku_Seng">[40]Harga!$D$75</definedName>
    <definedName name="Paku_Ulir">[40]Harga!$D$76</definedName>
    <definedName name="Paku_Ulir_Primadeck">[40]Harga!$D$77</definedName>
    <definedName name="pakutri">'[12]har-sat'!$H$16</definedName>
    <definedName name="Papan_Listplank">[40]Harga!$D$78</definedName>
    <definedName name="Papan_Raider">[40]Harga!$D$79</definedName>
    <definedName name="papankam">'[12]har-sat'!$H$24</definedName>
    <definedName name="papanmer">'[12]har-sat'!$H$27</definedName>
    <definedName name="Pas.Batu.Mekanik">'[45]Analisa '!$A$801:$G$864</definedName>
    <definedName name="pasanganbatu">[82]analisa!$I$801</definedName>
    <definedName name="Pasirbeton">[38]harga!$D$21</definedName>
    <definedName name="Pasirpas">'[56]Upah Modifikasi'!$E$26</definedName>
    <definedName name="Pasirpasang">[51]UPAH!$D$34</definedName>
    <definedName name="pasiru">[47]ANALISA!$K$14</definedName>
    <definedName name="pasr.1">[31]Progress!$C$21</definedName>
    <definedName name="paving">'[12]har-sat'!$H$38</definedName>
    <definedName name="Paving_Block">[40]Harga!$D$82</definedName>
    <definedName name="pbat">'[57]DU&amp;B'!$F$8</definedName>
    <definedName name="pbeton">'[12]har-sat'!$H$9</definedName>
    <definedName name="PEKERJA33">[36]URAIAN!$J$1218</definedName>
    <definedName name="PEKERJA521">[36]URAIAN!$J$2027</definedName>
    <definedName name="PEKERJA753">[36]URAIAN!$J$3814</definedName>
    <definedName name="Pelamur_Tembok">[40]Harga!$D$41</definedName>
    <definedName name="Pelor">#REF!</definedName>
    <definedName name="Pemancangan">[26]NP!$L$183:$V$243</definedName>
    <definedName name="Pembongkaran">[103]NP!$L$841:$V$901</definedName>
    <definedName name="PEN">'[61]2'!$A$1508:$J$1570</definedName>
    <definedName name="Penjaga_Malam_Satpam">[40]Harga!$D$17</definedName>
    <definedName name="pg">[98]DUB!$F$9</definedName>
    <definedName name="pgal">'[57]DU&amp;B'!$F$9</definedName>
    <definedName name="pipagorong">[82]analisa!$I$655</definedName>
    <definedName name="Pipasparing">[43]UPAH!$D$108</definedName>
    <definedName name="Pk">'[52]SAT-DAS'!$I$15</definedName>
    <definedName name="pkj">[25]DHSD!$G$11</definedName>
    <definedName name="Pku">'[104]SAT-DAS'!$I$39</definedName>
    <definedName name="Plat">[49]Analis!$I$108</definedName>
    <definedName name="Platkuda2">[43]UPAH!$D$109</definedName>
    <definedName name="plywood4">'[12]har-sat'!$H$31</definedName>
    <definedName name="plywood9">'[12]har-sat'!$H$30</definedName>
    <definedName name="PoerP1">[97]Analisa!$I$45</definedName>
    <definedName name="pomc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mc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pond.bt.kl">[59]Progress!$C$23</definedName>
    <definedName name="Pond.Klas.A">'[45]Analisa '!$A$340:$G$404</definedName>
    <definedName name="Pond.Klas.B">'[45]Analisa '!$A$405:$G$470</definedName>
    <definedName name="Ponton">[88]harga!$D$79</definedName>
    <definedName name="pop">[63]DH!$G$12</definedName>
    <definedName name="ppasang">'[12]har-sat'!$H$10</definedName>
    <definedName name="Proyek___Bagpro">[27]KWANTITAS!$B$4</definedName>
    <definedName name="Ps">'[52]SAT-DAS'!$I$24</definedName>
    <definedName name="psr">[105]DHSD!$G$16</definedName>
    <definedName name="purug">'[12]har-sat'!$H$11</definedName>
    <definedName name="QQ">'[106]2'!$A$720:$J$840</definedName>
    <definedName name="QRY.3" hidden="1">'[107]Agregat Halus &amp; Kasar'!$I$12:$I$20</definedName>
    <definedName name="rabmck">[108]lab!$Z$162</definedName>
    <definedName name="Rabung_Genteng_Multi_Colour">[40]Harga!$D$83</definedName>
    <definedName name="Rabung_Seng_BJLS_0_35">[40]Harga!$D$84</definedName>
    <definedName name="Rambuncis">#REF!</definedName>
    <definedName name="rbgb">'[72]SAT-DAS'!$J$46</definedName>
    <definedName name="RCArea" hidden="1">#REF!</definedName>
    <definedName name="reewr">[109]Harsat!$E$86</definedName>
    <definedName name="Rekap_analisa">#REF!</definedName>
    <definedName name="ringbalk1520">[43]ANALISA!$H$560</definedName>
    <definedName name="rkp">'[110]Rekap Sal'!$D$2:$M$963</definedName>
    <definedName name="Rol_Cat">[40]Harga!$D$85</definedName>
    <definedName name="rtre">'[85]SAT-DAS'!$J$22</definedName>
    <definedName name="s">'[111]anlsa alat'!$AW$19</definedName>
    <definedName name="Saklar2">[43]UPAH!$D$113</definedName>
    <definedName name="Saklar3">[43]UPAH!$D$114</definedName>
    <definedName name="SAT">[67]HS!$M$4</definedName>
    <definedName name="sbd">[63]TAB!$I$32</definedName>
    <definedName name="scr">[63]TAB!$I$27</definedName>
    <definedName name="scren">[63]TAB!$I$47</definedName>
    <definedName name="sdh">[63]TAB!$I$74</definedName>
    <definedName name="sdt">[63]TAB!$I$23</definedName>
    <definedName name="Semen_Andalas___40_Kg">[40]Harga!$D$87</definedName>
    <definedName name="Semen_Putih">[40]Harga!$D$88</definedName>
    <definedName name="Semenpc40">[51]UPAH!$D$36</definedName>
    <definedName name="seng">'[12]har-sat'!$H$29</definedName>
    <definedName name="Seng_BJLS_0_20">[40]Harga!$D$44</definedName>
    <definedName name="Seng_BJLS_0_30">[40]Harga!$D$45</definedName>
    <definedName name="Seng_Genteng_Multiroof_Emeral">[40]Harga!$D$43</definedName>
    <definedName name="sengplat">[88]harga!$D$29</definedName>
    <definedName name="SERVER">[112]Cashflow!$A$1:$P$99</definedName>
    <definedName name="SERVER2">[112]Cashflow!$A$1:$P$99</definedName>
    <definedName name="seumantok">[88]harga!$D$42</definedName>
    <definedName name="sex">[63]TAB!$I$11</definedName>
    <definedName name="sgen">[63]TAB!$I$67</definedName>
    <definedName name="sgr">[63]TAB!$I$55</definedName>
    <definedName name="Singkil">#REF!</definedName>
    <definedName name="skk">[63]TAB!$I$43</definedName>
    <definedName name="Slimar">#REF!</definedName>
    <definedName name="SloofS1">[49]Analis!$I$56</definedName>
    <definedName name="SloofT1">[97]Analisa!$I$55</definedName>
    <definedName name="SloofT2">[97]Analisa!$I$72</definedName>
    <definedName name="SLT">[63]TAB!$I$71</definedName>
    <definedName name="Sm">'[52]SAT-DAS'!$I$32</definedName>
    <definedName name="smc">[63]TAB!$I$51</definedName>
    <definedName name="smn">[25]DHSD!$G$25</definedName>
    <definedName name="SNI.T_01_1991_03.2_9">[40]Analisa!$L$29</definedName>
    <definedName name="SNI.T_02_1991_03.1_13">[40]Analisa!$L$65</definedName>
    <definedName name="SNI.T_02_1991_03.1_6">[40]Analisa!$L$55</definedName>
    <definedName name="SNI.T_03_1991_03.1_12">[40]Analisa!$L$97</definedName>
    <definedName name="SNI.T_03_1991_03.1_13">[40]Analisa!$L$108</definedName>
    <definedName name="SNI.T_03_1991_03.1_14">[40]Analisa!$L$119</definedName>
    <definedName name="SNI.T_03_1991_03.1_15">[40]Analisa!$L$130</definedName>
    <definedName name="SpecialPrice" hidden="1">#REF!</definedName>
    <definedName name="split">'[12]har-sat'!$H$7</definedName>
    <definedName name="sss">[113]Analis!$E$477</definedName>
    <definedName name="sst">[63]TAB!$I$63</definedName>
    <definedName name="STONECRUSHER">'[73]An. Alat'!$A$533:$J$533</definedName>
    <definedName name="Stp">'[94]SAT-DAS'!$I$77</definedName>
    <definedName name="Strauss">[97]Analisa!$I$37</definedName>
    <definedName name="subkontrak">'[111]anlsa alat'!$AW$11</definedName>
    <definedName name="Supir">[40]Harga!$D$18</definedName>
    <definedName name="Surveyor">'[56]Upah Modifikasi'!$E$15</definedName>
    <definedName name="svr">[63]TAB!$I$39</definedName>
    <definedName name="swp">[63]TAB!$I$59</definedName>
    <definedName name="T">'[36]Daftar Harga'!$E$18</definedName>
    <definedName name="Tanah_Timbun">[40]Harga!$D$90</definedName>
    <definedName name="Tandem">[88]harga!$D$80</definedName>
    <definedName name="Tarikanjendela">[43]UPAH!$D$127</definedName>
    <definedName name="tarol">[25]DHSD!$G$43</definedName>
    <definedName name="tbat">'[57]DU&amp;B'!$F$13</definedName>
    <definedName name="tbl_ProdInfo" hidden="1">#REF!</definedName>
    <definedName name="TEORI">[114]Kantor!$Z$174</definedName>
    <definedName name="tg">'[115]SAT-DAS'!$J$63</definedName>
    <definedName name="Thinner">'[94]SAT-DAS'!$I$55</definedName>
    <definedName name="Timb.Biasa">'[45]Analisa '!$A$276:$G$339</definedName>
    <definedName name="tire">[32]Harsat!$E$86</definedName>
    <definedName name="tirol">[25]DHSD!$G$44</definedName>
    <definedName name="tkg">[25]DHSD!$G$12</definedName>
    <definedName name="tnh">'[94]SAT-DAS'!$I$30</definedName>
    <definedName name="total">[65]Rkp!$D$134,[65]Rkp!#REF!,[65]Rkp!$D$58</definedName>
    <definedName name="Tp">'[104]SAT-DAS'!$I$103</definedName>
    <definedName name="TRACKLOADER">'[73]An. Alat'!$A$297:$J$355</definedName>
    <definedName name="tret">'[68]SAT-DAS'!$J$68</definedName>
    <definedName name="Triplek_T___4_mm">[40]Harga!$D$91</definedName>
    <definedName name="tuk.batu">'[12]har-sat'!$H$86</definedName>
    <definedName name="tuk.besi">'[12]har-sat'!$H$82</definedName>
    <definedName name="tuk.cat">'[12]har-sat'!$H$87</definedName>
    <definedName name="tuk.gali">'[12]har-sat'!$H$79</definedName>
    <definedName name="tuk.kayu">'[12]har-sat'!$H$84</definedName>
    <definedName name="tuk.kusen">'[12]har-sat'!$H$85</definedName>
    <definedName name="TUKANG753">[36]URAIAN!$J$3813</definedName>
    <definedName name="U.Kepala_Tukang_Kayu">'[46]HSBU ANA'!$D$310</definedName>
    <definedName name="U.M_a_n_d_o_r">'[46]HSBU ANA'!$D$321</definedName>
    <definedName name="U.P_e_k_e_r_j_a">'[46]HSBU ANA'!$D$306</definedName>
    <definedName name="U.Tukang_Kayu">'[46]HSBU ANA'!$D$309</definedName>
    <definedName name="UDATA">[67]HS!$M$3</definedName>
    <definedName name="Upah">#REF!</definedName>
    <definedName name="URAIAN">'[76]3-DIV2'!$A$1:$J$1101</definedName>
    <definedName name="URAIAN21">'[76]3-DIV2'!$A$1:$J$121</definedName>
    <definedName name="URAIAN22E">'[76]3-DIV2'!$A$122:$J$123</definedName>
    <definedName name="URAIAN231">'[76]3-DIV2'!$A$124:$J$243</definedName>
    <definedName name="URAIAN232">'[76]3-DIV2'!$A$244:$J$363</definedName>
    <definedName name="URAIAN233">'[76]3-DIV2'!$A$364:$J$483</definedName>
    <definedName name="Uraian234">'[76]3-DIV2'!$A$484:$J$603</definedName>
    <definedName name="Uraian235">'[76]3-DIV2'!$A$604:$J$854</definedName>
    <definedName name="Uraian236">'[76]3-DIV2'!$A$855:$J$973</definedName>
    <definedName name="URAIAN241">'[76]3-DIV2'!$A$974:$J$978</definedName>
    <definedName name="URAIAN242">'[76]3-DIV2'!$A$979:$J$1039</definedName>
    <definedName name="URAIAN243">'[76]3-DIV2'!$A$1040:$J$1101</definedName>
    <definedName name="Uraian311">'[77]3-DIV3'!$A$1:$J$120</definedName>
    <definedName name="Uraian312">'[77]3-DIV3'!$A$121:$J$240</definedName>
    <definedName name="Uraian313">'[77]3-DIV3'!$A$255:$J$374</definedName>
    <definedName name="Uraian314">'[77]3-DIV3'!$A$375:$J$494</definedName>
    <definedName name="Uraian315">'[77]3-DIV3'!$A$1766:$J$1885</definedName>
    <definedName name="Uraian319">'[77]3-DIV3'!$A$1886:$J$1946</definedName>
    <definedName name="Uraian322">'[77]3-DIV3'!$A$1947:$J$2127</definedName>
    <definedName name="Uraian323">'[77]3-DIV3'!$A$2128:$J$2306</definedName>
    <definedName name="Uraian324">'[77]3-DIV3'!$A$2307:$J$2428</definedName>
    <definedName name="Uraian331">'[77]3-DIV3'!$A$2429:$J$2548</definedName>
    <definedName name="Uraian346">'[77]3-DIV3'!$A$2549:$J$2609</definedName>
    <definedName name="URAIAN421">'[78]3-DIV4'!$A$1:$J$179</definedName>
    <definedName name="URAIAN422">'[78]3-DIV4'!$A$180:$J$358</definedName>
    <definedName name="URAIAN423">'[78]3-DIV4'!$A$479:$J$717</definedName>
    <definedName name="URAIAN424">'[78]3-DIV4'!$A$359:$J$478</definedName>
    <definedName name="URAIAN425">'[78]3-DIV4'!$A$718:$J$896</definedName>
    <definedName name="URAIAN426">'[78]3-DIV4'!$A$897:$J$1016</definedName>
    <definedName name="URAIAN427">'[78]3-DIV4'!$A$1017:$J$1136</definedName>
    <definedName name="URAIAN511">'[79]3-DIV5'!$A$1:$J$179</definedName>
    <definedName name="URAIAN512">'[79]3-DIV5'!$A$180:$J$358</definedName>
    <definedName name="URAIAN521">'[79]3-DIV5'!$A$359:$J$537</definedName>
    <definedName name="URAIAN522">'[79]3-DIV5'!$A$3075:$J$3253</definedName>
    <definedName name="URAIAN541">'[79]3-DIV5'!$A$3254:$J$3373</definedName>
    <definedName name="URAIAN542">'[79]3-DIV5'!$A$3374:$J$3612</definedName>
    <definedName name="uuuu">'[111]anlsa alat'!$BP$187</definedName>
    <definedName name="vczv">'[68]SAT-DAS'!$J$53</definedName>
    <definedName name="VIBROROLLER">'[73]An. Alat'!$A$415:$J$473</definedName>
    <definedName name="VIBROROLLER33">[36]URAIAN!$J$1184</definedName>
    <definedName name="VIBROROLLER511">[36]URAIAN!$J$1692</definedName>
    <definedName name="VIBROROLLER512">[36]URAIAN!$J$1836</definedName>
    <definedName name="VIBROROLLER521">[36]URAIAN!$J$1992</definedName>
    <definedName name="vinilex">'[12]har-sat'!$H$36</definedName>
    <definedName name="virol">[18]DHSD!$G$45</definedName>
    <definedName name="VR">'[52]SAT-DAS'!$I$73</definedName>
    <definedName name="W">[116]analisa!$I$947</definedName>
    <definedName name="waterproofing">'[12]har-sat'!$H$40</definedName>
    <definedName name="WATERPUMP">'[73]An. Alat'!$A$534:$J$592</definedName>
    <definedName name="WATERTANK33">[36]URAIAN!$J$1204</definedName>
    <definedName name="WATERTANK511">[36]URAIAN!$J$1714</definedName>
    <definedName name="WATERTANK512">[36]URAIAN!$J$1859</definedName>
    <definedName name="WATERTANK521">[36]URAIAN!$J$2002</definedName>
    <definedName name="WATERTANKER">'[73]An. Alat'!$A$593:$J$651</definedName>
    <definedName name="watkr">[25]DHSD!$G$47</definedName>
    <definedName name="WC">'[117]Gedung Kantor'!$Z$215</definedName>
    <definedName name="wf">'[12]har-sat'!$H$49</definedName>
    <definedName name="WHEELLOADER">'[73]An. Alat'!$A$356:$J$414</definedName>
    <definedName name="WHELLLOADER511">[36]URAIAN!$J$1641</definedName>
    <definedName name="WHELLLOADER512">[36]URAIAN!$J$1787</definedName>
    <definedName name="WHELLLOADER521">[36]URAIAN!$J$1942</definedName>
    <definedName name="Wiremesh">'[56]Upah Modifikasi'!$E$22</definedName>
    <definedName name="wrn.AAA." localSheetId="4" hidden="1">{#N/A,#N/A,FALSE,"REK";#N/A,#N/A,FALSE,"Bq-ARS"}</definedName>
    <definedName name="wrn.AAA." localSheetId="5" hidden="1">{#N/A,#N/A,FALSE,"REK";#N/A,#N/A,FALSE,"Bq-ARS"}</definedName>
    <definedName name="wrn.AAA." localSheetId="7" hidden="1">{#N/A,#N/A,FALSE,"REK";#N/A,#N/A,FALSE,"Bq-ARS"}</definedName>
    <definedName name="wrn.AAA." localSheetId="6" hidden="1">{#N/A,#N/A,FALSE,"REK";#N/A,#N/A,FALSE,"Bq-ARS"}</definedName>
    <definedName name="wrn.AAA." localSheetId="0" hidden="1">{#N/A,#N/A,FALSE,"REK";#N/A,#N/A,FALSE,"Bq-ARS"}</definedName>
    <definedName name="wrn.AAA." localSheetId="1" hidden="1">{#N/A,#N/A,FALSE,"REK";#N/A,#N/A,FALSE,"Bq-ARS"}</definedName>
    <definedName name="wrn.AAA." localSheetId="3" hidden="1">{#N/A,#N/A,FALSE,"REK";#N/A,#N/A,FALSE,"Bq-ARS"}</definedName>
    <definedName name="wrn.AAA." localSheetId="2" hidden="1">{#N/A,#N/A,FALSE,"REK";#N/A,#N/A,FALSE,"Bq-ARS"}</definedName>
    <definedName name="wrn.AAA." hidden="1">{#N/A,#N/A,FALSE,"REK";#N/A,#N/A,FALSE,"Bq-ARS"}</definedName>
    <definedName name="wrn.chi._.tiÆt." localSheetId="4" hidden="1">{#N/A,#N/A,FALSE,"Chi tiÆt"}</definedName>
    <definedName name="wrn.chi._.tiÆt." localSheetId="5" hidden="1">{#N/A,#N/A,FALSE,"Chi tiÆt"}</definedName>
    <definedName name="wrn.chi._.tiÆt." localSheetId="7" hidden="1">{#N/A,#N/A,FALSE,"Chi tiÆt"}</definedName>
    <definedName name="wrn.chi._.tiÆt." localSheetId="6" hidden="1">{#N/A,#N/A,FALSE,"Chi tiÆt"}</definedName>
    <definedName name="wrn.chi._.tiÆt." localSheetId="0" hidden="1">{#N/A,#N/A,FALSE,"Chi tiÆt"}</definedName>
    <definedName name="wrn.chi._.tiÆt." localSheetId="1" hidden="1">{#N/A,#N/A,FALSE,"Chi tiÆt"}</definedName>
    <definedName name="wrn.chi._.tiÆt." localSheetId="3" hidden="1">{#N/A,#N/A,FALSE,"Chi tiÆt"}</definedName>
    <definedName name="wrn.chi._.tiÆt." localSheetId="2" hidden="1">{#N/A,#N/A,FALSE,"Chi tiÆt"}</definedName>
    <definedName name="wrn.chi._.tiÆt." hidden="1">{#N/A,#N/A,FALSE,"Chi tiÆt"}</definedName>
    <definedName name="wrn.Full._.Report." localSheetId="4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7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0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3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rtpl." localSheetId="4" hidden="1">{#N/A,#N/A,FALSE,"REK-S-TPL";#N/A,#N/A,FALSE,"REK-TPML";#N/A,#N/A,FALSE,"RAB-TEMPEL"}</definedName>
    <definedName name="wrn.rtpl." localSheetId="5" hidden="1">{#N/A,#N/A,FALSE,"REK-S-TPL";#N/A,#N/A,FALSE,"REK-TPML";#N/A,#N/A,FALSE,"RAB-TEMPEL"}</definedName>
    <definedName name="wrn.rtpl." localSheetId="7" hidden="1">{#N/A,#N/A,FALSE,"REK-S-TPL";#N/A,#N/A,FALSE,"REK-TPML";#N/A,#N/A,FALSE,"RAB-TEMPEL"}</definedName>
    <definedName name="wrn.rtpl." localSheetId="6" hidden="1">{#N/A,#N/A,FALSE,"REK-S-TPL";#N/A,#N/A,FALSE,"REK-TPML";#N/A,#N/A,FALSE,"RAB-TEMPEL"}</definedName>
    <definedName name="wrn.rtpl." localSheetId="0" hidden="1">{#N/A,#N/A,FALSE,"REK-S-TPL";#N/A,#N/A,FALSE,"REK-TPML";#N/A,#N/A,FALSE,"RAB-TEMPEL"}</definedName>
    <definedName name="wrn.rtpl." localSheetId="1" hidden="1">{#N/A,#N/A,FALSE,"REK-S-TPL";#N/A,#N/A,FALSE,"REK-TPML";#N/A,#N/A,FALSE,"RAB-TEMPEL"}</definedName>
    <definedName name="wrn.rtpl." localSheetId="3" hidden="1">{#N/A,#N/A,FALSE,"REK-S-TPL";#N/A,#N/A,FALSE,"REK-TPML";#N/A,#N/A,FALSE,"RAB-TEMPEL"}</definedName>
    <definedName name="wrn.rtpl." localSheetId="2" hidden="1">{#N/A,#N/A,FALSE,"REK-S-TPL";#N/A,#N/A,FALSE,"REK-TPML";#N/A,#N/A,FALSE,"RAB-TEMPEL"}</definedName>
    <definedName name="wrn.rtpl." hidden="1">{#N/A,#N/A,FALSE,"REK-S-TPL";#N/A,#N/A,FALSE,"REK-TPML";#N/A,#N/A,FALSE,"RAB-TEMPEL"}</definedName>
    <definedName name="wrn.ry." localSheetId="4" hidden="1">{#N/A,#N/A,FALSE,"REK";#N/A,#N/A,FALSE,"rab"}</definedName>
    <definedName name="wrn.ry." localSheetId="5" hidden="1">{#N/A,#N/A,FALSE,"REK";#N/A,#N/A,FALSE,"rab"}</definedName>
    <definedName name="wrn.ry." localSheetId="7" hidden="1">{#N/A,#N/A,FALSE,"REK";#N/A,#N/A,FALSE,"rab"}</definedName>
    <definedName name="wrn.ry." localSheetId="6" hidden="1">{#N/A,#N/A,FALSE,"REK";#N/A,#N/A,FALSE,"rab"}</definedName>
    <definedName name="wrn.ry." localSheetId="0" hidden="1">{#N/A,#N/A,FALSE,"REK";#N/A,#N/A,FALSE,"rab"}</definedName>
    <definedName name="wrn.ry." localSheetId="1" hidden="1">{#N/A,#N/A,FALSE,"REK";#N/A,#N/A,FALSE,"rab"}</definedName>
    <definedName name="wrn.ry." localSheetId="3" hidden="1">{#N/A,#N/A,FALSE,"REK";#N/A,#N/A,FALSE,"rab"}</definedName>
    <definedName name="wrn.ry." localSheetId="2" hidden="1">{#N/A,#N/A,FALSE,"REK";#N/A,#N/A,FALSE,"rab"}</definedName>
    <definedName name="wrn.ry." hidden="1">{#N/A,#N/A,FALSE,"REK";#N/A,#N/A,FALSE,"rab"}</definedName>
    <definedName name="WT">'[60]SAT-DAS'!$I$76</definedName>
    <definedName name="WWW">'[39]anlsa alat'!$AW$9</definedName>
    <definedName name="WWWWW">[118]B.T!$C$9</definedName>
    <definedName name="XAF9a">[20]BOW!$B$150</definedName>
    <definedName name="XAF9b">[20]BOW!$B$166</definedName>
    <definedName name="XAF9c">[20]BOW!$B$182</definedName>
    <definedName name="xk010a">[20]Analisa!$J$1104</definedName>
    <definedName name="xk020a">[20]Analisa!$K$7085</definedName>
    <definedName name="XK224a">[20]Analisa!$K$1233</definedName>
    <definedName name="XK514.a">[20]Analisa!$K$540</definedName>
    <definedName name="xk514a">[20]Analisa!$J$653</definedName>
    <definedName name="XK612a">[20]Analisa!$K$2234</definedName>
    <definedName name="xk621a">[20]Analisa!$E$5949</definedName>
    <definedName name="Xkg.2">[20]Analisa!$B$5672</definedName>
    <definedName name="xx">[20]Analisa!$G$2140</definedName>
    <definedName name="yhh">'[115]SAT-DAS'!$J$19</definedName>
    <definedName name="yuy">'[68]SAT-DAS'!$J$65</definedName>
    <definedName name="yyy">'[111]anlsa alat'!$AW$22</definedName>
    <definedName name="Z_3F9B5724_02A1_494E_8A05_6302C3C28A11_.wvu.PrintArea" hidden="1">#REF!</definedName>
    <definedName name="Zekring1">[43]UPAH!$D$26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9" i="55" l="1"/>
  <c r="F3" i="53"/>
  <c r="F4" i="53"/>
  <c r="F5" i="53"/>
  <c r="F6" i="53"/>
  <c r="D9" i="12"/>
  <c r="E9" i="12"/>
  <c r="F9" i="12"/>
  <c r="D10" i="12"/>
  <c r="F10" i="12"/>
  <c r="F11" i="12"/>
  <c r="F12" i="12"/>
  <c r="F13" i="12"/>
  <c r="E6" i="46"/>
  <c r="E6" i="54"/>
  <c r="E6" i="55"/>
  <c r="E6" i="51"/>
  <c r="E7" i="53"/>
  <c r="F7" i="53"/>
  <c r="F8" i="53"/>
  <c r="F9" i="53"/>
  <c r="F10" i="53"/>
  <c r="F11" i="53"/>
  <c r="F2" i="53"/>
  <c r="F14" i="53"/>
  <c r="C15" i="53"/>
  <c r="E18" i="54"/>
  <c r="E18" i="55"/>
  <c r="E18" i="51"/>
  <c r="E15" i="53"/>
  <c r="F15" i="53"/>
  <c r="F16" i="53"/>
  <c r="C17" i="53"/>
  <c r="E19" i="54"/>
  <c r="E19" i="55"/>
  <c r="E19" i="51"/>
  <c r="E17" i="53"/>
  <c r="F17" i="53"/>
  <c r="C18" i="53"/>
  <c r="E18" i="53"/>
  <c r="F18" i="53"/>
  <c r="F19" i="53"/>
  <c r="F20" i="53"/>
  <c r="F21" i="53"/>
  <c r="F13" i="53"/>
  <c r="F24" i="53"/>
  <c r="C25" i="53"/>
  <c r="D27" i="12"/>
  <c r="F27" i="12"/>
  <c r="F28" i="12"/>
  <c r="F29" i="12"/>
  <c r="F30" i="12"/>
  <c r="E94" i="37"/>
  <c r="F94" i="37"/>
  <c r="D95" i="37"/>
  <c r="D69" i="12"/>
  <c r="D79" i="12"/>
  <c r="E79" i="12"/>
  <c r="F79" i="12"/>
  <c r="D80" i="12"/>
  <c r="E75" i="12"/>
  <c r="E80" i="12"/>
  <c r="F80" i="12"/>
  <c r="E71" i="12"/>
  <c r="E81" i="12"/>
  <c r="F81" i="12"/>
  <c r="F82" i="12"/>
  <c r="E11" i="37"/>
  <c r="E23" i="37"/>
  <c r="E29" i="37"/>
  <c r="E35" i="37"/>
  <c r="E41" i="37"/>
  <c r="E47" i="37"/>
  <c r="E53" i="37"/>
  <c r="E59" i="37"/>
  <c r="E65" i="37"/>
  <c r="E77" i="37"/>
  <c r="E83" i="37"/>
  <c r="E89" i="37"/>
  <c r="E95" i="37"/>
  <c r="F95" i="37"/>
  <c r="D96" i="37"/>
  <c r="E78" i="37"/>
  <c r="E84" i="37"/>
  <c r="E90" i="37"/>
  <c r="E96" i="37"/>
  <c r="F96" i="37"/>
  <c r="D97" i="37"/>
  <c r="D50" i="12"/>
  <c r="E50" i="12"/>
  <c r="F50" i="12"/>
  <c r="D51" i="12"/>
  <c r="E51" i="12"/>
  <c r="F51" i="12"/>
  <c r="E52" i="12"/>
  <c r="F52" i="12"/>
  <c r="F53" i="12"/>
  <c r="F54" i="12"/>
  <c r="E13" i="37"/>
  <c r="E25" i="37"/>
  <c r="E31" i="37"/>
  <c r="E37" i="37"/>
  <c r="E43" i="37"/>
  <c r="E49" i="37"/>
  <c r="E55" i="37"/>
  <c r="E61" i="37"/>
  <c r="E67" i="37"/>
  <c r="E79" i="37"/>
  <c r="E85" i="37"/>
  <c r="E91" i="37"/>
  <c r="E97" i="37"/>
  <c r="F97" i="37"/>
  <c r="F98" i="37"/>
  <c r="E25" i="53"/>
  <c r="F25" i="53"/>
  <c r="C26" i="53"/>
  <c r="D32" i="12"/>
  <c r="D37" i="12"/>
  <c r="E37" i="12"/>
  <c r="F37" i="12"/>
  <c r="E38" i="12"/>
  <c r="F38" i="12"/>
  <c r="F39" i="12"/>
  <c r="F40" i="12"/>
  <c r="F41" i="12"/>
  <c r="E10" i="37"/>
  <c r="E22" i="37"/>
  <c r="E28" i="37"/>
  <c r="E34" i="37"/>
  <c r="E40" i="37"/>
  <c r="E46" i="37"/>
  <c r="E76" i="37"/>
  <c r="F76" i="37"/>
  <c r="D77" i="37"/>
  <c r="F77" i="37"/>
  <c r="D78" i="37"/>
  <c r="F78" i="37"/>
  <c r="D79" i="37"/>
  <c r="F79" i="37"/>
  <c r="F80" i="37"/>
  <c r="E29" i="46"/>
  <c r="E29" i="54"/>
  <c r="E29" i="55"/>
  <c r="E29" i="51"/>
  <c r="E26" i="53"/>
  <c r="F26" i="53"/>
  <c r="F27" i="53"/>
  <c r="C28" i="53"/>
  <c r="E52" i="37"/>
  <c r="F52" i="37"/>
  <c r="D53" i="37"/>
  <c r="F53" i="37"/>
  <c r="D54" i="37"/>
  <c r="E69" i="12"/>
  <c r="F69" i="12"/>
  <c r="F70" i="12"/>
  <c r="F71" i="12"/>
  <c r="F72" i="12"/>
  <c r="E12" i="37"/>
  <c r="E24" i="37"/>
  <c r="E30" i="37"/>
  <c r="E36" i="37"/>
  <c r="E42" i="37"/>
  <c r="E48" i="37"/>
  <c r="E54" i="37"/>
  <c r="F54" i="37"/>
  <c r="D55" i="37"/>
  <c r="F55" i="37"/>
  <c r="F56" i="37"/>
  <c r="E28" i="53"/>
  <c r="F28" i="53"/>
  <c r="C29" i="53"/>
  <c r="E58" i="37"/>
  <c r="F58" i="37"/>
  <c r="D59" i="37"/>
  <c r="F59" i="37"/>
  <c r="D60" i="37"/>
  <c r="E60" i="37"/>
  <c r="F60" i="37"/>
  <c r="D61" i="37"/>
  <c r="F61" i="37"/>
  <c r="F62" i="37"/>
  <c r="E29" i="53"/>
  <c r="F29" i="53"/>
  <c r="C30" i="53"/>
  <c r="E64" i="37"/>
  <c r="F64" i="37"/>
  <c r="D65" i="37"/>
  <c r="F65" i="37"/>
  <c r="D66" i="37"/>
  <c r="E66" i="37"/>
  <c r="F66" i="37"/>
  <c r="D67" i="37"/>
  <c r="F67" i="37"/>
  <c r="F68" i="37"/>
  <c r="E30" i="53"/>
  <c r="F30" i="53"/>
  <c r="C31" i="53"/>
  <c r="E70" i="37"/>
  <c r="F70" i="37"/>
  <c r="D71" i="37"/>
  <c r="E71" i="37"/>
  <c r="F71" i="37"/>
  <c r="D72" i="37"/>
  <c r="E72" i="37"/>
  <c r="F72" i="37"/>
  <c r="D73" i="37"/>
  <c r="E73" i="37"/>
  <c r="F73" i="37"/>
  <c r="F74" i="37"/>
  <c r="E31" i="53"/>
  <c r="F31" i="53"/>
  <c r="F32" i="53"/>
  <c r="F33" i="53"/>
  <c r="C34" i="53"/>
  <c r="E388" i="37"/>
  <c r="F388" i="37"/>
  <c r="D389" i="37"/>
  <c r="E101" i="37"/>
  <c r="E107" i="37"/>
  <c r="E112" i="37"/>
  <c r="E124" i="37"/>
  <c r="E130" i="37"/>
  <c r="E136" i="37"/>
  <c r="E142" i="37"/>
  <c r="E148" i="37"/>
  <c r="E154" i="37"/>
  <c r="E389" i="37"/>
  <c r="F389" i="37"/>
  <c r="D390" i="37"/>
  <c r="D56" i="12"/>
  <c r="E56" i="12"/>
  <c r="F56" i="12"/>
  <c r="D57" i="12"/>
  <c r="E57" i="12"/>
  <c r="F57" i="12"/>
  <c r="E58" i="12"/>
  <c r="F58" i="12"/>
  <c r="F59" i="12"/>
  <c r="F60" i="12"/>
  <c r="E126" i="37"/>
  <c r="E132" i="37"/>
  <c r="E138" i="37"/>
  <c r="E144" i="37"/>
  <c r="E150" i="37"/>
  <c r="E156" i="37"/>
  <c r="E162" i="37"/>
  <c r="E168" i="37"/>
  <c r="E390" i="37"/>
  <c r="F390" i="37"/>
  <c r="F391" i="37"/>
  <c r="E34" i="53"/>
  <c r="F34" i="53"/>
  <c r="C35" i="53"/>
  <c r="E393" i="37"/>
  <c r="F393" i="37"/>
  <c r="D394" i="37"/>
  <c r="E394" i="37"/>
  <c r="F394" i="37"/>
  <c r="D395" i="37"/>
  <c r="E137" i="37"/>
  <c r="E143" i="37"/>
  <c r="E149" i="37"/>
  <c r="E395" i="37"/>
  <c r="F395" i="37"/>
  <c r="D396" i="37"/>
  <c r="D62" i="12"/>
  <c r="E62" i="12"/>
  <c r="F62" i="12"/>
  <c r="D63" i="12"/>
  <c r="E63" i="12"/>
  <c r="F63" i="12"/>
  <c r="E64" i="12"/>
  <c r="F64" i="12"/>
  <c r="F89" i="12"/>
  <c r="F90" i="12"/>
  <c r="F91" i="12"/>
  <c r="E65" i="12"/>
  <c r="F65" i="12"/>
  <c r="E66" i="12"/>
  <c r="F66" i="12"/>
  <c r="F67" i="12"/>
  <c r="E396" i="37"/>
  <c r="F396" i="37"/>
  <c r="F397" i="37"/>
  <c r="E35" i="53"/>
  <c r="F35" i="53"/>
  <c r="F36" i="53"/>
  <c r="E22" i="46"/>
  <c r="E22" i="54"/>
  <c r="E22" i="55"/>
  <c r="E22" i="51"/>
  <c r="E37" i="53"/>
  <c r="F37" i="53"/>
  <c r="C38" i="53"/>
  <c r="D43" i="12"/>
  <c r="E15" i="12"/>
  <c r="E43" i="12"/>
  <c r="F43" i="12"/>
  <c r="D44" i="12"/>
  <c r="E16" i="12"/>
  <c r="E44" i="12"/>
  <c r="F44" i="12"/>
  <c r="E17" i="12"/>
  <c r="E45" i="12"/>
  <c r="F45" i="12"/>
  <c r="E46" i="12"/>
  <c r="F46" i="12"/>
  <c r="E47" i="12"/>
  <c r="F47" i="12"/>
  <c r="F48" i="12"/>
  <c r="E39" i="46"/>
  <c r="E39" i="54"/>
  <c r="E39" i="55"/>
  <c r="E39" i="51"/>
  <c r="E38" i="53"/>
  <c r="F38" i="53"/>
  <c r="C39" i="53"/>
  <c r="E39" i="53"/>
  <c r="F39" i="53"/>
  <c r="C40" i="53"/>
  <c r="E40" i="53"/>
  <c r="F40" i="53"/>
  <c r="F41" i="53"/>
  <c r="F42" i="53"/>
  <c r="F43" i="53"/>
  <c r="F23" i="53"/>
  <c r="F46" i="53"/>
  <c r="C47" i="53"/>
  <c r="E47" i="53"/>
  <c r="F47" i="53"/>
  <c r="C48" i="53"/>
  <c r="E48" i="53"/>
  <c r="F48" i="53"/>
  <c r="C49" i="53"/>
  <c r="E49" i="53"/>
  <c r="F49" i="53"/>
  <c r="C50" i="53"/>
  <c r="D106" i="12"/>
  <c r="E106" i="12"/>
  <c r="F106" i="12"/>
  <c r="F107" i="12"/>
  <c r="F108" i="12"/>
  <c r="F109" i="12"/>
  <c r="E50" i="53"/>
  <c r="F50" i="53"/>
  <c r="C51" i="53"/>
  <c r="F51" i="53"/>
  <c r="F52" i="53"/>
  <c r="F53" i="53"/>
  <c r="C54" i="53"/>
  <c r="D199" i="12"/>
  <c r="E199" i="12"/>
  <c r="F199" i="12"/>
  <c r="D200" i="12"/>
  <c r="F200" i="12"/>
  <c r="F201" i="12"/>
  <c r="F202" i="12"/>
  <c r="F203" i="12"/>
  <c r="E190" i="46"/>
  <c r="E54" i="53"/>
  <c r="F54" i="53"/>
  <c r="F55" i="53"/>
  <c r="F56" i="53"/>
  <c r="F57" i="53"/>
  <c r="F45" i="53"/>
  <c r="F60" i="53"/>
  <c r="C61" i="53"/>
  <c r="D93" i="12"/>
  <c r="E93" i="12"/>
  <c r="F93" i="12"/>
  <c r="D94" i="12"/>
  <c r="E94" i="12"/>
  <c r="F94" i="12"/>
  <c r="F95" i="12"/>
  <c r="F96" i="12"/>
  <c r="F97" i="12"/>
  <c r="E237" i="46"/>
  <c r="E247" i="46"/>
  <c r="E258" i="46"/>
  <c r="E258" i="54"/>
  <c r="E259" i="55"/>
  <c r="E259" i="51"/>
  <c r="E61" i="53"/>
  <c r="F61" i="53"/>
  <c r="C62" i="53"/>
  <c r="E238" i="46"/>
  <c r="E248" i="46"/>
  <c r="E259" i="46"/>
  <c r="E259" i="54"/>
  <c r="E260" i="55"/>
  <c r="E260" i="51"/>
  <c r="E62" i="53"/>
  <c r="F62" i="53"/>
  <c r="F63" i="53"/>
  <c r="F64" i="53"/>
  <c r="F65" i="53"/>
  <c r="F59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67" i="53"/>
  <c r="F85" i="53"/>
  <c r="F86" i="53"/>
  <c r="E87" i="53"/>
  <c r="F87" i="53"/>
  <c r="E88" i="53"/>
  <c r="F88" i="53"/>
  <c r="F89" i="53"/>
  <c r="F90" i="53"/>
  <c r="F91" i="53"/>
  <c r="F92" i="53"/>
  <c r="F93" i="53"/>
  <c r="F94" i="53"/>
  <c r="F84" i="53"/>
  <c r="F95" i="53"/>
  <c r="F96" i="53"/>
  <c r="F3" i="51"/>
  <c r="E4" i="54"/>
  <c r="E4" i="55"/>
  <c r="E4" i="51"/>
  <c r="F4" i="51"/>
  <c r="E5" i="46"/>
  <c r="E5" i="54"/>
  <c r="E5" i="55"/>
  <c r="E5" i="51"/>
  <c r="F5" i="51"/>
  <c r="F6" i="51"/>
  <c r="E7" i="54"/>
  <c r="E7" i="55"/>
  <c r="E7" i="51"/>
  <c r="F7" i="51"/>
  <c r="E8" i="54"/>
  <c r="E8" i="55"/>
  <c r="E8" i="51"/>
  <c r="F8" i="51"/>
  <c r="F9" i="51"/>
  <c r="F10" i="51"/>
  <c r="F11" i="51"/>
  <c r="F2" i="51"/>
  <c r="F8" i="52"/>
  <c r="F14" i="51"/>
  <c r="F230" i="12"/>
  <c r="E231" i="12"/>
  <c r="F231" i="12"/>
  <c r="F232" i="12"/>
  <c r="F233" i="12"/>
  <c r="E234" i="12"/>
  <c r="F234" i="12"/>
  <c r="F235" i="12"/>
  <c r="E15" i="46"/>
  <c r="E15" i="54"/>
  <c r="E15" i="55"/>
  <c r="E15" i="51"/>
  <c r="F15" i="51"/>
  <c r="C16" i="51"/>
  <c r="D84" i="12"/>
  <c r="E84" i="12"/>
  <c r="F84" i="12"/>
  <c r="E85" i="12"/>
  <c r="F85" i="12"/>
  <c r="E86" i="12"/>
  <c r="F86" i="12"/>
  <c r="F87" i="12"/>
  <c r="E16" i="46"/>
  <c r="E16" i="54"/>
  <c r="E16" i="55"/>
  <c r="E16" i="51"/>
  <c r="F16" i="51"/>
  <c r="C17" i="51"/>
  <c r="E17" i="46"/>
  <c r="E17" i="54"/>
  <c r="E17" i="55"/>
  <c r="E17" i="51"/>
  <c r="F17" i="51"/>
  <c r="C18" i="51"/>
  <c r="F18" i="51"/>
  <c r="C19" i="51"/>
  <c r="F19" i="51"/>
  <c r="C20" i="51"/>
  <c r="E20" i="54"/>
  <c r="E20" i="55"/>
  <c r="E20" i="51"/>
  <c r="F20" i="51"/>
  <c r="C21" i="51"/>
  <c r="E21" i="46"/>
  <c r="E21" i="54"/>
  <c r="E21" i="55"/>
  <c r="E21" i="51"/>
  <c r="F21" i="51"/>
  <c r="F22" i="51"/>
  <c r="F23" i="51"/>
  <c r="F24" i="51"/>
  <c r="F25" i="51"/>
  <c r="F13" i="51"/>
  <c r="F9" i="52"/>
  <c r="F28" i="51"/>
  <c r="C29" i="51"/>
  <c r="F29" i="51"/>
  <c r="C30" i="51"/>
  <c r="E82" i="37"/>
  <c r="F82" i="37"/>
  <c r="D83" i="37"/>
  <c r="F83" i="37"/>
  <c r="D84" i="37"/>
  <c r="F84" i="37"/>
  <c r="D85" i="37"/>
  <c r="F85" i="37"/>
  <c r="F86" i="37"/>
  <c r="E30" i="46"/>
  <c r="E30" i="54"/>
  <c r="E30" i="55"/>
  <c r="E30" i="51"/>
  <c r="F30" i="51"/>
  <c r="C31" i="51"/>
  <c r="E88" i="37"/>
  <c r="F88" i="37"/>
  <c r="D89" i="37"/>
  <c r="F89" i="37"/>
  <c r="D90" i="37"/>
  <c r="F90" i="37"/>
  <c r="D91" i="37"/>
  <c r="F91" i="37"/>
  <c r="F92" i="37"/>
  <c r="E31" i="46"/>
  <c r="E31" i="54"/>
  <c r="E31" i="55"/>
  <c r="E31" i="51"/>
  <c r="F31" i="51"/>
  <c r="C32" i="51"/>
  <c r="E100" i="37"/>
  <c r="F100" i="37"/>
  <c r="D101" i="37"/>
  <c r="F101" i="37"/>
  <c r="D102" i="37"/>
  <c r="E102" i="37"/>
  <c r="F102" i="37"/>
  <c r="D103" i="37"/>
  <c r="E103" i="37"/>
  <c r="F103" i="37"/>
  <c r="F104" i="37"/>
  <c r="E32" i="46"/>
  <c r="E32" i="54"/>
  <c r="E32" i="55"/>
  <c r="E32" i="51"/>
  <c r="F32" i="51"/>
  <c r="C33" i="51"/>
  <c r="E106" i="37"/>
  <c r="F106" i="37"/>
  <c r="D107" i="37"/>
  <c r="F107" i="37"/>
  <c r="D108" i="37"/>
  <c r="E108" i="37"/>
  <c r="F108" i="37"/>
  <c r="F109" i="37"/>
  <c r="E33" i="46"/>
  <c r="E33" i="54"/>
  <c r="E33" i="55"/>
  <c r="E33" i="51"/>
  <c r="F33" i="51"/>
  <c r="C34" i="51"/>
  <c r="F10" i="37"/>
  <c r="D11" i="37"/>
  <c r="F11" i="37"/>
  <c r="D12" i="37"/>
  <c r="F12" i="37"/>
  <c r="D13" i="37"/>
  <c r="F13" i="37"/>
  <c r="F14" i="37"/>
  <c r="E34" i="46"/>
  <c r="E34" i="54"/>
  <c r="E34" i="55"/>
  <c r="E34" i="51"/>
  <c r="F34" i="51"/>
  <c r="C35" i="51"/>
  <c r="E16" i="37"/>
  <c r="F16" i="37"/>
  <c r="D17" i="37"/>
  <c r="E17" i="37"/>
  <c r="F17" i="37"/>
  <c r="D18" i="37"/>
  <c r="E18" i="37"/>
  <c r="F18" i="37"/>
  <c r="D19" i="37"/>
  <c r="E19" i="37"/>
  <c r="F19" i="37"/>
  <c r="F20" i="37"/>
  <c r="E35" i="46"/>
  <c r="E35" i="54"/>
  <c r="E35" i="55"/>
  <c r="E35" i="51"/>
  <c r="F35" i="51"/>
  <c r="C36" i="51"/>
  <c r="F22" i="37"/>
  <c r="D23" i="37"/>
  <c r="F23" i="37"/>
  <c r="D24" i="37"/>
  <c r="F24" i="37"/>
  <c r="D25" i="37"/>
  <c r="F25" i="37"/>
  <c r="F26" i="37"/>
  <c r="E36" i="46"/>
  <c r="E36" i="54"/>
  <c r="E36" i="55"/>
  <c r="E36" i="51"/>
  <c r="F36" i="51"/>
  <c r="C37" i="51"/>
  <c r="F28" i="37"/>
  <c r="D29" i="37"/>
  <c r="F29" i="37"/>
  <c r="D30" i="37"/>
  <c r="F30" i="37"/>
  <c r="D31" i="37"/>
  <c r="F31" i="37"/>
  <c r="F32" i="37"/>
  <c r="E37" i="46"/>
  <c r="E37" i="54"/>
  <c r="E37" i="55"/>
  <c r="E37" i="51"/>
  <c r="F37" i="51"/>
  <c r="C38" i="51"/>
  <c r="F46" i="37"/>
  <c r="D47" i="37"/>
  <c r="F47" i="37"/>
  <c r="D48" i="37"/>
  <c r="F48" i="37"/>
  <c r="D49" i="37"/>
  <c r="F49" i="37"/>
  <c r="F50" i="37"/>
  <c r="E38" i="46"/>
  <c r="E38" i="54"/>
  <c r="E38" i="55"/>
  <c r="E38" i="51"/>
  <c r="F38" i="51"/>
  <c r="C39" i="51"/>
  <c r="F39" i="51"/>
  <c r="F40" i="51"/>
  <c r="F41" i="51"/>
  <c r="F42" i="51"/>
  <c r="F27" i="51"/>
  <c r="F10" i="52"/>
  <c r="F45" i="51"/>
  <c r="F46" i="51"/>
  <c r="C47" i="51"/>
  <c r="F32" i="12"/>
  <c r="F33" i="12"/>
  <c r="F34" i="12"/>
  <c r="F35" i="12"/>
  <c r="E446" i="37"/>
  <c r="F446" i="37"/>
  <c r="D447" i="37"/>
  <c r="E447" i="37"/>
  <c r="F447" i="37"/>
  <c r="F448" i="37"/>
  <c r="E47" i="46"/>
  <c r="E47" i="54"/>
  <c r="E47" i="55"/>
  <c r="E47" i="51"/>
  <c r="F47" i="51"/>
  <c r="C48" i="51"/>
  <c r="E442" i="37"/>
  <c r="F442" i="37"/>
  <c r="D443" i="37"/>
  <c r="E443" i="37"/>
  <c r="F443" i="37"/>
  <c r="F444" i="37"/>
  <c r="E48" i="46"/>
  <c r="E48" i="54"/>
  <c r="E48" i="55"/>
  <c r="E48" i="51"/>
  <c r="F48" i="51"/>
  <c r="C49" i="51"/>
  <c r="D15" i="12"/>
  <c r="F15" i="12"/>
  <c r="D16" i="12"/>
  <c r="F16" i="12"/>
  <c r="F17" i="12"/>
  <c r="F18" i="12"/>
  <c r="F19" i="12"/>
  <c r="F20" i="12"/>
  <c r="E111" i="37"/>
  <c r="F111" i="37"/>
  <c r="D112" i="37"/>
  <c r="F112" i="37"/>
  <c r="D113" i="37"/>
  <c r="E113" i="37"/>
  <c r="F113" i="37"/>
  <c r="D114" i="37"/>
  <c r="E114" i="37"/>
  <c r="F114" i="37"/>
  <c r="F115" i="37"/>
  <c r="E49" i="46"/>
  <c r="E49" i="54"/>
  <c r="E49" i="55"/>
  <c r="E49" i="51"/>
  <c r="F49" i="51"/>
  <c r="C50" i="51"/>
  <c r="E123" i="37"/>
  <c r="E129" i="37"/>
  <c r="F129" i="37"/>
  <c r="D130" i="37"/>
  <c r="F130" i="37"/>
  <c r="D131" i="37"/>
  <c r="E118" i="37"/>
  <c r="E125" i="37"/>
  <c r="E131" i="37"/>
  <c r="F131" i="37"/>
  <c r="D132" i="37"/>
  <c r="F132" i="37"/>
  <c r="F133" i="37"/>
  <c r="E50" i="46"/>
  <c r="E50" i="54"/>
  <c r="E50" i="55"/>
  <c r="E50" i="51"/>
  <c r="F50" i="51"/>
  <c r="C51" i="51"/>
  <c r="E135" i="37"/>
  <c r="E141" i="37"/>
  <c r="F141" i="37"/>
  <c r="D142" i="37"/>
  <c r="F142" i="37"/>
  <c r="D143" i="37"/>
  <c r="F143" i="37"/>
  <c r="D144" i="37"/>
  <c r="F144" i="37"/>
  <c r="F145" i="37"/>
  <c r="E51" i="46"/>
  <c r="E51" i="54"/>
  <c r="E51" i="55"/>
  <c r="E51" i="51"/>
  <c r="F51" i="51"/>
  <c r="C52" i="51"/>
  <c r="E147" i="37"/>
  <c r="F147" i="37"/>
  <c r="D148" i="37"/>
  <c r="F148" i="37"/>
  <c r="D149" i="37"/>
  <c r="F149" i="37"/>
  <c r="D150" i="37"/>
  <c r="F150" i="37"/>
  <c r="F151" i="37"/>
  <c r="E52" i="46"/>
  <c r="E52" i="54"/>
  <c r="E52" i="55"/>
  <c r="E52" i="51"/>
  <c r="F52" i="51"/>
  <c r="C53" i="51"/>
  <c r="E153" i="37"/>
  <c r="F153" i="37"/>
  <c r="D154" i="37"/>
  <c r="F154" i="37"/>
  <c r="D155" i="37"/>
  <c r="E155" i="37"/>
  <c r="F155" i="37"/>
  <c r="D156" i="37"/>
  <c r="F156" i="37"/>
  <c r="F157" i="37"/>
  <c r="E53" i="46"/>
  <c r="E53" i="54"/>
  <c r="E53" i="55"/>
  <c r="E53" i="51"/>
  <c r="F53" i="51"/>
  <c r="C54" i="51"/>
  <c r="E159" i="37"/>
  <c r="F159" i="37"/>
  <c r="D160" i="37"/>
  <c r="E160" i="37"/>
  <c r="F160" i="37"/>
  <c r="D161" i="37"/>
  <c r="E161" i="37"/>
  <c r="F161" i="37"/>
  <c r="D162" i="37"/>
  <c r="F162" i="37"/>
  <c r="F163" i="37"/>
  <c r="E54" i="46"/>
  <c r="E54" i="54"/>
  <c r="E54" i="55"/>
  <c r="E54" i="51"/>
  <c r="F54" i="51"/>
  <c r="C55" i="51"/>
  <c r="E165" i="37"/>
  <c r="F165" i="37"/>
  <c r="D166" i="37"/>
  <c r="E166" i="37"/>
  <c r="F166" i="37"/>
  <c r="D167" i="37"/>
  <c r="E167" i="37"/>
  <c r="F167" i="37"/>
  <c r="D168" i="37"/>
  <c r="F168" i="37"/>
  <c r="F169" i="37"/>
  <c r="E55" i="46"/>
  <c r="E55" i="54"/>
  <c r="E55" i="55"/>
  <c r="E55" i="51"/>
  <c r="F55" i="51"/>
  <c r="C56" i="51"/>
  <c r="E171" i="37"/>
  <c r="F171" i="37"/>
  <c r="D172" i="37"/>
  <c r="E172" i="37"/>
  <c r="F172" i="37"/>
  <c r="D173" i="37"/>
  <c r="E173" i="37"/>
  <c r="F173" i="37"/>
  <c r="D174" i="37"/>
  <c r="E174" i="37"/>
  <c r="F174" i="37"/>
  <c r="F175" i="37"/>
  <c r="E56" i="46"/>
  <c r="E56" i="54"/>
  <c r="E56" i="55"/>
  <c r="E56" i="51"/>
  <c r="F56" i="51"/>
  <c r="C57" i="51"/>
  <c r="E177" i="37"/>
  <c r="F177" i="37"/>
  <c r="D178" i="37"/>
  <c r="E178" i="37"/>
  <c r="F178" i="37"/>
  <c r="D179" i="37"/>
  <c r="E179" i="37"/>
  <c r="F179" i="37"/>
  <c r="D180" i="37"/>
  <c r="E180" i="37"/>
  <c r="F180" i="37"/>
  <c r="F181" i="37"/>
  <c r="E57" i="46"/>
  <c r="E57" i="54"/>
  <c r="E57" i="55"/>
  <c r="E57" i="51"/>
  <c r="F57" i="51"/>
  <c r="C58" i="51"/>
  <c r="E183" i="37"/>
  <c r="F183" i="37"/>
  <c r="D184" i="37"/>
  <c r="E184" i="37"/>
  <c r="F184" i="37"/>
  <c r="D185" i="37"/>
  <c r="E185" i="37"/>
  <c r="F185" i="37"/>
  <c r="D186" i="37"/>
  <c r="E186" i="37"/>
  <c r="F186" i="37"/>
  <c r="F187" i="37"/>
  <c r="E58" i="46"/>
  <c r="E58" i="54"/>
  <c r="E58" i="55"/>
  <c r="E58" i="51"/>
  <c r="F58" i="51"/>
  <c r="C59" i="51"/>
  <c r="E189" i="37"/>
  <c r="F189" i="37"/>
  <c r="D190" i="37"/>
  <c r="E190" i="37"/>
  <c r="F190" i="37"/>
  <c r="D191" i="37"/>
  <c r="E191" i="37"/>
  <c r="F191" i="37"/>
  <c r="D192" i="37"/>
  <c r="E192" i="37"/>
  <c r="F192" i="37"/>
  <c r="F193" i="37"/>
  <c r="E59" i="46"/>
  <c r="E59" i="54"/>
  <c r="E59" i="55"/>
  <c r="E59" i="51"/>
  <c r="F59" i="51"/>
  <c r="F60" i="51"/>
  <c r="F61" i="51"/>
  <c r="C62" i="51"/>
  <c r="E62" i="46"/>
  <c r="E62" i="54"/>
  <c r="E62" i="55"/>
  <c r="E62" i="51"/>
  <c r="F62" i="51"/>
  <c r="C63" i="51"/>
  <c r="E63" i="46"/>
  <c r="E63" i="54"/>
  <c r="E63" i="55"/>
  <c r="E63" i="51"/>
  <c r="F63" i="51"/>
  <c r="C64" i="51"/>
  <c r="F135" i="37"/>
  <c r="D136" i="37"/>
  <c r="F136" i="37"/>
  <c r="D137" i="37"/>
  <c r="F137" i="37"/>
  <c r="D138" i="37"/>
  <c r="F138" i="37"/>
  <c r="F139" i="37"/>
  <c r="E64" i="46"/>
  <c r="E64" i="54"/>
  <c r="E64" i="55"/>
  <c r="E64" i="51"/>
  <c r="F64" i="51"/>
  <c r="C65" i="51"/>
  <c r="E65" i="46"/>
  <c r="E65" i="54"/>
  <c r="E65" i="55"/>
  <c r="E65" i="51"/>
  <c r="F65" i="51"/>
  <c r="C66" i="51"/>
  <c r="E225" i="37"/>
  <c r="E231" i="37"/>
  <c r="E237" i="37"/>
  <c r="E243" i="37"/>
  <c r="E249" i="37"/>
  <c r="E255" i="37"/>
  <c r="F255" i="37"/>
  <c r="D256" i="37"/>
  <c r="E226" i="37"/>
  <c r="E232" i="37"/>
  <c r="E238" i="37"/>
  <c r="E244" i="37"/>
  <c r="E250" i="37"/>
  <c r="E256" i="37"/>
  <c r="F256" i="37"/>
  <c r="D257" i="37"/>
  <c r="E227" i="37"/>
  <c r="E233" i="37"/>
  <c r="E239" i="37"/>
  <c r="E245" i="37"/>
  <c r="E251" i="37"/>
  <c r="E257" i="37"/>
  <c r="F257" i="37"/>
  <c r="D258" i="37"/>
  <c r="E228" i="37"/>
  <c r="E234" i="37"/>
  <c r="E240" i="37"/>
  <c r="E246" i="37"/>
  <c r="E252" i="37"/>
  <c r="E258" i="37"/>
  <c r="F258" i="37"/>
  <c r="F259" i="37"/>
  <c r="E66" i="46"/>
  <c r="E66" i="54"/>
  <c r="E66" i="55"/>
  <c r="E66" i="51"/>
  <c r="F66" i="51"/>
  <c r="C67" i="51"/>
  <c r="E261" i="37"/>
  <c r="F261" i="37"/>
  <c r="D262" i="37"/>
  <c r="E262" i="37"/>
  <c r="F262" i="37"/>
  <c r="D263" i="37"/>
  <c r="E263" i="37"/>
  <c r="F263" i="37"/>
  <c r="D264" i="37"/>
  <c r="E264" i="37"/>
  <c r="F264" i="37"/>
  <c r="F265" i="37"/>
  <c r="E67" i="46"/>
  <c r="E67" i="54"/>
  <c r="E67" i="55"/>
  <c r="E67" i="51"/>
  <c r="F67" i="51"/>
  <c r="C68" i="51"/>
  <c r="E267" i="37"/>
  <c r="E279" i="37"/>
  <c r="E285" i="37"/>
  <c r="F285" i="37"/>
  <c r="D286" i="37"/>
  <c r="E268" i="37"/>
  <c r="E280" i="37"/>
  <c r="E286" i="37"/>
  <c r="F286" i="37"/>
  <c r="D287" i="37"/>
  <c r="E269" i="37"/>
  <c r="E281" i="37"/>
  <c r="E287" i="37"/>
  <c r="F287" i="37"/>
  <c r="D288" i="37"/>
  <c r="E270" i="37"/>
  <c r="E282" i="37"/>
  <c r="E288" i="37"/>
  <c r="F288" i="37"/>
  <c r="F289" i="37"/>
  <c r="E68" i="46"/>
  <c r="E68" i="54"/>
  <c r="E68" i="55"/>
  <c r="E68" i="51"/>
  <c r="F68" i="51"/>
  <c r="C69" i="51"/>
  <c r="E291" i="37"/>
  <c r="E297" i="37"/>
  <c r="F297" i="37"/>
  <c r="D298" i="37"/>
  <c r="E292" i="37"/>
  <c r="E298" i="37"/>
  <c r="F298" i="37"/>
  <c r="D299" i="37"/>
  <c r="E293" i="37"/>
  <c r="E299" i="37"/>
  <c r="F299" i="37"/>
  <c r="D300" i="37"/>
  <c r="E294" i="37"/>
  <c r="E300" i="37"/>
  <c r="F300" i="37"/>
  <c r="F301" i="37"/>
  <c r="E69" i="46"/>
  <c r="E69" i="54"/>
  <c r="E69" i="55"/>
  <c r="E69" i="51"/>
  <c r="F69" i="51"/>
  <c r="C70" i="51"/>
  <c r="E303" i="37"/>
  <c r="E309" i="37"/>
  <c r="E315" i="37"/>
  <c r="F315" i="37"/>
  <c r="D316" i="37"/>
  <c r="E304" i="37"/>
  <c r="E310" i="37"/>
  <c r="E316" i="37"/>
  <c r="F316" i="37"/>
  <c r="D317" i="37"/>
  <c r="E305" i="37"/>
  <c r="E311" i="37"/>
  <c r="E317" i="37"/>
  <c r="F317" i="37"/>
  <c r="D318" i="37"/>
  <c r="E306" i="37"/>
  <c r="E312" i="37"/>
  <c r="E318" i="37"/>
  <c r="F318" i="37"/>
  <c r="F319" i="37"/>
  <c r="E70" i="46"/>
  <c r="E70" i="54"/>
  <c r="E70" i="55"/>
  <c r="E70" i="51"/>
  <c r="F70" i="51"/>
  <c r="C71" i="51"/>
  <c r="E321" i="37"/>
  <c r="F321" i="37"/>
  <c r="D322" i="37"/>
  <c r="E322" i="37"/>
  <c r="F322" i="37"/>
  <c r="D323" i="37"/>
  <c r="E323" i="37"/>
  <c r="F323" i="37"/>
  <c r="D324" i="37"/>
  <c r="E324" i="37"/>
  <c r="F324" i="37"/>
  <c r="F325" i="37"/>
  <c r="E71" i="46"/>
  <c r="E71" i="54"/>
  <c r="E71" i="55"/>
  <c r="E71" i="51"/>
  <c r="F71" i="51"/>
  <c r="E72" i="54"/>
  <c r="E72" i="55"/>
  <c r="E72" i="51"/>
  <c r="F72" i="51"/>
  <c r="C73" i="51"/>
  <c r="E327" i="37"/>
  <c r="E333" i="37"/>
  <c r="F333" i="37"/>
  <c r="D334" i="37"/>
  <c r="E328" i="37"/>
  <c r="E334" i="37"/>
  <c r="F334" i="37"/>
  <c r="D335" i="37"/>
  <c r="E329" i="37"/>
  <c r="E335" i="37"/>
  <c r="F335" i="37"/>
  <c r="D336" i="37"/>
  <c r="E330" i="37"/>
  <c r="E336" i="37"/>
  <c r="F336" i="37"/>
  <c r="F337" i="37"/>
  <c r="E73" i="46"/>
  <c r="E73" i="54"/>
  <c r="E73" i="55"/>
  <c r="E73" i="51"/>
  <c r="F73" i="51"/>
  <c r="C74" i="51"/>
  <c r="E339" i="37"/>
  <c r="F339" i="37"/>
  <c r="D340" i="37"/>
  <c r="E340" i="37"/>
  <c r="F340" i="37"/>
  <c r="D341" i="37"/>
  <c r="E341" i="37"/>
  <c r="F341" i="37"/>
  <c r="D342" i="37"/>
  <c r="E342" i="37"/>
  <c r="F342" i="37"/>
  <c r="D343" i="37"/>
  <c r="E343" i="37"/>
  <c r="F343" i="37"/>
  <c r="F344" i="37"/>
  <c r="E74" i="46"/>
  <c r="E74" i="54"/>
  <c r="E74" i="55"/>
  <c r="E74" i="51"/>
  <c r="F74" i="51"/>
  <c r="C75" i="51"/>
  <c r="E346" i="37"/>
  <c r="F346" i="37"/>
  <c r="D347" i="37"/>
  <c r="E347" i="37"/>
  <c r="F347" i="37"/>
  <c r="D348" i="37"/>
  <c r="E348" i="37"/>
  <c r="F348" i="37"/>
  <c r="D349" i="37"/>
  <c r="E349" i="37"/>
  <c r="F349" i="37"/>
  <c r="D350" i="37"/>
  <c r="E350" i="37"/>
  <c r="F350" i="37"/>
  <c r="F351" i="37"/>
  <c r="E75" i="46"/>
  <c r="E75" i="54"/>
  <c r="E75" i="55"/>
  <c r="E75" i="51"/>
  <c r="F75" i="51"/>
  <c r="C76" i="51"/>
  <c r="E353" i="37"/>
  <c r="F353" i="37"/>
  <c r="D354" i="37"/>
  <c r="E354" i="37"/>
  <c r="F354" i="37"/>
  <c r="D355" i="37"/>
  <c r="E355" i="37"/>
  <c r="F355" i="37"/>
  <c r="D356" i="37"/>
  <c r="E356" i="37"/>
  <c r="F356" i="37"/>
  <c r="D357" i="37"/>
  <c r="E357" i="37"/>
  <c r="F357" i="37"/>
  <c r="F358" i="37"/>
  <c r="E76" i="46"/>
  <c r="E76" i="54"/>
  <c r="E76" i="55"/>
  <c r="E76" i="51"/>
  <c r="F76" i="51"/>
  <c r="C77" i="51"/>
  <c r="E360" i="37"/>
  <c r="E367" i="37"/>
  <c r="E374" i="37"/>
  <c r="F374" i="37"/>
  <c r="D375" i="37"/>
  <c r="E361" i="37"/>
  <c r="E368" i="37"/>
  <c r="E375" i="37"/>
  <c r="F375" i="37"/>
  <c r="D376" i="37"/>
  <c r="E376" i="37"/>
  <c r="F376" i="37"/>
  <c r="D377" i="37"/>
  <c r="E363" i="37"/>
  <c r="E370" i="37"/>
  <c r="E377" i="37"/>
  <c r="F377" i="37"/>
  <c r="D378" i="37"/>
  <c r="E364" i="37"/>
  <c r="E371" i="37"/>
  <c r="E378" i="37"/>
  <c r="F378" i="37"/>
  <c r="F379" i="37"/>
  <c r="E77" i="46"/>
  <c r="E77" i="54"/>
  <c r="E77" i="55"/>
  <c r="E77" i="51"/>
  <c r="F77" i="51"/>
  <c r="C78" i="51"/>
  <c r="E381" i="37"/>
  <c r="F381" i="37"/>
  <c r="D382" i="37"/>
  <c r="E382" i="37"/>
  <c r="F382" i="37"/>
  <c r="D383" i="37"/>
  <c r="E383" i="37"/>
  <c r="F383" i="37"/>
  <c r="D384" i="37"/>
  <c r="E384" i="37"/>
  <c r="F384" i="37"/>
  <c r="D385" i="37"/>
  <c r="E385" i="37"/>
  <c r="F385" i="37"/>
  <c r="F386" i="37"/>
  <c r="E78" i="46"/>
  <c r="E78" i="54"/>
  <c r="E78" i="55"/>
  <c r="E78" i="51"/>
  <c r="F78" i="51"/>
  <c r="C79" i="51"/>
  <c r="F360" i="37"/>
  <c r="D361" i="37"/>
  <c r="F361" i="37"/>
  <c r="D362" i="37"/>
  <c r="E362" i="37"/>
  <c r="F362" i="37"/>
  <c r="D363" i="37"/>
  <c r="F363" i="37"/>
  <c r="D364" i="37"/>
  <c r="F364" i="37"/>
  <c r="F365" i="37"/>
  <c r="E79" i="46"/>
  <c r="E79" i="54"/>
  <c r="E79" i="55"/>
  <c r="E79" i="51"/>
  <c r="F79" i="51"/>
  <c r="C80" i="51"/>
  <c r="F367" i="37"/>
  <c r="D368" i="37"/>
  <c r="F368" i="37"/>
  <c r="D369" i="37"/>
  <c r="E369" i="37"/>
  <c r="F369" i="37"/>
  <c r="D370" i="37"/>
  <c r="F370" i="37"/>
  <c r="D371" i="37"/>
  <c r="F371" i="37"/>
  <c r="F372" i="37"/>
  <c r="E80" i="46"/>
  <c r="E80" i="54"/>
  <c r="E80" i="55"/>
  <c r="E80" i="51"/>
  <c r="F80" i="51"/>
  <c r="F81" i="51"/>
  <c r="C82" i="51"/>
  <c r="F123" i="37"/>
  <c r="D124" i="37"/>
  <c r="F124" i="37"/>
  <c r="D125" i="37"/>
  <c r="F125" i="37"/>
  <c r="D126" i="37"/>
  <c r="F126" i="37"/>
  <c r="F127" i="37"/>
  <c r="E83" i="55"/>
  <c r="E82" i="51"/>
  <c r="F82" i="51"/>
  <c r="C83" i="51"/>
  <c r="E117" i="37"/>
  <c r="F117" i="37"/>
  <c r="D118" i="37"/>
  <c r="F118" i="37"/>
  <c r="D119" i="37"/>
  <c r="D74" i="12"/>
  <c r="E74" i="12"/>
  <c r="F74" i="12"/>
  <c r="D75" i="12"/>
  <c r="F75" i="12"/>
  <c r="E76" i="12"/>
  <c r="F76" i="12"/>
  <c r="F77" i="12"/>
  <c r="E119" i="37"/>
  <c r="F119" i="37"/>
  <c r="D120" i="37"/>
  <c r="E120" i="37"/>
  <c r="F120" i="37"/>
  <c r="F121" i="37"/>
  <c r="E84" i="55"/>
  <c r="E83" i="51"/>
  <c r="F83" i="51"/>
  <c r="C84" i="51"/>
  <c r="F267" i="37"/>
  <c r="D268" i="37"/>
  <c r="F268" i="37"/>
  <c r="D269" i="37"/>
  <c r="F269" i="37"/>
  <c r="D270" i="37"/>
  <c r="F270" i="37"/>
  <c r="F271" i="37"/>
  <c r="E85" i="55"/>
  <c r="E84" i="51"/>
  <c r="F84" i="51"/>
  <c r="C85" i="51"/>
  <c r="F225" i="37"/>
  <c r="D226" i="37"/>
  <c r="F226" i="37"/>
  <c r="D227" i="37"/>
  <c r="F227" i="37"/>
  <c r="D228" i="37"/>
  <c r="F228" i="37"/>
  <c r="F229" i="37"/>
  <c r="E86" i="55"/>
  <c r="E85" i="51"/>
  <c r="F85" i="51"/>
  <c r="C86" i="51"/>
  <c r="F231" i="37"/>
  <c r="D232" i="37"/>
  <c r="F232" i="37"/>
  <c r="D233" i="37"/>
  <c r="F233" i="37"/>
  <c r="D234" i="37"/>
  <c r="F234" i="37"/>
  <c r="F235" i="37"/>
  <c r="E87" i="55"/>
  <c r="E86" i="51"/>
  <c r="F86" i="51"/>
  <c r="C87" i="51"/>
  <c r="F237" i="37"/>
  <c r="D238" i="37"/>
  <c r="F238" i="37"/>
  <c r="D239" i="37"/>
  <c r="F239" i="37"/>
  <c r="D240" i="37"/>
  <c r="F240" i="37"/>
  <c r="F241" i="37"/>
  <c r="E88" i="55"/>
  <c r="E87" i="51"/>
  <c r="F87" i="51"/>
  <c r="C88" i="51"/>
  <c r="E82" i="55"/>
  <c r="E88" i="51"/>
  <c r="F88" i="51"/>
  <c r="F44" i="51"/>
  <c r="F91" i="51"/>
  <c r="C92" i="51"/>
  <c r="E92" i="46"/>
  <c r="E92" i="54"/>
  <c r="E92" i="55"/>
  <c r="E92" i="51"/>
  <c r="F92" i="51"/>
  <c r="C93" i="51"/>
  <c r="E93" i="46"/>
  <c r="E93" i="54"/>
  <c r="E93" i="55"/>
  <c r="E93" i="51"/>
  <c r="F93" i="51"/>
  <c r="C94" i="51"/>
  <c r="E94" i="46"/>
  <c r="E94" i="54"/>
  <c r="E94" i="55"/>
  <c r="E94" i="51"/>
  <c r="F94" i="51"/>
  <c r="C95" i="51"/>
  <c r="E95" i="46"/>
  <c r="E95" i="54"/>
  <c r="E95" i="55"/>
  <c r="E95" i="51"/>
  <c r="F95" i="51"/>
  <c r="C96" i="51"/>
  <c r="E96" i="46"/>
  <c r="E96" i="54"/>
  <c r="E96" i="55"/>
  <c r="E96" i="51"/>
  <c r="F96" i="51"/>
  <c r="C97" i="51"/>
  <c r="F279" i="37"/>
  <c r="D280" i="37"/>
  <c r="F280" i="37"/>
  <c r="D281" i="37"/>
  <c r="F281" i="37"/>
  <c r="D282" i="37"/>
  <c r="F282" i="37"/>
  <c r="F283" i="37"/>
  <c r="E97" i="46"/>
  <c r="E97" i="54"/>
  <c r="E97" i="55"/>
  <c r="E97" i="51"/>
  <c r="F97" i="51"/>
  <c r="C98" i="51"/>
  <c r="E98" i="46"/>
  <c r="E98" i="54"/>
  <c r="E98" i="55"/>
  <c r="E98" i="51"/>
  <c r="F98" i="51"/>
  <c r="C99" i="51"/>
  <c r="F291" i="37"/>
  <c r="D292" i="37"/>
  <c r="F292" i="37"/>
  <c r="D293" i="37"/>
  <c r="F293" i="37"/>
  <c r="D294" i="37"/>
  <c r="F294" i="37"/>
  <c r="F295" i="37"/>
  <c r="E99" i="46"/>
  <c r="E99" i="54"/>
  <c r="E99" i="55"/>
  <c r="E99" i="51"/>
  <c r="F99" i="51"/>
  <c r="C100" i="51"/>
  <c r="E100" i="46"/>
  <c r="E100" i="54"/>
  <c r="E100" i="55"/>
  <c r="E100" i="51"/>
  <c r="F100" i="51"/>
  <c r="C101" i="51"/>
  <c r="E101" i="46"/>
  <c r="E101" i="54"/>
  <c r="E101" i="55"/>
  <c r="E101" i="51"/>
  <c r="F101" i="51"/>
  <c r="E102" i="54"/>
  <c r="E102" i="55"/>
  <c r="E102" i="51"/>
  <c r="F102" i="51"/>
  <c r="C103" i="51"/>
  <c r="E103" i="46"/>
  <c r="E103" i="54"/>
  <c r="E103" i="55"/>
  <c r="E103" i="51"/>
  <c r="F103" i="51"/>
  <c r="F104" i="51"/>
  <c r="F105" i="51"/>
  <c r="C106" i="51"/>
  <c r="E106" i="46"/>
  <c r="E106" i="54"/>
  <c r="E106" i="55"/>
  <c r="E106" i="51"/>
  <c r="F106" i="51"/>
  <c r="E107" i="54"/>
  <c r="E107" i="55"/>
  <c r="E107" i="51"/>
  <c r="F107" i="51"/>
  <c r="E108" i="54"/>
  <c r="E108" i="55"/>
  <c r="E108" i="51"/>
  <c r="F108" i="51"/>
  <c r="E109" i="54"/>
  <c r="E109" i="55"/>
  <c r="E109" i="51"/>
  <c r="F109" i="51"/>
  <c r="C110" i="51"/>
  <c r="E399" i="37"/>
  <c r="F399" i="37"/>
  <c r="D400" i="37"/>
  <c r="E400" i="37"/>
  <c r="F400" i="37"/>
  <c r="D401" i="37"/>
  <c r="E401" i="37"/>
  <c r="F401" i="37"/>
  <c r="F402" i="37"/>
  <c r="E110" i="46"/>
  <c r="E110" i="54"/>
  <c r="E110" i="55"/>
  <c r="E110" i="51"/>
  <c r="F110" i="51"/>
  <c r="F111" i="51"/>
  <c r="C112" i="51"/>
  <c r="E112" i="55"/>
  <c r="E112" i="51"/>
  <c r="F112" i="51"/>
  <c r="C113" i="51"/>
  <c r="F243" i="37"/>
  <c r="D244" i="37"/>
  <c r="F244" i="37"/>
  <c r="D245" i="37"/>
  <c r="F245" i="37"/>
  <c r="D246" i="37"/>
  <c r="F246" i="37"/>
  <c r="F247" i="37"/>
  <c r="E113" i="55"/>
  <c r="E113" i="51"/>
  <c r="F113" i="51"/>
  <c r="C114" i="51"/>
  <c r="F249" i="37"/>
  <c r="D250" i="37"/>
  <c r="F250" i="37"/>
  <c r="D251" i="37"/>
  <c r="F251" i="37"/>
  <c r="D252" i="37"/>
  <c r="F252" i="37"/>
  <c r="F253" i="37"/>
  <c r="E114" i="55"/>
  <c r="E114" i="51"/>
  <c r="F114" i="51"/>
  <c r="C115" i="51"/>
  <c r="E115" i="55"/>
  <c r="E115" i="51"/>
  <c r="F115" i="51"/>
  <c r="C116" i="51"/>
  <c r="E213" i="37"/>
  <c r="F213" i="37"/>
  <c r="D214" i="37"/>
  <c r="E196" i="37"/>
  <c r="E202" i="37"/>
  <c r="E208" i="37"/>
  <c r="E214" i="37"/>
  <c r="F214" i="37"/>
  <c r="D215" i="37"/>
  <c r="E215" i="37"/>
  <c r="F215" i="37"/>
  <c r="D216" i="37"/>
  <c r="E216" i="37"/>
  <c r="F216" i="37"/>
  <c r="F217" i="37"/>
  <c r="E116" i="55"/>
  <c r="E116" i="51"/>
  <c r="F116" i="51"/>
  <c r="C117" i="51"/>
  <c r="F303" i="37"/>
  <c r="D304" i="37"/>
  <c r="F304" i="37"/>
  <c r="D305" i="37"/>
  <c r="F305" i="37"/>
  <c r="D306" i="37"/>
  <c r="F306" i="37"/>
  <c r="F307" i="37"/>
  <c r="E117" i="55"/>
  <c r="E117" i="51"/>
  <c r="F117" i="51"/>
  <c r="C118" i="51"/>
  <c r="F327" i="37"/>
  <c r="D328" i="37"/>
  <c r="F328" i="37"/>
  <c r="D329" i="37"/>
  <c r="F329" i="37"/>
  <c r="D330" i="37"/>
  <c r="F330" i="37"/>
  <c r="F331" i="37"/>
  <c r="E118" i="55"/>
  <c r="E118" i="51"/>
  <c r="F118" i="51"/>
  <c r="F90" i="51"/>
  <c r="F121" i="51"/>
  <c r="C122" i="51"/>
  <c r="E404" i="37"/>
  <c r="F404" i="37"/>
  <c r="D405" i="37"/>
  <c r="E405" i="37"/>
  <c r="F405" i="37"/>
  <c r="D406" i="37"/>
  <c r="E406" i="37"/>
  <c r="F406" i="37"/>
  <c r="F407" i="37"/>
  <c r="E121" i="46"/>
  <c r="E121" i="54"/>
  <c r="E122" i="55"/>
  <c r="E122" i="51"/>
  <c r="F122" i="51"/>
  <c r="C123" i="51"/>
  <c r="E122" i="46"/>
  <c r="E122" i="54"/>
  <c r="E123" i="55"/>
  <c r="E123" i="51"/>
  <c r="F123" i="51"/>
  <c r="C124" i="51"/>
  <c r="E123" i="46"/>
  <c r="E123" i="54"/>
  <c r="E124" i="55"/>
  <c r="E124" i="51"/>
  <c r="F124" i="51"/>
  <c r="E124" i="54"/>
  <c r="E125" i="55"/>
  <c r="E125" i="51"/>
  <c r="F125" i="51"/>
  <c r="C126" i="51"/>
  <c r="E126" i="55"/>
  <c r="E126" i="51"/>
  <c r="F126" i="51"/>
  <c r="E126" i="54"/>
  <c r="E127" i="55"/>
  <c r="E127" i="51"/>
  <c r="F127" i="51"/>
  <c r="E127" i="54"/>
  <c r="E128" i="55"/>
  <c r="E128" i="51"/>
  <c r="F128" i="51"/>
  <c r="E129" i="51"/>
  <c r="F129" i="51"/>
  <c r="C130" i="51"/>
  <c r="E414" i="37"/>
  <c r="F414" i="37"/>
  <c r="D415" i="37"/>
  <c r="E410" i="37"/>
  <c r="E415" i="37"/>
  <c r="F415" i="37"/>
  <c r="D416" i="37"/>
  <c r="E411" i="37"/>
  <c r="E416" i="37"/>
  <c r="F416" i="37"/>
  <c r="F417" i="37"/>
  <c r="E129" i="46"/>
  <c r="E129" i="54"/>
  <c r="E130" i="55"/>
  <c r="E130" i="51"/>
  <c r="F130" i="51"/>
  <c r="C131" i="51"/>
  <c r="E130" i="46"/>
  <c r="E130" i="54"/>
  <c r="E131" i="55"/>
  <c r="E131" i="51"/>
  <c r="F131" i="51"/>
  <c r="F120" i="51"/>
  <c r="F134" i="51"/>
  <c r="C135" i="51"/>
  <c r="E409" i="37"/>
  <c r="E419" i="37"/>
  <c r="E425" i="37"/>
  <c r="E431" i="37"/>
  <c r="F431" i="37"/>
  <c r="E426" i="37"/>
  <c r="E432" i="37"/>
  <c r="F432" i="37"/>
  <c r="E420" i="37"/>
  <c r="E427" i="37"/>
  <c r="E433" i="37"/>
  <c r="F433" i="37"/>
  <c r="E434" i="37"/>
  <c r="F434" i="37"/>
  <c r="F435" i="37"/>
  <c r="E134" i="46"/>
  <c r="E134" i="54"/>
  <c r="E135" i="55"/>
  <c r="E135" i="51"/>
  <c r="F135" i="51"/>
  <c r="C136" i="51"/>
  <c r="E136" i="55"/>
  <c r="E136" i="51"/>
  <c r="F136" i="51"/>
  <c r="E136" i="54"/>
  <c r="E137" i="55"/>
  <c r="E137" i="51"/>
  <c r="F137" i="51"/>
  <c r="E137" i="54"/>
  <c r="E138" i="55"/>
  <c r="E138" i="51"/>
  <c r="F138" i="51"/>
  <c r="C139" i="51"/>
  <c r="E219" i="37"/>
  <c r="F219" i="37"/>
  <c r="D220" i="37"/>
  <c r="E220" i="37"/>
  <c r="F220" i="37"/>
  <c r="D221" i="37"/>
  <c r="E221" i="37"/>
  <c r="F221" i="37"/>
  <c r="D222" i="37"/>
  <c r="E204" i="37"/>
  <c r="E222" i="37"/>
  <c r="F222" i="37"/>
  <c r="F223" i="37"/>
  <c r="E138" i="46"/>
  <c r="E138" i="54"/>
  <c r="E139" i="55"/>
  <c r="E139" i="51"/>
  <c r="F139" i="51"/>
  <c r="C140" i="51"/>
  <c r="E139" i="46"/>
  <c r="E139" i="54"/>
  <c r="E140" i="55"/>
  <c r="E140" i="51"/>
  <c r="F140" i="51"/>
  <c r="C141" i="51"/>
  <c r="E140" i="46"/>
  <c r="E140" i="54"/>
  <c r="E141" i="55"/>
  <c r="E141" i="51"/>
  <c r="F141" i="51"/>
  <c r="F142" i="51"/>
  <c r="C143" i="51"/>
  <c r="E195" i="37"/>
  <c r="F195" i="37"/>
  <c r="D196" i="37"/>
  <c r="F196" i="37"/>
  <c r="D197" i="37"/>
  <c r="E197" i="37"/>
  <c r="F197" i="37"/>
  <c r="D198" i="37"/>
  <c r="E198" i="37"/>
  <c r="F198" i="37"/>
  <c r="F199" i="37"/>
  <c r="E142" i="46"/>
  <c r="E142" i="54"/>
  <c r="E143" i="55"/>
  <c r="E143" i="51"/>
  <c r="F143" i="51"/>
  <c r="C144" i="51"/>
  <c r="E143" i="54"/>
  <c r="E144" i="55"/>
  <c r="E144" i="51"/>
  <c r="F144" i="51"/>
  <c r="C145" i="51"/>
  <c r="E144" i="46"/>
  <c r="E144" i="54"/>
  <c r="E145" i="55"/>
  <c r="E145" i="51"/>
  <c r="F145" i="51"/>
  <c r="F133" i="51"/>
  <c r="F11" i="52"/>
  <c r="F148" i="51"/>
  <c r="C149" i="51"/>
  <c r="D125" i="12"/>
  <c r="E125" i="12"/>
  <c r="F125" i="12"/>
  <c r="F126" i="12"/>
  <c r="F127" i="12"/>
  <c r="F128" i="12"/>
  <c r="F129" i="12"/>
  <c r="E148" i="46"/>
  <c r="E148" i="54"/>
  <c r="E149" i="55"/>
  <c r="E149" i="51"/>
  <c r="F149" i="51"/>
  <c r="C150" i="51"/>
  <c r="E149" i="46"/>
  <c r="E149" i="54"/>
  <c r="E150" i="55"/>
  <c r="E150" i="51"/>
  <c r="F150" i="51"/>
  <c r="C151" i="51"/>
  <c r="E150" i="46"/>
  <c r="E150" i="54"/>
  <c r="E151" i="55"/>
  <c r="E151" i="51"/>
  <c r="F151" i="51"/>
  <c r="C152" i="51"/>
  <c r="E151" i="46"/>
  <c r="E151" i="54"/>
  <c r="E152" i="55"/>
  <c r="E152" i="51"/>
  <c r="F152" i="51"/>
  <c r="C153" i="51"/>
  <c r="E152" i="46"/>
  <c r="E152" i="54"/>
  <c r="E153" i="55"/>
  <c r="E153" i="51"/>
  <c r="F153" i="51"/>
  <c r="C154" i="51"/>
  <c r="E153" i="46"/>
  <c r="E153" i="54"/>
  <c r="E154" i="55"/>
  <c r="E154" i="51"/>
  <c r="F154" i="51"/>
  <c r="C155" i="51"/>
  <c r="E154" i="46"/>
  <c r="E154" i="54"/>
  <c r="E155" i="55"/>
  <c r="E155" i="51"/>
  <c r="F155" i="51"/>
  <c r="D191" i="12"/>
  <c r="F191" i="12"/>
  <c r="E184" i="12"/>
  <c r="E192" i="12"/>
  <c r="F192" i="12"/>
  <c r="F193" i="12"/>
  <c r="E155" i="46"/>
  <c r="E155" i="54"/>
  <c r="E156" i="55"/>
  <c r="E156" i="51"/>
  <c r="F156" i="51"/>
  <c r="C157" i="51"/>
  <c r="E156" i="46"/>
  <c r="E156" i="54"/>
  <c r="E157" i="55"/>
  <c r="E157" i="51"/>
  <c r="F157" i="51"/>
  <c r="C158" i="51"/>
  <c r="E157" i="46"/>
  <c r="E157" i="54"/>
  <c r="E158" i="55"/>
  <c r="E158" i="51"/>
  <c r="F158" i="51"/>
  <c r="C159" i="51"/>
  <c r="E158" i="46"/>
  <c r="E158" i="54"/>
  <c r="E159" i="55"/>
  <c r="E159" i="51"/>
  <c r="F159" i="51"/>
  <c r="C160" i="51"/>
  <c r="E159" i="46"/>
  <c r="E159" i="54"/>
  <c r="E160" i="55"/>
  <c r="E160" i="51"/>
  <c r="F160" i="51"/>
  <c r="C161" i="51"/>
  <c r="E160" i="46"/>
  <c r="E160" i="54"/>
  <c r="E161" i="55"/>
  <c r="E161" i="51"/>
  <c r="F161" i="51"/>
  <c r="C162" i="51"/>
  <c r="D143" i="12"/>
  <c r="E143" i="12"/>
  <c r="F143" i="12"/>
  <c r="E144" i="12"/>
  <c r="F144" i="12"/>
  <c r="E145" i="12"/>
  <c r="F145" i="12"/>
  <c r="F146" i="12"/>
  <c r="F147" i="12"/>
  <c r="E161" i="46"/>
  <c r="E161" i="54"/>
  <c r="E162" i="55"/>
  <c r="E162" i="51"/>
  <c r="F162" i="51"/>
  <c r="C163" i="51"/>
  <c r="E162" i="46"/>
  <c r="E162" i="54"/>
  <c r="E163" i="55"/>
  <c r="E163" i="51"/>
  <c r="F163" i="51"/>
  <c r="E163" i="54"/>
  <c r="E164" i="55"/>
  <c r="E164" i="51"/>
  <c r="F164" i="51"/>
  <c r="E164" i="54"/>
  <c r="E165" i="55"/>
  <c r="E165" i="51"/>
  <c r="F165" i="51"/>
  <c r="C166" i="51"/>
  <c r="D205" i="12"/>
  <c r="F205" i="12"/>
  <c r="E206" i="12"/>
  <c r="F206" i="12"/>
  <c r="F207" i="12"/>
  <c r="E165" i="46"/>
  <c r="E165" i="54"/>
  <c r="E166" i="55"/>
  <c r="E166" i="51"/>
  <c r="F166" i="51"/>
  <c r="E166" i="46"/>
  <c r="E166" i="54"/>
  <c r="E167" i="55"/>
  <c r="E167" i="51"/>
  <c r="F167" i="51"/>
  <c r="C168" i="51"/>
  <c r="E167" i="54"/>
  <c r="E168" i="55"/>
  <c r="E168" i="51"/>
  <c r="F168" i="51"/>
  <c r="C169" i="51"/>
  <c r="D99" i="12"/>
  <c r="E99" i="12"/>
  <c r="F99" i="12"/>
  <c r="D100" i="12"/>
  <c r="E100" i="12"/>
  <c r="F100" i="12"/>
  <c r="D101" i="12"/>
  <c r="E101" i="12"/>
  <c r="F101" i="12"/>
  <c r="F102" i="12"/>
  <c r="E103" i="12"/>
  <c r="F103" i="12"/>
  <c r="F104" i="12"/>
  <c r="E168" i="46"/>
  <c r="E168" i="54"/>
  <c r="E169" i="55"/>
  <c r="E169" i="51"/>
  <c r="F169" i="51"/>
  <c r="C170" i="51"/>
  <c r="D237" i="12"/>
  <c r="F237" i="12"/>
  <c r="E238" i="12"/>
  <c r="F238" i="12"/>
  <c r="E239" i="12"/>
  <c r="F239" i="12"/>
  <c r="F240" i="12"/>
  <c r="E241" i="12"/>
  <c r="F241" i="12"/>
  <c r="F242" i="12"/>
  <c r="E169" i="46"/>
  <c r="E169" i="54"/>
  <c r="E170" i="55"/>
  <c r="E170" i="51"/>
  <c r="F170" i="51"/>
  <c r="E170" i="46"/>
  <c r="E170" i="54"/>
  <c r="E171" i="55"/>
  <c r="E171" i="51"/>
  <c r="F171" i="51"/>
  <c r="E171" i="46"/>
  <c r="E171" i="54"/>
  <c r="E172" i="55"/>
  <c r="E172" i="51"/>
  <c r="F172" i="51"/>
  <c r="C173" i="51"/>
  <c r="E172" i="46"/>
  <c r="E172" i="54"/>
  <c r="E173" i="55"/>
  <c r="E173" i="51"/>
  <c r="F173" i="51"/>
  <c r="C174" i="51"/>
  <c r="E173" i="46"/>
  <c r="E173" i="54"/>
  <c r="E174" i="55"/>
  <c r="E174" i="51"/>
  <c r="F174" i="51"/>
  <c r="F175" i="51"/>
  <c r="C176" i="51"/>
  <c r="E175" i="46"/>
  <c r="E176" i="55"/>
  <c r="E176" i="51"/>
  <c r="F176" i="51"/>
  <c r="F177" i="51"/>
  <c r="F147" i="51"/>
  <c r="F180" i="51"/>
  <c r="C181" i="51"/>
  <c r="E180" i="46"/>
  <c r="E180" i="54"/>
  <c r="E181" i="55"/>
  <c r="E181" i="51"/>
  <c r="F181" i="51"/>
  <c r="C182" i="51"/>
  <c r="E181" i="46"/>
  <c r="E181" i="54"/>
  <c r="E182" i="55"/>
  <c r="E182" i="51"/>
  <c r="F182" i="51"/>
  <c r="C183" i="51"/>
  <c r="E182" i="46"/>
  <c r="E182" i="54"/>
  <c r="E183" i="55"/>
  <c r="E183" i="51"/>
  <c r="F183" i="51"/>
  <c r="C184" i="51"/>
  <c r="E183" i="46"/>
  <c r="E183" i="54"/>
  <c r="E184" i="55"/>
  <c r="E184" i="51"/>
  <c r="F184" i="51"/>
  <c r="C185" i="51"/>
  <c r="E184" i="46"/>
  <c r="E184" i="54"/>
  <c r="E185" i="55"/>
  <c r="E185" i="51"/>
  <c r="F185" i="51"/>
  <c r="C186" i="51"/>
  <c r="E185" i="46"/>
  <c r="E185" i="54"/>
  <c r="E186" i="55"/>
  <c r="E186" i="51"/>
  <c r="F186" i="51"/>
  <c r="C187" i="51"/>
  <c r="E186" i="46"/>
  <c r="E186" i="54"/>
  <c r="E187" i="55"/>
  <c r="E187" i="51"/>
  <c r="F187" i="51"/>
  <c r="C188" i="51"/>
  <c r="E187" i="46"/>
  <c r="E187" i="54"/>
  <c r="E188" i="55"/>
  <c r="E188" i="51"/>
  <c r="F188" i="51"/>
  <c r="C189" i="51"/>
  <c r="E189" i="55"/>
  <c r="E189" i="51"/>
  <c r="F189" i="51"/>
  <c r="E189" i="46"/>
  <c r="E189" i="54"/>
  <c r="E190" i="55"/>
  <c r="E190" i="51"/>
  <c r="F190" i="51"/>
  <c r="C191" i="51"/>
  <c r="E190" i="54"/>
  <c r="E191" i="55"/>
  <c r="E191" i="51"/>
  <c r="F191" i="51"/>
  <c r="E191" i="46"/>
  <c r="E191" i="54"/>
  <c r="E192" i="55"/>
  <c r="E192" i="51"/>
  <c r="F192" i="51"/>
  <c r="C193" i="51"/>
  <c r="E192" i="46"/>
  <c r="E192" i="54"/>
  <c r="E193" i="55"/>
  <c r="E193" i="51"/>
  <c r="F193" i="51"/>
  <c r="C194" i="51"/>
  <c r="E193" i="46"/>
  <c r="E193" i="54"/>
  <c r="E194" i="55"/>
  <c r="E194" i="51"/>
  <c r="F194" i="51"/>
  <c r="C195" i="51"/>
  <c r="D154" i="12"/>
  <c r="E154" i="12"/>
  <c r="F154" i="12"/>
  <c r="F155" i="12"/>
  <c r="F156" i="12"/>
  <c r="E194" i="46"/>
  <c r="E194" i="54"/>
  <c r="E195" i="55"/>
  <c r="E195" i="51"/>
  <c r="F195" i="51"/>
  <c r="C196" i="51"/>
  <c r="E195" i="46"/>
  <c r="E195" i="54"/>
  <c r="E196" i="55"/>
  <c r="E196" i="51"/>
  <c r="F196" i="51"/>
  <c r="C197" i="51"/>
  <c r="E196" i="46"/>
  <c r="E196" i="54"/>
  <c r="E197" i="55"/>
  <c r="E197" i="51"/>
  <c r="F197" i="51"/>
  <c r="C198" i="51"/>
  <c r="E197" i="54"/>
  <c r="E198" i="55"/>
  <c r="E198" i="51"/>
  <c r="F198" i="51"/>
  <c r="F199" i="51"/>
  <c r="F200" i="51"/>
  <c r="C201" i="51"/>
  <c r="E201" i="55"/>
  <c r="E201" i="51"/>
  <c r="F201" i="51"/>
  <c r="C202" i="51"/>
  <c r="E202" i="55"/>
  <c r="E202" i="51"/>
  <c r="F202" i="51"/>
  <c r="E203" i="55"/>
  <c r="E203" i="51"/>
  <c r="F203" i="51"/>
  <c r="E203" i="46"/>
  <c r="E203" i="54"/>
  <c r="E204" i="55"/>
  <c r="E204" i="51"/>
  <c r="F204" i="51"/>
  <c r="F205" i="51"/>
  <c r="F206" i="51"/>
  <c r="F207" i="51"/>
  <c r="F179" i="51"/>
  <c r="F12" i="52"/>
  <c r="F210" i="51"/>
  <c r="C211" i="51"/>
  <c r="F131" i="12"/>
  <c r="F132" i="12"/>
  <c r="F133" i="12"/>
  <c r="E210" i="46"/>
  <c r="E210" i="54"/>
  <c r="E211" i="55"/>
  <c r="E211" i="51"/>
  <c r="F211" i="51"/>
  <c r="C212" i="51"/>
  <c r="E139" i="12"/>
  <c r="F139" i="12"/>
  <c r="F140" i="12"/>
  <c r="F141" i="12"/>
  <c r="E211" i="46"/>
  <c r="E211" i="54"/>
  <c r="E212" i="55"/>
  <c r="E212" i="51"/>
  <c r="F212" i="51"/>
  <c r="C213" i="51"/>
  <c r="D195" i="12"/>
  <c r="F195" i="12"/>
  <c r="F196" i="12"/>
  <c r="F197" i="12"/>
  <c r="E212" i="46"/>
  <c r="E212" i="54"/>
  <c r="E213" i="55"/>
  <c r="E213" i="51"/>
  <c r="F213" i="51"/>
  <c r="E213" i="54"/>
  <c r="E214" i="55"/>
  <c r="E214" i="51"/>
  <c r="F214" i="51"/>
  <c r="F215" i="51"/>
  <c r="F216" i="51"/>
  <c r="F217" i="51"/>
  <c r="F209" i="51"/>
  <c r="F220" i="51"/>
  <c r="C221" i="51"/>
  <c r="E220" i="46"/>
  <c r="E220" i="54"/>
  <c r="E221" i="55"/>
  <c r="E221" i="51"/>
  <c r="F221" i="51"/>
  <c r="C222" i="51"/>
  <c r="E221" i="46"/>
  <c r="E221" i="54"/>
  <c r="E222" i="55"/>
  <c r="E222" i="51"/>
  <c r="F222" i="51"/>
  <c r="C223" i="51"/>
  <c r="E222" i="46"/>
  <c r="E222" i="54"/>
  <c r="E223" i="55"/>
  <c r="E223" i="51"/>
  <c r="F223" i="51"/>
  <c r="E223" i="46"/>
  <c r="E223" i="54"/>
  <c r="E224" i="55"/>
  <c r="E224" i="51"/>
  <c r="F224" i="51"/>
  <c r="C227" i="51"/>
  <c r="E227" i="55"/>
  <c r="E227" i="51"/>
  <c r="F227" i="51"/>
  <c r="C228" i="51"/>
  <c r="E228" i="55"/>
  <c r="E228" i="51"/>
  <c r="F228" i="51"/>
  <c r="E229" i="55"/>
  <c r="E229" i="51"/>
  <c r="F229" i="51"/>
  <c r="E230" i="55"/>
  <c r="E230" i="51"/>
  <c r="F230" i="51"/>
  <c r="E231" i="55"/>
  <c r="E231" i="51"/>
  <c r="F231" i="51"/>
  <c r="E232" i="51"/>
  <c r="F232" i="51"/>
  <c r="E233" i="55"/>
  <c r="E233" i="51"/>
  <c r="F233" i="51"/>
  <c r="F234" i="51"/>
  <c r="F219" i="51"/>
  <c r="F13" i="52"/>
  <c r="F237" i="51"/>
  <c r="C238" i="51"/>
  <c r="E237" i="54"/>
  <c r="E238" i="55"/>
  <c r="E238" i="51"/>
  <c r="F238" i="51"/>
  <c r="C239" i="51"/>
  <c r="E238" i="54"/>
  <c r="E239" i="55"/>
  <c r="E239" i="51"/>
  <c r="F239" i="51"/>
  <c r="C240" i="51"/>
  <c r="D115" i="12"/>
  <c r="E115" i="12"/>
  <c r="F115" i="12"/>
  <c r="E116" i="12"/>
  <c r="F116" i="12"/>
  <c r="F117" i="12"/>
  <c r="F118" i="12"/>
  <c r="E239" i="46"/>
  <c r="E239" i="54"/>
  <c r="E240" i="55"/>
  <c r="E240" i="51"/>
  <c r="F240" i="51"/>
  <c r="D111" i="12"/>
  <c r="E111" i="12"/>
  <c r="F111" i="12"/>
  <c r="F112" i="12"/>
  <c r="F113" i="12"/>
  <c r="E240" i="46"/>
  <c r="E240" i="54"/>
  <c r="E241" i="55"/>
  <c r="E241" i="51"/>
  <c r="F241" i="51"/>
  <c r="F242" i="51"/>
  <c r="F243" i="51"/>
  <c r="F244" i="51"/>
  <c r="F236" i="51"/>
  <c r="F247" i="51"/>
  <c r="C248" i="51"/>
  <c r="E247" i="54"/>
  <c r="E248" i="55"/>
  <c r="E248" i="51"/>
  <c r="F248" i="51"/>
  <c r="C249" i="51"/>
  <c r="E248" i="54"/>
  <c r="E249" i="55"/>
  <c r="E249" i="51"/>
  <c r="F249" i="51"/>
  <c r="C250" i="51"/>
  <c r="E249" i="46"/>
  <c r="E249" i="54"/>
  <c r="E250" i="55"/>
  <c r="E250" i="51"/>
  <c r="F250" i="51"/>
  <c r="E250" i="46"/>
  <c r="E250" i="54"/>
  <c r="E251" i="55"/>
  <c r="E251" i="51"/>
  <c r="F251" i="51"/>
  <c r="C252" i="51"/>
  <c r="E251" i="46"/>
  <c r="E251" i="54"/>
  <c r="E252" i="55"/>
  <c r="E252" i="51"/>
  <c r="F252" i="51"/>
  <c r="F253" i="51"/>
  <c r="F254" i="51"/>
  <c r="F255" i="51"/>
  <c r="F246" i="51"/>
  <c r="F258" i="51"/>
  <c r="C259" i="51"/>
  <c r="F259" i="51"/>
  <c r="F260" i="51"/>
  <c r="C261" i="51"/>
  <c r="E260" i="46"/>
  <c r="E260" i="54"/>
  <c r="E261" i="55"/>
  <c r="E261" i="51"/>
  <c r="F261" i="51"/>
  <c r="E261" i="46"/>
  <c r="E261" i="54"/>
  <c r="E262" i="55"/>
  <c r="E262" i="51"/>
  <c r="F262" i="51"/>
  <c r="F263" i="51"/>
  <c r="F264" i="51"/>
  <c r="F265" i="51"/>
  <c r="F257" i="51"/>
  <c r="F268" i="51"/>
  <c r="C269" i="51"/>
  <c r="E268" i="46"/>
  <c r="E268" i="54"/>
  <c r="E269" i="55"/>
  <c r="E269" i="51"/>
  <c r="F269" i="51"/>
  <c r="C270" i="51"/>
  <c r="E269" i="46"/>
  <c r="E269" i="54"/>
  <c r="E270" i="55"/>
  <c r="E270" i="51"/>
  <c r="F270" i="51"/>
  <c r="C271" i="51"/>
  <c r="E270" i="46"/>
  <c r="E270" i="54"/>
  <c r="E271" i="55"/>
  <c r="E271" i="51"/>
  <c r="F271" i="51"/>
  <c r="C272" i="51"/>
  <c r="E120" i="12"/>
  <c r="F120" i="12"/>
  <c r="F121" i="12"/>
  <c r="F122" i="12"/>
  <c r="F123" i="12"/>
  <c r="E271" i="46"/>
  <c r="E271" i="54"/>
  <c r="E272" i="55"/>
  <c r="E272" i="51"/>
  <c r="F272" i="51"/>
  <c r="E272" i="46"/>
  <c r="E272" i="54"/>
  <c r="E273" i="55"/>
  <c r="E273" i="51"/>
  <c r="F273" i="51"/>
  <c r="D187" i="12"/>
  <c r="F187" i="12"/>
  <c r="F188" i="12"/>
  <c r="F189" i="12"/>
  <c r="E273" i="46"/>
  <c r="E273" i="54"/>
  <c r="E274" i="55"/>
  <c r="E274" i="51"/>
  <c r="F274" i="51"/>
  <c r="C275" i="51"/>
  <c r="E274" i="46"/>
  <c r="E274" i="54"/>
  <c r="E275" i="55"/>
  <c r="E275" i="51"/>
  <c r="F275" i="51"/>
  <c r="F276" i="51"/>
  <c r="E277" i="51"/>
  <c r="F277" i="51"/>
  <c r="F278" i="51"/>
  <c r="F267" i="51"/>
  <c r="F14" i="52"/>
  <c r="F281" i="51"/>
  <c r="E281" i="46"/>
  <c r="E281" i="54"/>
  <c r="E282" i="55"/>
  <c r="E282" i="51"/>
  <c r="F282" i="51"/>
  <c r="C283" i="51"/>
  <c r="E209" i="12"/>
  <c r="F209" i="12"/>
  <c r="F210" i="12"/>
  <c r="F211" i="12"/>
  <c r="E282" i="46"/>
  <c r="E282" i="54"/>
  <c r="E283" i="55"/>
  <c r="E283" i="51"/>
  <c r="F283" i="51"/>
  <c r="C284" i="51"/>
  <c r="D213" i="12"/>
  <c r="E213" i="12"/>
  <c r="F213" i="12"/>
  <c r="E214" i="12"/>
  <c r="F214" i="12"/>
  <c r="D215" i="12"/>
  <c r="E215" i="12"/>
  <c r="F215" i="12"/>
  <c r="F216" i="12"/>
  <c r="F217" i="12"/>
  <c r="E218" i="12"/>
  <c r="F218" i="12"/>
  <c r="F219" i="12"/>
  <c r="E283" i="46"/>
  <c r="E283" i="54"/>
  <c r="E284" i="55"/>
  <c r="E284" i="51"/>
  <c r="F284" i="51"/>
  <c r="E285" i="55"/>
  <c r="E285" i="51"/>
  <c r="F285" i="51"/>
  <c r="E286" i="55"/>
  <c r="E286" i="51"/>
  <c r="F286" i="51"/>
  <c r="D221" i="12"/>
  <c r="E221" i="12"/>
  <c r="F221" i="12"/>
  <c r="E222" i="12"/>
  <c r="F222" i="12"/>
  <c r="F224" i="12"/>
  <c r="E286" i="46"/>
  <c r="E286" i="54"/>
  <c r="E287" i="55"/>
  <c r="E287" i="51"/>
  <c r="F287" i="51"/>
  <c r="E287" i="54"/>
  <c r="E288" i="55"/>
  <c r="E288" i="51"/>
  <c r="F288" i="51"/>
  <c r="E288" i="46"/>
  <c r="E288" i="54"/>
  <c r="E289" i="55"/>
  <c r="E289" i="51"/>
  <c r="F289" i="51"/>
  <c r="C290" i="51"/>
  <c r="E289" i="46"/>
  <c r="E289" i="54"/>
  <c r="E290" i="55"/>
  <c r="E290" i="51"/>
  <c r="F290" i="51"/>
  <c r="C291" i="51"/>
  <c r="E290" i="46"/>
  <c r="E290" i="54"/>
  <c r="E291" i="55"/>
  <c r="E291" i="51"/>
  <c r="F291" i="51"/>
  <c r="C292" i="51"/>
  <c r="E291" i="46"/>
  <c r="E291" i="54"/>
  <c r="E292" i="55"/>
  <c r="E292" i="51"/>
  <c r="F292" i="51"/>
  <c r="C293" i="51"/>
  <c r="E292" i="46"/>
  <c r="E292" i="54"/>
  <c r="E293" i="55"/>
  <c r="E293" i="51"/>
  <c r="F293" i="51"/>
  <c r="C294" i="51"/>
  <c r="E294" i="55"/>
  <c r="E294" i="51"/>
  <c r="F294" i="51"/>
  <c r="C295" i="51"/>
  <c r="E293" i="46"/>
  <c r="E294" i="46"/>
  <c r="E294" i="54"/>
  <c r="E295" i="55"/>
  <c r="E295" i="51"/>
  <c r="F295" i="51"/>
  <c r="F296" i="51"/>
  <c r="F297" i="51"/>
  <c r="F298" i="51"/>
  <c r="F280" i="51"/>
  <c r="F15" i="52"/>
  <c r="F301" i="51"/>
  <c r="E302" i="51"/>
  <c r="F302" i="51"/>
  <c r="C303" i="51"/>
  <c r="E303" i="51"/>
  <c r="F303" i="51"/>
  <c r="C304" i="51"/>
  <c r="E304" i="51"/>
  <c r="F304" i="51"/>
  <c r="F305" i="51"/>
  <c r="C306" i="51"/>
  <c r="E306" i="51"/>
  <c r="F306" i="51"/>
  <c r="C307" i="51"/>
  <c r="E307" i="51"/>
  <c r="F307" i="51"/>
  <c r="C308" i="51"/>
  <c r="E308" i="51"/>
  <c r="F308" i="51"/>
  <c r="E309" i="51"/>
  <c r="F309" i="51"/>
  <c r="E310" i="51"/>
  <c r="F310" i="51"/>
  <c r="E311" i="51"/>
  <c r="F311" i="51"/>
  <c r="E312" i="51"/>
  <c r="F312" i="51"/>
  <c r="E313" i="51"/>
  <c r="F313" i="51"/>
  <c r="E314" i="51"/>
  <c r="F314" i="51"/>
  <c r="E315" i="51"/>
  <c r="F315" i="51"/>
  <c r="E316" i="51"/>
  <c r="F316" i="51"/>
  <c r="E317" i="51"/>
  <c r="F317" i="51"/>
  <c r="E318" i="51"/>
  <c r="F318" i="51"/>
  <c r="E319" i="51"/>
  <c r="F319" i="51"/>
  <c r="E320" i="51"/>
  <c r="F320" i="51"/>
  <c r="E321" i="51"/>
  <c r="F321" i="51"/>
  <c r="E322" i="51"/>
  <c r="F322" i="51"/>
  <c r="E323" i="51"/>
  <c r="F323" i="51"/>
  <c r="F324" i="51"/>
  <c r="F325" i="51"/>
  <c r="F326" i="51"/>
  <c r="C327" i="51"/>
  <c r="F18" i="43"/>
  <c r="G18" i="43"/>
  <c r="F20" i="43"/>
  <c r="G20" i="43"/>
  <c r="F21" i="43"/>
  <c r="G21" i="43"/>
  <c r="F22" i="43"/>
  <c r="G22" i="43"/>
  <c r="F23" i="43"/>
  <c r="G23" i="43"/>
  <c r="F12" i="43"/>
  <c r="F24" i="43"/>
  <c r="G24" i="43"/>
  <c r="G25" i="43"/>
  <c r="E326" i="46"/>
  <c r="E326" i="54"/>
  <c r="E327" i="55"/>
  <c r="E327" i="51"/>
  <c r="F327" i="51"/>
  <c r="C328" i="51"/>
  <c r="F37" i="43"/>
  <c r="G37" i="43"/>
  <c r="G38" i="43"/>
  <c r="F30" i="43"/>
  <c r="F39" i="43"/>
  <c r="G39" i="43"/>
  <c r="F31" i="43"/>
  <c r="F40" i="43"/>
  <c r="G40" i="43"/>
  <c r="F41" i="43"/>
  <c r="G41" i="43"/>
  <c r="F10" i="43"/>
  <c r="F42" i="43"/>
  <c r="G42" i="43"/>
  <c r="F34" i="43"/>
  <c r="F43" i="43"/>
  <c r="G43" i="43"/>
  <c r="G44" i="43"/>
  <c r="E327" i="46"/>
  <c r="E327" i="54"/>
  <c r="E328" i="55"/>
  <c r="E328" i="51"/>
  <c r="F328" i="51"/>
  <c r="C329" i="51"/>
  <c r="F46" i="43"/>
  <c r="G46" i="43"/>
  <c r="G47" i="43"/>
  <c r="F48" i="43"/>
  <c r="G48" i="43"/>
  <c r="F49" i="43"/>
  <c r="G49" i="43"/>
  <c r="F50" i="43"/>
  <c r="G50" i="43"/>
  <c r="F51" i="43"/>
  <c r="G51" i="43"/>
  <c r="F52" i="43"/>
  <c r="G52" i="43"/>
  <c r="F53" i="43"/>
  <c r="G53" i="43"/>
  <c r="G54" i="43"/>
  <c r="E328" i="46"/>
  <c r="E328" i="54"/>
  <c r="E329" i="55"/>
  <c r="E329" i="51"/>
  <c r="F329" i="51"/>
  <c r="C330" i="51"/>
  <c r="F56" i="43"/>
  <c r="G56" i="43"/>
  <c r="G57" i="43"/>
  <c r="F58" i="43"/>
  <c r="G58" i="43"/>
  <c r="F59" i="43"/>
  <c r="G59" i="43"/>
  <c r="F60" i="43"/>
  <c r="G60" i="43"/>
  <c r="F61" i="43"/>
  <c r="G61" i="43"/>
  <c r="F62" i="43"/>
  <c r="G62" i="43"/>
  <c r="F63" i="43"/>
  <c r="G63" i="43"/>
  <c r="G64" i="43"/>
  <c r="E329" i="46"/>
  <c r="E329" i="54"/>
  <c r="E330" i="55"/>
  <c r="E330" i="51"/>
  <c r="F330" i="51"/>
  <c r="C331" i="51"/>
  <c r="F8" i="43"/>
  <c r="G8" i="43"/>
  <c r="G9" i="43"/>
  <c r="G10" i="43"/>
  <c r="F11" i="43"/>
  <c r="G11" i="43"/>
  <c r="G12" i="43"/>
  <c r="G13" i="43"/>
  <c r="F14" i="43"/>
  <c r="G14" i="43"/>
  <c r="G15" i="43"/>
  <c r="E330" i="46"/>
  <c r="E330" i="54"/>
  <c r="E331" i="55"/>
  <c r="E331" i="51"/>
  <c r="F331" i="51"/>
  <c r="C332" i="51"/>
  <c r="F28" i="43"/>
  <c r="G28" i="43"/>
  <c r="G30" i="43"/>
  <c r="G31" i="43"/>
  <c r="F32" i="43"/>
  <c r="G32" i="43"/>
  <c r="F33" i="43"/>
  <c r="G33" i="43"/>
  <c r="G34" i="43"/>
  <c r="G35" i="43"/>
  <c r="E331" i="46"/>
  <c r="E331" i="54"/>
  <c r="E332" i="55"/>
  <c r="E332" i="51"/>
  <c r="F332" i="51"/>
  <c r="E332" i="54"/>
  <c r="E333" i="55"/>
  <c r="E333" i="51"/>
  <c r="F333" i="51"/>
  <c r="E333" i="54"/>
  <c r="E334" i="55"/>
  <c r="E334" i="51"/>
  <c r="F334" i="51"/>
  <c r="C335" i="51"/>
  <c r="F66" i="43"/>
  <c r="G66" i="43"/>
  <c r="G67" i="43"/>
  <c r="F68" i="43"/>
  <c r="G68" i="43"/>
  <c r="F69" i="43"/>
  <c r="G69" i="43"/>
  <c r="F70" i="43"/>
  <c r="G70" i="43"/>
  <c r="F71" i="43"/>
  <c r="G71" i="43"/>
  <c r="F72" i="43"/>
  <c r="G72" i="43"/>
  <c r="F73" i="43"/>
  <c r="G73" i="43"/>
  <c r="G74" i="43"/>
  <c r="E334" i="46"/>
  <c r="E334" i="54"/>
  <c r="E335" i="55"/>
  <c r="E335" i="51"/>
  <c r="F335" i="51"/>
  <c r="C336" i="51"/>
  <c r="F76" i="43"/>
  <c r="G76" i="43"/>
  <c r="G77" i="43"/>
  <c r="F78" i="43"/>
  <c r="G78" i="43"/>
  <c r="F79" i="43"/>
  <c r="G79" i="43"/>
  <c r="F80" i="43"/>
  <c r="G80" i="43"/>
  <c r="F81" i="43"/>
  <c r="G81" i="43"/>
  <c r="F82" i="43"/>
  <c r="G82" i="43"/>
  <c r="F83" i="43"/>
  <c r="G83" i="43"/>
  <c r="G84" i="43"/>
  <c r="E335" i="46"/>
  <c r="E335" i="54"/>
  <c r="E336" i="55"/>
  <c r="E336" i="51"/>
  <c r="F336" i="51"/>
  <c r="C337" i="51"/>
  <c r="F86" i="43"/>
  <c r="G86" i="43"/>
  <c r="G87" i="43"/>
  <c r="F88" i="43"/>
  <c r="G88" i="43"/>
  <c r="F89" i="43"/>
  <c r="G89" i="43"/>
  <c r="F90" i="43"/>
  <c r="G90" i="43"/>
  <c r="F91" i="43"/>
  <c r="G91" i="43"/>
  <c r="F92" i="43"/>
  <c r="G92" i="43"/>
  <c r="F93" i="43"/>
  <c r="G93" i="43"/>
  <c r="G94" i="43"/>
  <c r="E336" i="46"/>
  <c r="E336" i="54"/>
  <c r="E337" i="55"/>
  <c r="E337" i="51"/>
  <c r="F337" i="51"/>
  <c r="F338" i="51"/>
  <c r="F339" i="51"/>
  <c r="F340" i="51"/>
  <c r="F300" i="51"/>
  <c r="F16" i="52"/>
  <c r="F343" i="51"/>
  <c r="C344" i="51"/>
  <c r="D158" i="12"/>
  <c r="F158" i="12"/>
  <c r="E159" i="12"/>
  <c r="F159" i="12"/>
  <c r="E160" i="12"/>
  <c r="F160" i="12"/>
  <c r="F161" i="12"/>
  <c r="D162" i="12"/>
  <c r="E162" i="12"/>
  <c r="F162" i="12"/>
  <c r="F163" i="12"/>
  <c r="F164" i="12"/>
  <c r="E343" i="46"/>
  <c r="E343" i="54"/>
  <c r="E344" i="55"/>
  <c r="E344" i="51"/>
  <c r="F344" i="51"/>
  <c r="C345" i="51"/>
  <c r="D174" i="12"/>
  <c r="E174" i="12"/>
  <c r="F174" i="12"/>
  <c r="E167" i="12"/>
  <c r="E175" i="12"/>
  <c r="F175" i="12"/>
  <c r="E176" i="12"/>
  <c r="F176" i="12"/>
  <c r="D177" i="12"/>
  <c r="E177" i="12"/>
  <c r="F177" i="12"/>
  <c r="D178" i="12"/>
  <c r="E170" i="12"/>
  <c r="E178" i="12"/>
  <c r="F178" i="12"/>
  <c r="F179" i="12"/>
  <c r="F180" i="12"/>
  <c r="E344" i="46"/>
  <c r="E344" i="54"/>
  <c r="E345" i="55"/>
  <c r="E345" i="51"/>
  <c r="F345" i="51"/>
  <c r="C346" i="51"/>
  <c r="D166" i="12"/>
  <c r="E166" i="12"/>
  <c r="F166" i="12"/>
  <c r="F167" i="12"/>
  <c r="E168" i="12"/>
  <c r="F168" i="12"/>
  <c r="E169" i="12"/>
  <c r="F169" i="12"/>
  <c r="D170" i="12"/>
  <c r="F170" i="12"/>
  <c r="F171" i="12"/>
  <c r="F172" i="12"/>
  <c r="E345" i="46"/>
  <c r="E345" i="54"/>
  <c r="E346" i="55"/>
  <c r="E346" i="51"/>
  <c r="F346" i="51"/>
  <c r="C347" i="51"/>
  <c r="E346" i="46"/>
  <c r="E346" i="54"/>
  <c r="E347" i="55"/>
  <c r="E347" i="51"/>
  <c r="F347" i="51"/>
  <c r="F348" i="51"/>
  <c r="F349" i="51"/>
  <c r="F350" i="51"/>
  <c r="F342" i="51"/>
  <c r="F353" i="51"/>
  <c r="C354" i="51"/>
  <c r="E353" i="46"/>
  <c r="E353" i="54"/>
  <c r="E354" i="55"/>
  <c r="E354" i="51"/>
  <c r="F354" i="51"/>
  <c r="C355" i="51"/>
  <c r="E354" i="46"/>
  <c r="E354" i="54"/>
  <c r="E355" i="55"/>
  <c r="E355" i="51"/>
  <c r="F355" i="51"/>
  <c r="C356" i="51"/>
  <c r="E355" i="46"/>
  <c r="E355" i="54"/>
  <c r="E356" i="55"/>
  <c r="E356" i="51"/>
  <c r="F356" i="51"/>
  <c r="C357" i="51"/>
  <c r="E356" i="46"/>
  <c r="E356" i="54"/>
  <c r="E357" i="55"/>
  <c r="E357" i="51"/>
  <c r="F357" i="51"/>
  <c r="F358" i="51"/>
  <c r="F359" i="51"/>
  <c r="F360" i="51"/>
  <c r="F352" i="51"/>
  <c r="F363" i="51"/>
  <c r="C364" i="51"/>
  <c r="E363" i="46"/>
  <c r="E363" i="54"/>
  <c r="E364" i="55"/>
  <c r="E364" i="51"/>
  <c r="F364" i="51"/>
  <c r="C365" i="51"/>
  <c r="E364" i="46"/>
  <c r="E364" i="54"/>
  <c r="E365" i="55"/>
  <c r="E365" i="51"/>
  <c r="F365" i="51"/>
  <c r="C366" i="51"/>
  <c r="E365" i="46"/>
  <c r="E365" i="54"/>
  <c r="E366" i="55"/>
  <c r="E366" i="51"/>
  <c r="F366" i="51"/>
  <c r="C367" i="51"/>
  <c r="E366" i="46"/>
  <c r="E366" i="54"/>
  <c r="E367" i="55"/>
  <c r="E367" i="51"/>
  <c r="F367" i="51"/>
  <c r="F368" i="51"/>
  <c r="F369" i="51"/>
  <c r="F370" i="51"/>
  <c r="F362" i="51"/>
  <c r="F373" i="51"/>
  <c r="E226" i="12"/>
  <c r="F226" i="12"/>
  <c r="F227" i="12"/>
  <c r="F228" i="12"/>
  <c r="E373" i="46"/>
  <c r="E373" i="54"/>
  <c r="E374" i="55"/>
  <c r="E374" i="51"/>
  <c r="F374" i="51"/>
  <c r="C375" i="51"/>
  <c r="E374" i="46"/>
  <c r="E374" i="54"/>
  <c r="E375" i="55"/>
  <c r="E375" i="51"/>
  <c r="F375" i="51"/>
  <c r="C376" i="51"/>
  <c r="E375" i="54"/>
  <c r="E376" i="55"/>
  <c r="E376" i="51"/>
  <c r="F376" i="51"/>
  <c r="E376" i="46"/>
  <c r="E376" i="54"/>
  <c r="E377" i="55"/>
  <c r="E377" i="51"/>
  <c r="F377" i="51"/>
  <c r="E378" i="55"/>
  <c r="E378" i="51"/>
  <c r="F378" i="51"/>
  <c r="F379" i="51"/>
  <c r="C380" i="51"/>
  <c r="E379" i="54"/>
  <c r="E380" i="51"/>
  <c r="F380" i="51"/>
  <c r="F381" i="51"/>
  <c r="F372" i="51"/>
  <c r="F17" i="52"/>
  <c r="F384" i="51"/>
  <c r="F385" i="51"/>
  <c r="C386" i="51"/>
  <c r="E385" i="46"/>
  <c r="E385" i="54"/>
  <c r="E386" i="55"/>
  <c r="E386" i="51"/>
  <c r="F386" i="51"/>
  <c r="C387" i="51"/>
  <c r="E386" i="46"/>
  <c r="E386" i="54"/>
  <c r="E387" i="55"/>
  <c r="E387" i="51"/>
  <c r="F387" i="51"/>
  <c r="E387" i="46"/>
  <c r="E387" i="54"/>
  <c r="E388" i="55"/>
  <c r="E388" i="51"/>
  <c r="F388" i="51"/>
  <c r="C389" i="51"/>
  <c r="E388" i="46"/>
  <c r="E388" i="54"/>
  <c r="E389" i="55"/>
  <c r="E389" i="51"/>
  <c r="F389" i="51"/>
  <c r="C390" i="51"/>
  <c r="E389" i="46"/>
  <c r="E389" i="54"/>
  <c r="E390" i="55"/>
  <c r="E390" i="51"/>
  <c r="F390" i="51"/>
  <c r="E390" i="46"/>
  <c r="E390" i="54"/>
  <c r="E391" i="55"/>
  <c r="E391" i="51"/>
  <c r="F391" i="51"/>
  <c r="C392" i="51"/>
  <c r="E391" i="54"/>
  <c r="E392" i="55"/>
  <c r="E392" i="51"/>
  <c r="F392" i="51"/>
  <c r="D182" i="12"/>
  <c r="F182" i="12"/>
  <c r="F183" i="12"/>
  <c r="F184" i="12"/>
  <c r="F185" i="12"/>
  <c r="E392" i="46"/>
  <c r="E392" i="54"/>
  <c r="E393" i="55"/>
  <c r="E393" i="51"/>
  <c r="F393" i="51"/>
  <c r="E393" i="46"/>
  <c r="E393" i="54"/>
  <c r="E394" i="55"/>
  <c r="E394" i="51"/>
  <c r="F394" i="51"/>
  <c r="E396" i="46"/>
  <c r="E396" i="54"/>
  <c r="E397" i="55"/>
  <c r="E397" i="51"/>
  <c r="F397" i="51"/>
  <c r="E397" i="46"/>
  <c r="E397" i="54"/>
  <c r="E398" i="55"/>
  <c r="E398" i="51"/>
  <c r="F398" i="51"/>
  <c r="E398" i="46"/>
  <c r="E398" i="54"/>
  <c r="E399" i="55"/>
  <c r="E399" i="51"/>
  <c r="F399" i="51"/>
  <c r="E399" i="46"/>
  <c r="E399" i="54"/>
  <c r="E400" i="55"/>
  <c r="E400" i="51"/>
  <c r="F400" i="51"/>
  <c r="E400" i="46"/>
  <c r="E400" i="54"/>
  <c r="E401" i="55"/>
  <c r="E401" i="51"/>
  <c r="F401" i="51"/>
  <c r="E401" i="46"/>
  <c r="E401" i="54"/>
  <c r="E402" i="55"/>
  <c r="E402" i="51"/>
  <c r="F402" i="51"/>
  <c r="E402" i="46"/>
  <c r="E402" i="54"/>
  <c r="E403" i="55"/>
  <c r="E403" i="51"/>
  <c r="F403" i="51"/>
  <c r="E403" i="46"/>
  <c r="E403" i="54"/>
  <c r="E404" i="55"/>
  <c r="E404" i="51"/>
  <c r="F404" i="51"/>
  <c r="E404" i="46"/>
  <c r="E404" i="54"/>
  <c r="E405" i="55"/>
  <c r="E405" i="51"/>
  <c r="F405" i="51"/>
  <c r="E405" i="46"/>
  <c r="E405" i="54"/>
  <c r="E406" i="55"/>
  <c r="E406" i="51"/>
  <c r="F406" i="51"/>
  <c r="E406" i="54"/>
  <c r="E407" i="55"/>
  <c r="E407" i="51"/>
  <c r="F407" i="51"/>
  <c r="F408" i="51"/>
  <c r="F409" i="51"/>
  <c r="E409" i="46"/>
  <c r="E409" i="54"/>
  <c r="E410" i="55"/>
  <c r="E410" i="51"/>
  <c r="F410" i="51"/>
  <c r="E410" i="46"/>
  <c r="E410" i="54"/>
  <c r="E411" i="55"/>
  <c r="E411" i="51"/>
  <c r="F411" i="51"/>
  <c r="E411" i="46"/>
  <c r="E411" i="54"/>
  <c r="E412" i="55"/>
  <c r="E412" i="51"/>
  <c r="F412" i="51"/>
  <c r="E412" i="46"/>
  <c r="E412" i="54"/>
  <c r="E413" i="55"/>
  <c r="E413" i="51"/>
  <c r="F413" i="51"/>
  <c r="F414" i="51"/>
  <c r="E414" i="46"/>
  <c r="E414" i="54"/>
  <c r="E415" i="55"/>
  <c r="E415" i="51"/>
  <c r="F415" i="51"/>
  <c r="F416" i="51"/>
  <c r="F383" i="51"/>
  <c r="F419" i="51"/>
  <c r="F420" i="51"/>
  <c r="E420" i="46"/>
  <c r="E420" i="54"/>
  <c r="E421" i="55"/>
  <c r="E421" i="51"/>
  <c r="F421" i="51"/>
  <c r="F422" i="51"/>
  <c r="F423" i="51"/>
  <c r="E423" i="46"/>
  <c r="E423" i="54"/>
  <c r="E424" i="55"/>
  <c r="E424" i="51"/>
  <c r="F424" i="51"/>
  <c r="F425" i="51"/>
  <c r="F426" i="51"/>
  <c r="F427" i="51"/>
  <c r="F418" i="51"/>
  <c r="F430" i="51"/>
  <c r="F431" i="51"/>
  <c r="E431" i="46"/>
  <c r="E431" i="54"/>
  <c r="E432" i="55"/>
  <c r="E432" i="51"/>
  <c r="F432" i="51"/>
  <c r="E432" i="46"/>
  <c r="E432" i="54"/>
  <c r="E433" i="55"/>
  <c r="E433" i="51"/>
  <c r="F433" i="51"/>
  <c r="E433" i="46"/>
  <c r="E433" i="54"/>
  <c r="E434" i="55"/>
  <c r="E434" i="51"/>
  <c r="F434" i="51"/>
  <c r="F435" i="51"/>
  <c r="F436" i="51"/>
  <c r="F437" i="51"/>
  <c r="F429" i="51"/>
  <c r="F440" i="51"/>
  <c r="E440" i="54"/>
  <c r="E441" i="55"/>
  <c r="E441" i="51"/>
  <c r="F441" i="51"/>
  <c r="E441" i="54"/>
  <c r="E442" i="55"/>
  <c r="E442" i="51"/>
  <c r="F442" i="51"/>
  <c r="E442" i="54"/>
  <c r="E443" i="55"/>
  <c r="E443" i="51"/>
  <c r="F443" i="51"/>
  <c r="E443" i="54"/>
  <c r="E444" i="55"/>
  <c r="E444" i="51"/>
  <c r="F444" i="51"/>
  <c r="F445" i="51"/>
  <c r="E445" i="54"/>
  <c r="E446" i="55"/>
  <c r="E446" i="51"/>
  <c r="F446" i="51"/>
  <c r="F447" i="51"/>
  <c r="F439" i="51"/>
  <c r="F450" i="51"/>
  <c r="E450" i="46"/>
  <c r="E450" i="54"/>
  <c r="E451" i="55"/>
  <c r="E451" i="51"/>
  <c r="F451" i="51"/>
  <c r="E451" i="54"/>
  <c r="E452" i="55"/>
  <c r="E452" i="51"/>
  <c r="F452" i="51"/>
  <c r="E452" i="46"/>
  <c r="E452" i="54"/>
  <c r="E453" i="55"/>
  <c r="E453" i="51"/>
  <c r="F453" i="51"/>
  <c r="E453" i="46"/>
  <c r="E453" i="54"/>
  <c r="E454" i="55"/>
  <c r="E454" i="51"/>
  <c r="F454" i="51"/>
  <c r="C455" i="51"/>
  <c r="E454" i="46"/>
  <c r="E454" i="54"/>
  <c r="E455" i="55"/>
  <c r="E455" i="51"/>
  <c r="F455" i="51"/>
  <c r="E455" i="46"/>
  <c r="E455" i="54"/>
  <c r="E456" i="55"/>
  <c r="E456" i="51"/>
  <c r="F456" i="51"/>
  <c r="E456" i="54"/>
  <c r="E457" i="55"/>
  <c r="E457" i="51"/>
  <c r="F457" i="51"/>
  <c r="E457" i="46"/>
  <c r="E457" i="54"/>
  <c r="E458" i="55"/>
  <c r="E458" i="51"/>
  <c r="F458" i="51"/>
  <c r="E458" i="46"/>
  <c r="E458" i="54"/>
  <c r="E459" i="55"/>
  <c r="E459" i="51"/>
  <c r="F459" i="51"/>
  <c r="F460" i="51"/>
  <c r="F461" i="51"/>
  <c r="F462" i="51"/>
  <c r="F449" i="51"/>
  <c r="F465" i="51"/>
  <c r="E465" i="54"/>
  <c r="E466" i="55"/>
  <c r="E466" i="51"/>
  <c r="F466" i="51"/>
  <c r="E466" i="54"/>
  <c r="E467" i="55"/>
  <c r="E467" i="51"/>
  <c r="F467" i="51"/>
  <c r="E467" i="54"/>
  <c r="E468" i="55"/>
  <c r="E468" i="51"/>
  <c r="F468" i="51"/>
  <c r="E468" i="54"/>
  <c r="E469" i="55"/>
  <c r="E469" i="51"/>
  <c r="F469" i="51"/>
  <c r="E469" i="54"/>
  <c r="E470" i="55"/>
  <c r="E470" i="51"/>
  <c r="F470" i="51"/>
  <c r="F471" i="51"/>
  <c r="F472" i="51"/>
  <c r="F473" i="51"/>
  <c r="F464" i="51"/>
  <c r="F18" i="52"/>
  <c r="F476" i="51"/>
  <c r="C477" i="51"/>
  <c r="E476" i="54"/>
  <c r="E477" i="55"/>
  <c r="E477" i="51"/>
  <c r="F477" i="51"/>
  <c r="C478" i="51"/>
  <c r="E477" i="54"/>
  <c r="E478" i="55"/>
  <c r="E478" i="51"/>
  <c r="F478" i="51"/>
  <c r="E478" i="54"/>
  <c r="E479" i="55"/>
  <c r="E479" i="51"/>
  <c r="F479" i="51"/>
  <c r="E479" i="54"/>
  <c r="E480" i="55"/>
  <c r="E480" i="51"/>
  <c r="F480" i="51"/>
  <c r="E480" i="54"/>
  <c r="E481" i="55"/>
  <c r="E481" i="51"/>
  <c r="F481" i="51"/>
  <c r="E481" i="54"/>
  <c r="E482" i="55"/>
  <c r="E482" i="51"/>
  <c r="F482" i="51"/>
  <c r="E482" i="54"/>
  <c r="E483" i="55"/>
  <c r="E483" i="51"/>
  <c r="F483" i="51"/>
  <c r="E483" i="54"/>
  <c r="E484" i="55"/>
  <c r="E484" i="51"/>
  <c r="F484" i="51"/>
  <c r="C485" i="51"/>
  <c r="E484" i="54"/>
  <c r="E485" i="55"/>
  <c r="E485" i="51"/>
  <c r="F485" i="51"/>
  <c r="C486" i="51"/>
  <c r="E485" i="46"/>
  <c r="E485" i="54"/>
  <c r="E486" i="55"/>
  <c r="E486" i="51"/>
  <c r="F486" i="51"/>
  <c r="E486" i="46"/>
  <c r="E486" i="54"/>
  <c r="E487" i="55"/>
  <c r="E487" i="51"/>
  <c r="F487" i="51"/>
  <c r="E487" i="54"/>
  <c r="E488" i="55"/>
  <c r="E488" i="51"/>
  <c r="F488" i="51"/>
  <c r="E488" i="54"/>
  <c r="E489" i="55"/>
  <c r="E489" i="51"/>
  <c r="F489" i="51"/>
  <c r="E489" i="54"/>
  <c r="E490" i="55"/>
  <c r="E490" i="51"/>
  <c r="F490" i="51"/>
  <c r="E490" i="54"/>
  <c r="E491" i="55"/>
  <c r="E491" i="51"/>
  <c r="F491" i="51"/>
  <c r="E491" i="54"/>
  <c r="E492" i="55"/>
  <c r="E492" i="51"/>
  <c r="F492" i="51"/>
  <c r="E492" i="54"/>
  <c r="E493" i="55"/>
  <c r="E493" i="51"/>
  <c r="F493" i="51"/>
  <c r="E493" i="54"/>
  <c r="E494" i="55"/>
  <c r="E494" i="51"/>
  <c r="F494" i="51"/>
  <c r="E494" i="54"/>
  <c r="E495" i="55"/>
  <c r="E495" i="51"/>
  <c r="F495" i="51"/>
  <c r="E495" i="54"/>
  <c r="E496" i="55"/>
  <c r="E496" i="51"/>
  <c r="F496" i="51"/>
  <c r="F497" i="51"/>
  <c r="F498" i="51"/>
  <c r="F499" i="51"/>
  <c r="F475" i="51"/>
  <c r="F502" i="51"/>
  <c r="C503" i="51"/>
  <c r="E502" i="54"/>
  <c r="E503" i="55"/>
  <c r="E503" i="51"/>
  <c r="F503" i="51"/>
  <c r="C504" i="51"/>
  <c r="E503" i="54"/>
  <c r="E504" i="55"/>
  <c r="E504" i="51"/>
  <c r="F504" i="51"/>
  <c r="E504" i="54"/>
  <c r="E505" i="55"/>
  <c r="E505" i="51"/>
  <c r="F505" i="51"/>
  <c r="E505" i="54"/>
  <c r="E506" i="55"/>
  <c r="E506" i="51"/>
  <c r="F506" i="51"/>
  <c r="E506" i="54"/>
  <c r="E507" i="55"/>
  <c r="E507" i="51"/>
  <c r="F507" i="51"/>
  <c r="E507" i="54"/>
  <c r="E508" i="55"/>
  <c r="E508" i="51"/>
  <c r="F508" i="51"/>
  <c r="E508" i="54"/>
  <c r="E509" i="55"/>
  <c r="E509" i="51"/>
  <c r="F509" i="51"/>
  <c r="E509" i="54"/>
  <c r="E510" i="55"/>
  <c r="E510" i="51"/>
  <c r="F510" i="51"/>
  <c r="E510" i="54"/>
  <c r="E511" i="55"/>
  <c r="E511" i="51"/>
  <c r="F511" i="51"/>
  <c r="E511" i="54"/>
  <c r="E512" i="55"/>
  <c r="E512" i="51"/>
  <c r="F512" i="51"/>
  <c r="E512" i="54"/>
  <c r="E513" i="55"/>
  <c r="E513" i="51"/>
  <c r="F513" i="51"/>
  <c r="E513" i="54"/>
  <c r="E514" i="55"/>
  <c r="E514" i="51"/>
  <c r="F514" i="51"/>
  <c r="E514" i="54"/>
  <c r="E515" i="55"/>
  <c r="E515" i="51"/>
  <c r="F515" i="51"/>
  <c r="E515" i="54"/>
  <c r="E516" i="55"/>
  <c r="E516" i="51"/>
  <c r="F516" i="51"/>
  <c r="E516" i="54"/>
  <c r="E517" i="55"/>
  <c r="E517" i="51"/>
  <c r="F517" i="51"/>
  <c r="E517" i="54"/>
  <c r="E518" i="55"/>
  <c r="E518" i="51"/>
  <c r="F518" i="51"/>
  <c r="E518" i="54"/>
  <c r="E519" i="55"/>
  <c r="E519" i="51"/>
  <c r="F519" i="51"/>
  <c r="E519" i="54"/>
  <c r="E520" i="55"/>
  <c r="E520" i="51"/>
  <c r="F520" i="51"/>
  <c r="F521" i="51"/>
  <c r="E521" i="54"/>
  <c r="E522" i="51"/>
  <c r="F522" i="51"/>
  <c r="E522" i="54"/>
  <c r="E523" i="51"/>
  <c r="F523" i="51"/>
  <c r="E523" i="54"/>
  <c r="E524" i="51"/>
  <c r="F524" i="51"/>
  <c r="E524" i="54"/>
  <c r="E525" i="51"/>
  <c r="F525" i="51"/>
  <c r="E525" i="54"/>
  <c r="E526" i="51"/>
  <c r="F526" i="51"/>
  <c r="E526" i="54"/>
  <c r="E527" i="51"/>
  <c r="F527" i="51"/>
  <c r="E527" i="54"/>
  <c r="E528" i="51"/>
  <c r="F528" i="51"/>
  <c r="E528" i="54"/>
  <c r="E529" i="51"/>
  <c r="F529" i="51"/>
  <c r="E529" i="54"/>
  <c r="E530" i="51"/>
  <c r="F530" i="51"/>
  <c r="E530" i="54"/>
  <c r="E531" i="51"/>
  <c r="F531" i="51"/>
  <c r="E532" i="51"/>
  <c r="F532" i="51"/>
  <c r="F501" i="51"/>
  <c r="F19" i="52"/>
  <c r="F535" i="51"/>
  <c r="E535" i="54"/>
  <c r="E536" i="55"/>
  <c r="E536" i="51"/>
  <c r="F536" i="51"/>
  <c r="E536" i="54"/>
  <c r="E537" i="55"/>
  <c r="E537" i="51"/>
  <c r="F537" i="51"/>
  <c r="C538" i="51"/>
  <c r="E537" i="46"/>
  <c r="E537" i="54"/>
  <c r="E538" i="55"/>
  <c r="E538" i="51"/>
  <c r="F538" i="51"/>
  <c r="C539" i="51"/>
  <c r="E538" i="54"/>
  <c r="E539" i="55"/>
  <c r="E539" i="51"/>
  <c r="F539" i="51"/>
  <c r="E540" i="55"/>
  <c r="E540" i="51"/>
  <c r="F540" i="51"/>
  <c r="E541" i="55"/>
  <c r="E541" i="51"/>
  <c r="F541" i="51"/>
  <c r="C542" i="51"/>
  <c r="E541" i="46"/>
  <c r="E541" i="54"/>
  <c r="E542" i="55"/>
  <c r="E542" i="51"/>
  <c r="F542" i="51"/>
  <c r="C543" i="51"/>
  <c r="E542" i="46"/>
  <c r="E542" i="54"/>
  <c r="E543" i="55"/>
  <c r="E543" i="51"/>
  <c r="F543" i="51"/>
  <c r="C544" i="51"/>
  <c r="E543" i="46"/>
  <c r="E543" i="54"/>
  <c r="E544" i="55"/>
  <c r="E544" i="51"/>
  <c r="F544" i="51"/>
  <c r="C545" i="51"/>
  <c r="E545" i="55"/>
  <c r="E545" i="51"/>
  <c r="F545" i="51"/>
  <c r="E545" i="54"/>
  <c r="E546" i="55"/>
  <c r="E546" i="51"/>
  <c r="F546" i="51"/>
  <c r="E546" i="46"/>
  <c r="E546" i="54"/>
  <c r="E547" i="55"/>
  <c r="E547" i="51"/>
  <c r="F547" i="51"/>
  <c r="E547" i="46"/>
  <c r="E547" i="54"/>
  <c r="E548" i="55"/>
  <c r="E548" i="51"/>
  <c r="F548" i="51"/>
  <c r="C549" i="51"/>
  <c r="E548" i="46"/>
  <c r="E548" i="54"/>
  <c r="E549" i="55"/>
  <c r="E549" i="51"/>
  <c r="F549" i="51"/>
  <c r="E549" i="54"/>
  <c r="E550" i="55"/>
  <c r="E550" i="51"/>
  <c r="F550" i="51"/>
  <c r="F551" i="51"/>
  <c r="F552" i="51"/>
  <c r="F553" i="51"/>
  <c r="F534" i="51"/>
  <c r="F20" i="52"/>
  <c r="F23" i="52"/>
  <c r="F24" i="52"/>
  <c r="F3" i="55"/>
  <c r="F4" i="55"/>
  <c r="F5" i="55"/>
  <c r="F6" i="55"/>
  <c r="F7" i="55"/>
  <c r="F8" i="55"/>
  <c r="F9" i="55"/>
  <c r="F10" i="55"/>
  <c r="F11" i="55"/>
  <c r="F2" i="55"/>
  <c r="F8" i="57"/>
  <c r="F14" i="55"/>
  <c r="F15" i="55"/>
  <c r="C16" i="55"/>
  <c r="F16" i="55"/>
  <c r="C17" i="55"/>
  <c r="F17" i="55"/>
  <c r="C18" i="55"/>
  <c r="F18" i="55"/>
  <c r="C19" i="55"/>
  <c r="F19" i="55"/>
  <c r="C20" i="55"/>
  <c r="F20" i="55"/>
  <c r="C21" i="55"/>
  <c r="F21" i="55"/>
  <c r="F22" i="55"/>
  <c r="F23" i="55"/>
  <c r="F24" i="55"/>
  <c r="F25" i="55"/>
  <c r="F13" i="55"/>
  <c r="F9" i="57"/>
  <c r="F28" i="55"/>
  <c r="C29" i="55"/>
  <c r="F29" i="55"/>
  <c r="C30" i="55"/>
  <c r="F30" i="55"/>
  <c r="C31" i="55"/>
  <c r="F31" i="55"/>
  <c r="C32" i="55"/>
  <c r="F32" i="55"/>
  <c r="C33" i="55"/>
  <c r="F33" i="55"/>
  <c r="C34" i="55"/>
  <c r="F34" i="55"/>
  <c r="C35" i="55"/>
  <c r="F35" i="55"/>
  <c r="C36" i="55"/>
  <c r="F36" i="55"/>
  <c r="C37" i="55"/>
  <c r="F37" i="55"/>
  <c r="C38" i="55"/>
  <c r="F38" i="55"/>
  <c r="C39" i="55"/>
  <c r="F39" i="55"/>
  <c r="F40" i="55"/>
  <c r="F41" i="55"/>
  <c r="F42" i="55"/>
  <c r="F27" i="55"/>
  <c r="F10" i="57"/>
  <c r="F45" i="55"/>
  <c r="F46" i="55"/>
  <c r="C47" i="55"/>
  <c r="F47" i="55"/>
  <c r="C48" i="55"/>
  <c r="F48" i="55"/>
  <c r="C49" i="55"/>
  <c r="F49" i="55"/>
  <c r="C50" i="55"/>
  <c r="F50" i="55"/>
  <c r="C51" i="55"/>
  <c r="F51" i="55"/>
  <c r="C52" i="55"/>
  <c r="F52" i="55"/>
  <c r="C53" i="55"/>
  <c r="F53" i="55"/>
  <c r="C54" i="55"/>
  <c r="F54" i="55"/>
  <c r="C55" i="55"/>
  <c r="F55" i="55"/>
  <c r="C56" i="55"/>
  <c r="F56" i="55"/>
  <c r="C57" i="55"/>
  <c r="F57" i="55"/>
  <c r="C58" i="55"/>
  <c r="F58" i="55"/>
  <c r="C59" i="55"/>
  <c r="F59" i="55"/>
  <c r="F60" i="55"/>
  <c r="F61" i="55"/>
  <c r="C62" i="55"/>
  <c r="F62" i="55"/>
  <c r="C63" i="55"/>
  <c r="F63" i="55"/>
  <c r="C64" i="55"/>
  <c r="F64" i="55"/>
  <c r="C65" i="55"/>
  <c r="F65" i="55"/>
  <c r="C66" i="55"/>
  <c r="F66" i="55"/>
  <c r="C67" i="55"/>
  <c r="F67" i="55"/>
  <c r="C68" i="55"/>
  <c r="F68" i="55"/>
  <c r="C69" i="55"/>
  <c r="F69" i="55"/>
  <c r="C70" i="55"/>
  <c r="F70" i="55"/>
  <c r="C71" i="55"/>
  <c r="F71" i="55"/>
  <c r="F72" i="55"/>
  <c r="C73" i="55"/>
  <c r="F73" i="55"/>
  <c r="C74" i="55"/>
  <c r="F74" i="55"/>
  <c r="C75" i="55"/>
  <c r="F75" i="55"/>
  <c r="C76" i="55"/>
  <c r="F76" i="55"/>
  <c r="C77" i="55"/>
  <c r="F77" i="55"/>
  <c r="C78" i="55"/>
  <c r="F78" i="55"/>
  <c r="C79" i="55"/>
  <c r="F79" i="55"/>
  <c r="C80" i="55"/>
  <c r="F80" i="55"/>
  <c r="F81" i="55"/>
  <c r="C82" i="55"/>
  <c r="F82" i="55"/>
  <c r="C83" i="55"/>
  <c r="F83" i="55"/>
  <c r="C84" i="55"/>
  <c r="F84" i="55"/>
  <c r="C85" i="55"/>
  <c r="F85" i="55"/>
  <c r="C86" i="55"/>
  <c r="F86" i="55"/>
  <c r="C87" i="55"/>
  <c r="F87" i="55"/>
  <c r="C88" i="55"/>
  <c r="F88" i="55"/>
  <c r="F44" i="55"/>
  <c r="F91" i="55"/>
  <c r="C92" i="55"/>
  <c r="F92" i="55"/>
  <c r="C93" i="55"/>
  <c r="F93" i="55"/>
  <c r="C94" i="55"/>
  <c r="F94" i="55"/>
  <c r="C95" i="55"/>
  <c r="F95" i="55"/>
  <c r="C96" i="55"/>
  <c r="F96" i="55"/>
  <c r="C97" i="55"/>
  <c r="F97" i="55"/>
  <c r="C98" i="55"/>
  <c r="F98" i="55"/>
  <c r="C99" i="55"/>
  <c r="F99" i="55"/>
  <c r="C100" i="55"/>
  <c r="F100" i="55"/>
  <c r="C101" i="55"/>
  <c r="F101" i="55"/>
  <c r="F102" i="55"/>
  <c r="C103" i="55"/>
  <c r="F103" i="55"/>
  <c r="F104" i="55"/>
  <c r="F105" i="55"/>
  <c r="C106" i="55"/>
  <c r="F106" i="55"/>
  <c r="F107" i="55"/>
  <c r="F108" i="55"/>
  <c r="F109" i="55"/>
  <c r="C110" i="55"/>
  <c r="F110" i="55"/>
  <c r="F111" i="55"/>
  <c r="C112" i="55"/>
  <c r="F112" i="55"/>
  <c r="C113" i="55"/>
  <c r="F113" i="55"/>
  <c r="C114" i="55"/>
  <c r="F114" i="55"/>
  <c r="C115" i="55"/>
  <c r="F115" i="55"/>
  <c r="C116" i="55"/>
  <c r="F116" i="55"/>
  <c r="C117" i="55"/>
  <c r="F117" i="55"/>
  <c r="C118" i="55"/>
  <c r="F118" i="55"/>
  <c r="F90" i="55"/>
  <c r="F121" i="55"/>
  <c r="C122" i="55"/>
  <c r="F122" i="55"/>
  <c r="C123" i="55"/>
  <c r="F123" i="55"/>
  <c r="C124" i="55"/>
  <c r="F124" i="55"/>
  <c r="F125" i="55"/>
  <c r="C126" i="55"/>
  <c r="F126" i="55"/>
  <c r="F127" i="55"/>
  <c r="F128" i="55"/>
  <c r="F129" i="55"/>
  <c r="C130" i="55"/>
  <c r="F130" i="55"/>
  <c r="C131" i="55"/>
  <c r="F131" i="55"/>
  <c r="F120" i="55"/>
  <c r="F134" i="55"/>
  <c r="C135" i="55"/>
  <c r="F135" i="55"/>
  <c r="C136" i="55"/>
  <c r="F136" i="55"/>
  <c r="F137" i="55"/>
  <c r="F138" i="55"/>
  <c r="C139" i="55"/>
  <c r="F139" i="55"/>
  <c r="C140" i="55"/>
  <c r="F140" i="55"/>
  <c r="C141" i="55"/>
  <c r="F141" i="55"/>
  <c r="F142" i="55"/>
  <c r="C143" i="55"/>
  <c r="F143" i="55"/>
  <c r="C144" i="55"/>
  <c r="F144" i="55"/>
  <c r="C145" i="55"/>
  <c r="F145" i="55"/>
  <c r="F133" i="55"/>
  <c r="F11" i="57"/>
  <c r="F148" i="55"/>
  <c r="C149" i="55"/>
  <c r="F149" i="55"/>
  <c r="C150" i="55"/>
  <c r="F150" i="55"/>
  <c r="C151" i="55"/>
  <c r="F151" i="55"/>
  <c r="C152" i="55"/>
  <c r="F152" i="55"/>
  <c r="C153" i="55"/>
  <c r="F153" i="55"/>
  <c r="C154" i="55"/>
  <c r="F154" i="55"/>
  <c r="C155" i="55"/>
  <c r="F155" i="55"/>
  <c r="C156" i="55"/>
  <c r="F156" i="55"/>
  <c r="C157" i="55"/>
  <c r="F157" i="55"/>
  <c r="C158" i="55"/>
  <c r="F158" i="55"/>
  <c r="C159" i="55"/>
  <c r="F159" i="55"/>
  <c r="C160" i="55"/>
  <c r="F160" i="55"/>
  <c r="C161" i="55"/>
  <c r="F161" i="55"/>
  <c r="C162" i="55"/>
  <c r="F162" i="55"/>
  <c r="C163" i="55"/>
  <c r="F163" i="55"/>
  <c r="F164" i="55"/>
  <c r="F165" i="55"/>
  <c r="C166" i="55"/>
  <c r="F166" i="55"/>
  <c r="F167" i="55"/>
  <c r="C168" i="55"/>
  <c r="F168" i="55"/>
  <c r="C169" i="55"/>
  <c r="F169" i="55"/>
  <c r="C170" i="55"/>
  <c r="F170" i="55"/>
  <c r="F171" i="55"/>
  <c r="C172" i="55"/>
  <c r="F172" i="55"/>
  <c r="C173" i="55"/>
  <c r="F173" i="55"/>
  <c r="C174" i="55"/>
  <c r="F174" i="55"/>
  <c r="F175" i="55"/>
  <c r="C176" i="55"/>
  <c r="F176" i="55"/>
  <c r="F177" i="55"/>
  <c r="F147" i="55"/>
  <c r="F180" i="55"/>
  <c r="C181" i="55"/>
  <c r="F181" i="55"/>
  <c r="C182" i="55"/>
  <c r="F182" i="55"/>
  <c r="C183" i="55"/>
  <c r="F183" i="55"/>
  <c r="C184" i="55"/>
  <c r="F184" i="55"/>
  <c r="C185" i="55"/>
  <c r="F185" i="55"/>
  <c r="C186" i="55"/>
  <c r="F186" i="55"/>
  <c r="C187" i="55"/>
  <c r="F187" i="55"/>
  <c r="C188" i="55"/>
  <c r="F188" i="55"/>
  <c r="C189" i="55"/>
  <c r="F189" i="55"/>
  <c r="C190" i="55"/>
  <c r="F190" i="55"/>
  <c r="C191" i="55"/>
  <c r="F191" i="55"/>
  <c r="F192" i="55"/>
  <c r="C193" i="55"/>
  <c r="F193" i="55"/>
  <c r="C194" i="55"/>
  <c r="F194" i="55"/>
  <c r="C195" i="55"/>
  <c r="F195" i="55"/>
  <c r="C196" i="55"/>
  <c r="F196" i="55"/>
  <c r="C197" i="55"/>
  <c r="F197" i="55"/>
  <c r="C198" i="55"/>
  <c r="F198" i="55"/>
  <c r="F199" i="55"/>
  <c r="F200" i="55"/>
  <c r="C201" i="55"/>
  <c r="F201" i="55"/>
  <c r="C202" i="55"/>
  <c r="F202" i="55"/>
  <c r="F203" i="55"/>
  <c r="F204" i="55"/>
  <c r="F205" i="55"/>
  <c r="F206" i="55"/>
  <c r="F207" i="55"/>
  <c r="F179" i="55"/>
  <c r="F12" i="57"/>
  <c r="F210" i="55"/>
  <c r="C211" i="55"/>
  <c r="F211" i="55"/>
  <c r="C212" i="55"/>
  <c r="F212" i="55"/>
  <c r="C213" i="55"/>
  <c r="F213" i="55"/>
  <c r="F214" i="55"/>
  <c r="F215" i="55"/>
  <c r="F216" i="55"/>
  <c r="F217" i="55"/>
  <c r="F209" i="55"/>
  <c r="F220" i="55"/>
  <c r="C221" i="55"/>
  <c r="F221" i="55"/>
  <c r="C222" i="55"/>
  <c r="F222" i="55"/>
  <c r="C223" i="55"/>
  <c r="F223" i="55"/>
  <c r="F224" i="55"/>
  <c r="C227" i="55"/>
  <c r="F227" i="55"/>
  <c r="C228" i="55"/>
  <c r="F228" i="55"/>
  <c r="F229" i="55"/>
  <c r="F230" i="55"/>
  <c r="F231" i="55"/>
  <c r="F232" i="55"/>
  <c r="F233" i="55"/>
  <c r="F234" i="55"/>
  <c r="F219" i="55"/>
  <c r="F13" i="57"/>
  <c r="F237" i="55"/>
  <c r="C238" i="55"/>
  <c r="F238" i="55"/>
  <c r="C239" i="55"/>
  <c r="F239" i="55"/>
  <c r="C240" i="55"/>
  <c r="F240" i="55"/>
  <c r="F241" i="55"/>
  <c r="F242" i="55"/>
  <c r="F243" i="55"/>
  <c r="F244" i="55"/>
  <c r="F236" i="55"/>
  <c r="F247" i="55"/>
  <c r="C248" i="55"/>
  <c r="F248" i="55"/>
  <c r="C249" i="55"/>
  <c r="F249" i="55"/>
  <c r="C250" i="55"/>
  <c r="F250" i="55"/>
  <c r="F251" i="55"/>
  <c r="C252" i="55"/>
  <c r="F252" i="55"/>
  <c r="F253" i="55"/>
  <c r="F254" i="55"/>
  <c r="F255" i="55"/>
  <c r="F246" i="55"/>
  <c r="F258" i="55"/>
  <c r="C259" i="55"/>
  <c r="F259" i="55"/>
  <c r="F260" i="55"/>
  <c r="C261" i="55"/>
  <c r="F261" i="55"/>
  <c r="F262" i="55"/>
  <c r="F263" i="55"/>
  <c r="F264" i="55"/>
  <c r="F265" i="55"/>
  <c r="F257" i="55"/>
  <c r="F268" i="55"/>
  <c r="C269" i="55"/>
  <c r="F269" i="55"/>
  <c r="C270" i="55"/>
  <c r="F270" i="55"/>
  <c r="C271" i="55"/>
  <c r="F271" i="55"/>
  <c r="C272" i="55"/>
  <c r="F272" i="55"/>
  <c r="F273" i="55"/>
  <c r="F274" i="55"/>
  <c r="C275" i="55"/>
  <c r="F275" i="55"/>
  <c r="F276" i="55"/>
  <c r="E277" i="55"/>
  <c r="F277" i="55"/>
  <c r="F278" i="55"/>
  <c r="F267" i="55"/>
  <c r="F14" i="57"/>
  <c r="F281" i="55"/>
  <c r="F282" i="55"/>
  <c r="C283" i="55"/>
  <c r="F283" i="55"/>
  <c r="C284" i="55"/>
  <c r="F284" i="55"/>
  <c r="F285" i="55"/>
  <c r="F286" i="55"/>
  <c r="F287" i="55"/>
  <c r="F288" i="55"/>
  <c r="F289" i="55"/>
  <c r="C290" i="55"/>
  <c r="F290" i="55"/>
  <c r="C291" i="55"/>
  <c r="F291" i="55"/>
  <c r="C292" i="55"/>
  <c r="F292" i="55"/>
  <c r="C293" i="55"/>
  <c r="F293" i="55"/>
  <c r="C294" i="55"/>
  <c r="F294" i="55"/>
  <c r="C295" i="55"/>
  <c r="F295" i="55"/>
  <c r="F296" i="55"/>
  <c r="F297" i="55"/>
  <c r="F298" i="55"/>
  <c r="F280" i="55"/>
  <c r="F15" i="57"/>
  <c r="F301" i="55"/>
  <c r="E302" i="55"/>
  <c r="F302" i="55"/>
  <c r="C303" i="55"/>
  <c r="E303" i="55"/>
  <c r="F303" i="55"/>
  <c r="C304" i="55"/>
  <c r="E304" i="55"/>
  <c r="F304" i="55"/>
  <c r="F305" i="55"/>
  <c r="C306" i="55"/>
  <c r="E306" i="55"/>
  <c r="F306" i="55"/>
  <c r="C307" i="55"/>
  <c r="E307" i="55"/>
  <c r="F307" i="55"/>
  <c r="C308" i="55"/>
  <c r="E308" i="55"/>
  <c r="F308" i="55"/>
  <c r="E309" i="55"/>
  <c r="F309" i="55"/>
  <c r="E310" i="55"/>
  <c r="F310" i="55"/>
  <c r="E311" i="55"/>
  <c r="F311" i="55"/>
  <c r="E312" i="55"/>
  <c r="F312" i="55"/>
  <c r="E313" i="55"/>
  <c r="F313" i="55"/>
  <c r="E314" i="55"/>
  <c r="F314" i="55"/>
  <c r="E315" i="55"/>
  <c r="F315" i="55"/>
  <c r="E316" i="55"/>
  <c r="F316" i="55"/>
  <c r="E317" i="55"/>
  <c r="F317" i="55"/>
  <c r="E318" i="55"/>
  <c r="F318" i="55"/>
  <c r="E319" i="55"/>
  <c r="F319" i="55"/>
  <c r="E320" i="55"/>
  <c r="F320" i="55"/>
  <c r="E321" i="55"/>
  <c r="F321" i="55"/>
  <c r="E322" i="55"/>
  <c r="F322" i="55"/>
  <c r="E323" i="55"/>
  <c r="F323" i="55"/>
  <c r="F324" i="55"/>
  <c r="F325" i="55"/>
  <c r="F326" i="55"/>
  <c r="C327" i="55"/>
  <c r="F327" i="55"/>
  <c r="C328" i="55"/>
  <c r="F328" i="55"/>
  <c r="C329" i="55"/>
  <c r="F329" i="55"/>
  <c r="C330" i="55"/>
  <c r="F330" i="55"/>
  <c r="C331" i="55"/>
  <c r="F331" i="55"/>
  <c r="C332" i="55"/>
  <c r="F332" i="55"/>
  <c r="F333" i="55"/>
  <c r="F334" i="55"/>
  <c r="C335" i="55"/>
  <c r="F335" i="55"/>
  <c r="C336" i="55"/>
  <c r="F336" i="55"/>
  <c r="C337" i="55"/>
  <c r="F337" i="55"/>
  <c r="F338" i="55"/>
  <c r="F339" i="55"/>
  <c r="F340" i="55"/>
  <c r="F300" i="55"/>
  <c r="F16" i="57"/>
  <c r="F343" i="55"/>
  <c r="F344" i="55"/>
  <c r="C345" i="55"/>
  <c r="F345" i="55"/>
  <c r="C346" i="55"/>
  <c r="F346" i="55"/>
  <c r="C347" i="55"/>
  <c r="F347" i="55"/>
  <c r="F348" i="55"/>
  <c r="F349" i="55"/>
  <c r="F350" i="55"/>
  <c r="F342" i="55"/>
  <c r="F353" i="55"/>
  <c r="F354" i="55"/>
  <c r="C355" i="55"/>
  <c r="F355" i="55"/>
  <c r="C356" i="55"/>
  <c r="F356" i="55"/>
  <c r="C357" i="55"/>
  <c r="F357" i="55"/>
  <c r="F358" i="55"/>
  <c r="F359" i="55"/>
  <c r="F360" i="55"/>
  <c r="F352" i="55"/>
  <c r="F363" i="55"/>
  <c r="C364" i="55"/>
  <c r="F364" i="55"/>
  <c r="C365" i="55"/>
  <c r="F365" i="55"/>
  <c r="C366" i="55"/>
  <c r="F366" i="55"/>
  <c r="C367" i="55"/>
  <c r="F367" i="55"/>
  <c r="F368" i="55"/>
  <c r="F369" i="55"/>
  <c r="F370" i="55"/>
  <c r="F362" i="55"/>
  <c r="F373" i="55"/>
  <c r="F374" i="55"/>
  <c r="C375" i="55"/>
  <c r="F375" i="55"/>
  <c r="C376" i="55"/>
  <c r="F376" i="55"/>
  <c r="F377" i="55"/>
  <c r="F378" i="55"/>
  <c r="F379" i="55"/>
  <c r="C380" i="55"/>
  <c r="E380" i="55"/>
  <c r="F380" i="55"/>
  <c r="F381" i="55"/>
  <c r="F372" i="55"/>
  <c r="F17" i="57"/>
  <c r="F384" i="55"/>
  <c r="F385" i="55"/>
  <c r="C386" i="55"/>
  <c r="F386" i="55"/>
  <c r="C387" i="55"/>
  <c r="F387" i="55"/>
  <c r="F388" i="55"/>
  <c r="C389" i="55"/>
  <c r="F389" i="55"/>
  <c r="C390" i="55"/>
  <c r="F390" i="55"/>
  <c r="F391" i="55"/>
  <c r="C392" i="55"/>
  <c r="F392" i="55"/>
  <c r="F393" i="55"/>
  <c r="F394" i="55"/>
  <c r="F397" i="55"/>
  <c r="F398" i="55"/>
  <c r="F399" i="55"/>
  <c r="F400" i="55"/>
  <c r="F401" i="55"/>
  <c r="F402" i="55"/>
  <c r="F403" i="55"/>
  <c r="F404" i="55"/>
  <c r="F405" i="55"/>
  <c r="F406" i="55"/>
  <c r="F407" i="55"/>
  <c r="F408" i="55"/>
  <c r="F409" i="55"/>
  <c r="F410" i="55"/>
  <c r="F411" i="55"/>
  <c r="F412" i="55"/>
  <c r="F413" i="55"/>
  <c r="F414" i="55"/>
  <c r="F415" i="55"/>
  <c r="F416" i="55"/>
  <c r="F383" i="55"/>
  <c r="F419" i="55"/>
  <c r="F420" i="55"/>
  <c r="F421" i="55"/>
  <c r="E421" i="54"/>
  <c r="E422" i="55"/>
  <c r="F422" i="55"/>
  <c r="E422" i="54"/>
  <c r="E423" i="55"/>
  <c r="F423" i="55"/>
  <c r="F424" i="55"/>
  <c r="F425" i="55"/>
  <c r="F426" i="55"/>
  <c r="F427" i="55"/>
  <c r="F418" i="55"/>
  <c r="F430" i="55"/>
  <c r="F431" i="55"/>
  <c r="F432" i="55"/>
  <c r="F433" i="55"/>
  <c r="F434" i="55"/>
  <c r="F435" i="55"/>
  <c r="F436" i="55"/>
  <c r="F437" i="55"/>
  <c r="F429" i="55"/>
  <c r="F440" i="55"/>
  <c r="F441" i="55"/>
  <c r="F442" i="55"/>
  <c r="F443" i="55"/>
  <c r="F444" i="55"/>
  <c r="F445" i="55"/>
  <c r="F446" i="55"/>
  <c r="F447" i="55"/>
  <c r="F439" i="55"/>
  <c r="F450" i="55"/>
  <c r="F451" i="55"/>
  <c r="F452" i="55"/>
  <c r="F453" i="55"/>
  <c r="F454" i="55"/>
  <c r="C455" i="55"/>
  <c r="F455" i="55"/>
  <c r="F456" i="55"/>
  <c r="F457" i="55"/>
  <c r="F458" i="55"/>
  <c r="F459" i="55"/>
  <c r="F460" i="55"/>
  <c r="F461" i="55"/>
  <c r="F462" i="55"/>
  <c r="F449" i="55"/>
  <c r="F465" i="55"/>
  <c r="F466" i="55"/>
  <c r="F467" i="55"/>
  <c r="F468" i="55"/>
  <c r="F469" i="55"/>
  <c r="F470" i="55"/>
  <c r="F471" i="55"/>
  <c r="F472" i="55"/>
  <c r="F473" i="55"/>
  <c r="F464" i="55"/>
  <c r="F18" i="57"/>
  <c r="F476" i="55"/>
  <c r="F477" i="55"/>
  <c r="F478" i="55"/>
  <c r="F479" i="55"/>
  <c r="F480" i="55"/>
  <c r="F481" i="55"/>
  <c r="F482" i="55"/>
  <c r="F483" i="55"/>
  <c r="F484" i="55"/>
  <c r="C485" i="55"/>
  <c r="F485" i="55"/>
  <c r="C486" i="55"/>
  <c r="F486" i="55"/>
  <c r="F487" i="55"/>
  <c r="F488" i="55"/>
  <c r="F489" i="55"/>
  <c r="F490" i="55"/>
  <c r="F491" i="55"/>
  <c r="F492" i="55"/>
  <c r="F493" i="55"/>
  <c r="F494" i="55"/>
  <c r="F495" i="55"/>
  <c r="F496" i="55"/>
  <c r="F497" i="55"/>
  <c r="F498" i="55"/>
  <c r="F499" i="55"/>
  <c r="F475" i="55"/>
  <c r="F502" i="55"/>
  <c r="C503" i="55"/>
  <c r="F503" i="55"/>
  <c r="C504" i="55"/>
  <c r="F504" i="55"/>
  <c r="F505" i="55"/>
  <c r="F506" i="55"/>
  <c r="F507" i="55"/>
  <c r="F508" i="55"/>
  <c r="F509" i="55"/>
  <c r="F510" i="55"/>
  <c r="F511" i="55"/>
  <c r="F512" i="55"/>
  <c r="F513" i="55"/>
  <c r="F514" i="55"/>
  <c r="F515" i="55"/>
  <c r="F516" i="55"/>
  <c r="F517" i="55"/>
  <c r="F518" i="55"/>
  <c r="F519" i="55"/>
  <c r="F520" i="55"/>
  <c r="F521" i="55"/>
  <c r="E522" i="55"/>
  <c r="F522" i="55"/>
  <c r="E523" i="55"/>
  <c r="F523" i="55"/>
  <c r="E524" i="55"/>
  <c r="F524" i="55"/>
  <c r="E525" i="55"/>
  <c r="F525" i="55"/>
  <c r="E526" i="55"/>
  <c r="F526" i="55"/>
  <c r="E527" i="55"/>
  <c r="F527" i="55"/>
  <c r="E528" i="55"/>
  <c r="F528" i="55"/>
  <c r="E529" i="55"/>
  <c r="F529" i="55"/>
  <c r="E530" i="55"/>
  <c r="F530" i="55"/>
  <c r="E531" i="55"/>
  <c r="F531" i="55"/>
  <c r="E532" i="55"/>
  <c r="F532" i="55"/>
  <c r="F501" i="55"/>
  <c r="F19" i="57"/>
  <c r="F535" i="55"/>
  <c r="F536" i="55"/>
  <c r="F537" i="55"/>
  <c r="C538" i="55"/>
  <c r="F538" i="55"/>
  <c r="C539" i="55"/>
  <c r="F539" i="55"/>
  <c r="F540" i="55"/>
  <c r="F541" i="55"/>
  <c r="C542" i="55"/>
  <c r="F542" i="55"/>
  <c r="C543" i="55"/>
  <c r="F543" i="55"/>
  <c r="C544" i="55"/>
  <c r="F544" i="55"/>
  <c r="C545" i="55"/>
  <c r="F545" i="55"/>
  <c r="F546" i="55"/>
  <c r="F547" i="55"/>
  <c r="F548" i="55"/>
  <c r="C549" i="55"/>
  <c r="F549" i="55"/>
  <c r="F550" i="55"/>
  <c r="F551" i="55"/>
  <c r="F552" i="55"/>
  <c r="F553" i="55"/>
  <c r="F534" i="55"/>
  <c r="F20" i="57"/>
  <c r="F23" i="57"/>
  <c r="F24" i="57"/>
  <c r="E135" i="12"/>
  <c r="F135" i="12"/>
  <c r="F136" i="12"/>
  <c r="F137" i="12"/>
  <c r="C62" i="54"/>
  <c r="C49" i="54"/>
  <c r="C62" i="46"/>
  <c r="C49" i="46"/>
  <c r="C83" i="46"/>
  <c r="C167" i="54"/>
  <c r="C158" i="54"/>
  <c r="C157" i="54"/>
  <c r="C16" i="54"/>
  <c r="C477" i="54"/>
  <c r="C476" i="54"/>
  <c r="C503" i="54"/>
  <c r="C502" i="54"/>
  <c r="C485" i="54"/>
  <c r="C484" i="54"/>
  <c r="C247" i="54"/>
  <c r="C248" i="54"/>
  <c r="C249" i="54"/>
  <c r="C239" i="54"/>
  <c r="C237" i="54"/>
  <c r="C238" i="54"/>
  <c r="C30" i="54"/>
  <c r="C29" i="54"/>
  <c r="C251" i="54"/>
  <c r="C477" i="46"/>
  <c r="C503" i="46"/>
  <c r="C476" i="46"/>
  <c r="C502" i="46"/>
  <c r="E531" i="46"/>
  <c r="F531" i="46"/>
  <c r="C485" i="46"/>
  <c r="C484" i="46"/>
  <c r="C239" i="46"/>
  <c r="C237" i="46"/>
  <c r="C238" i="46"/>
  <c r="C247" i="46"/>
  <c r="C248" i="46"/>
  <c r="C249" i="46"/>
  <c r="C30" i="46"/>
  <c r="C29" i="46"/>
  <c r="C16" i="46"/>
  <c r="E309" i="46"/>
  <c r="E309" i="54"/>
  <c r="C156" i="54"/>
  <c r="C18" i="54"/>
  <c r="C193" i="54"/>
  <c r="C172" i="54"/>
  <c r="E320" i="54"/>
  <c r="E319" i="54"/>
  <c r="E318" i="54"/>
  <c r="E317" i="54"/>
  <c r="E316" i="54"/>
  <c r="E315" i="54"/>
  <c r="E314" i="54"/>
  <c r="E313" i="54"/>
  <c r="E312" i="54"/>
  <c r="E311" i="54"/>
  <c r="E307" i="54"/>
  <c r="E306" i="54"/>
  <c r="E305" i="54"/>
  <c r="E303" i="54"/>
  <c r="E302" i="54"/>
  <c r="E301" i="54"/>
  <c r="E320" i="46"/>
  <c r="E319" i="46"/>
  <c r="E318" i="46"/>
  <c r="E317" i="46"/>
  <c r="E316" i="46"/>
  <c r="E315" i="46"/>
  <c r="E314" i="46"/>
  <c r="E313" i="46"/>
  <c r="E312" i="46"/>
  <c r="E311" i="46"/>
  <c r="E307" i="46"/>
  <c r="E306" i="46"/>
  <c r="E305" i="46"/>
  <c r="E303" i="46"/>
  <c r="E302" i="46"/>
  <c r="E301" i="46"/>
  <c r="C193" i="46"/>
  <c r="C172" i="46"/>
  <c r="C18" i="46"/>
  <c r="C292" i="54"/>
  <c r="C291" i="54"/>
  <c r="C290" i="54"/>
  <c r="C289" i="54"/>
  <c r="C454" i="54"/>
  <c r="C452" i="54"/>
  <c r="C354" i="54"/>
  <c r="C353" i="54"/>
  <c r="C344" i="54"/>
  <c r="C343" i="54"/>
  <c r="C220" i="54"/>
  <c r="C175" i="54"/>
  <c r="C144" i="54"/>
  <c r="H300" i="55"/>
  <c r="C175" i="46"/>
  <c r="C144" i="46"/>
  <c r="F339" i="46"/>
  <c r="F338" i="46"/>
  <c r="F337" i="46"/>
  <c r="F333" i="46"/>
  <c r="F332" i="46"/>
  <c r="F325" i="46"/>
  <c r="F324" i="46"/>
  <c r="F323" i="46"/>
  <c r="F322" i="46"/>
  <c r="F321" i="46"/>
  <c r="F320" i="46"/>
  <c r="F319" i="46"/>
  <c r="F318" i="46"/>
  <c r="F317" i="46"/>
  <c r="F316" i="46"/>
  <c r="F315" i="46"/>
  <c r="F314" i="46"/>
  <c r="F313" i="46"/>
  <c r="F312" i="46"/>
  <c r="F311" i="46"/>
  <c r="F310" i="46"/>
  <c r="F309" i="46"/>
  <c r="F308" i="46"/>
  <c r="F304" i="46"/>
  <c r="F301" i="46"/>
  <c r="F295" i="46"/>
  <c r="C39" i="46"/>
  <c r="C542" i="46"/>
  <c r="C454" i="46"/>
  <c r="C452" i="46"/>
  <c r="C354" i="46"/>
  <c r="C344" i="46"/>
  <c r="C292" i="46"/>
  <c r="C291" i="46"/>
  <c r="C290" i="46"/>
  <c r="C289" i="46"/>
  <c r="C171" i="46"/>
  <c r="C167" i="46"/>
  <c r="C155" i="46"/>
  <c r="C148" i="46"/>
  <c r="C6" i="46"/>
  <c r="C15" i="46"/>
  <c r="E557" i="46"/>
  <c r="C282" i="46"/>
  <c r="C294" i="46"/>
  <c r="C282" i="54"/>
  <c r="C197" i="54"/>
  <c r="C194" i="46"/>
  <c r="F338" i="54"/>
  <c r="C158" i="46"/>
  <c r="C157" i="46"/>
  <c r="C156" i="46"/>
  <c r="C336" i="54"/>
  <c r="C335" i="54"/>
  <c r="C334" i="54"/>
  <c r="C331" i="54"/>
  <c r="C330" i="54"/>
  <c r="C329" i="54"/>
  <c r="C328" i="54"/>
  <c r="C327" i="54"/>
  <c r="C326" i="54"/>
  <c r="C307" i="54"/>
  <c r="C306" i="54"/>
  <c r="C305" i="54"/>
  <c r="C303" i="54"/>
  <c r="C302" i="54"/>
  <c r="E567" i="55"/>
  <c r="E567" i="51"/>
  <c r="C572" i="51"/>
  <c r="C571" i="51"/>
  <c r="C570" i="51"/>
  <c r="C569" i="51"/>
  <c r="C568" i="51"/>
  <c r="C558" i="51"/>
  <c r="A558" i="51"/>
  <c r="A565" i="51"/>
  <c r="A566" i="51"/>
  <c r="C572" i="55"/>
  <c r="C571" i="55"/>
  <c r="C570" i="55"/>
  <c r="C569" i="55"/>
  <c r="C568" i="55"/>
  <c r="C558" i="55"/>
  <c r="A558" i="55"/>
  <c r="A565" i="55"/>
  <c r="A566" i="55"/>
  <c r="C571" i="54"/>
  <c r="C570" i="54"/>
  <c r="C569" i="54"/>
  <c r="C568" i="54"/>
  <c r="C567" i="54"/>
  <c r="C557" i="54"/>
  <c r="A557" i="54"/>
  <c r="A564" i="54"/>
  <c r="A565" i="54"/>
  <c r="E567" i="46"/>
  <c r="E567" i="54"/>
  <c r="E568" i="55"/>
  <c r="E568" i="51"/>
  <c r="C571" i="46"/>
  <c r="C570" i="46"/>
  <c r="C569" i="46"/>
  <c r="C568" i="46"/>
  <c r="C567" i="46"/>
  <c r="C557" i="46"/>
  <c r="F557" i="46"/>
  <c r="G557" i="46"/>
  <c r="E565" i="46"/>
  <c r="F565" i="46"/>
  <c r="E564" i="46"/>
  <c r="F564" i="46"/>
  <c r="E557" i="54"/>
  <c r="E558" i="55"/>
  <c r="E558" i="51"/>
  <c r="F558" i="51"/>
  <c r="G558" i="51"/>
  <c r="A557" i="46"/>
  <c r="A564" i="46"/>
  <c r="A565" i="46"/>
  <c r="E564" i="54"/>
  <c r="F564" i="54"/>
  <c r="F567" i="46"/>
  <c r="E565" i="54"/>
  <c r="F568" i="55"/>
  <c r="F558" i="55"/>
  <c r="G558" i="55"/>
  <c r="F568" i="51"/>
  <c r="F557" i="54"/>
  <c r="G557" i="54"/>
  <c r="E565" i="55"/>
  <c r="F565" i="55"/>
  <c r="E566" i="55"/>
  <c r="F565" i="54"/>
  <c r="E565" i="51"/>
  <c r="F565" i="51"/>
  <c r="E566" i="51"/>
  <c r="F566" i="51"/>
  <c r="F566" i="55"/>
  <c r="E539" i="54"/>
  <c r="E540" i="54"/>
  <c r="E544" i="54"/>
  <c r="F445" i="54"/>
  <c r="E377" i="54"/>
  <c r="E284" i="54"/>
  <c r="E285" i="54"/>
  <c r="E201" i="54"/>
  <c r="E202" i="54"/>
  <c r="E200" i="54"/>
  <c r="E188" i="54"/>
  <c r="E135" i="54"/>
  <c r="E125" i="54"/>
  <c r="E531" i="54"/>
  <c r="F531" i="54"/>
  <c r="F567" i="54"/>
  <c r="F445" i="46"/>
  <c r="F288" i="46"/>
  <c r="F530" i="54"/>
  <c r="F529" i="54"/>
  <c r="F528" i="54"/>
  <c r="F527" i="54"/>
  <c r="F526" i="54"/>
  <c r="F525" i="54"/>
  <c r="F524" i="54"/>
  <c r="F523" i="54"/>
  <c r="F522" i="54"/>
  <c r="F521" i="54"/>
  <c r="D202" i="37"/>
  <c r="F530" i="46"/>
  <c r="F529" i="46"/>
  <c r="F528" i="46"/>
  <c r="F527" i="46"/>
  <c r="F526" i="46"/>
  <c r="F525" i="46"/>
  <c r="F524" i="46"/>
  <c r="F523" i="46"/>
  <c r="F522" i="46"/>
  <c r="F521" i="46"/>
  <c r="C205" i="46"/>
  <c r="F414" i="54"/>
  <c r="C88" i="54"/>
  <c r="E276" i="46"/>
  <c r="E276" i="54"/>
  <c r="F276" i="54"/>
  <c r="E149" i="12"/>
  <c r="F407" i="54"/>
  <c r="F408" i="54"/>
  <c r="F409" i="54"/>
  <c r="F410" i="54"/>
  <c r="F411" i="54"/>
  <c r="F407" i="46"/>
  <c r="F408" i="46"/>
  <c r="F409" i="46"/>
  <c r="F410" i="46"/>
  <c r="F411" i="46"/>
  <c r="C82" i="46"/>
  <c r="F552" i="54"/>
  <c r="F551" i="54"/>
  <c r="F550" i="54"/>
  <c r="F549" i="54"/>
  <c r="C548" i="54"/>
  <c r="F548" i="54"/>
  <c r="F547" i="54"/>
  <c r="F546" i="54"/>
  <c r="F545" i="54"/>
  <c r="F544" i="54"/>
  <c r="F543" i="54"/>
  <c r="C542" i="54"/>
  <c r="F542" i="54"/>
  <c r="C541" i="54"/>
  <c r="F541" i="54"/>
  <c r="F540" i="54"/>
  <c r="F539" i="54"/>
  <c r="C538" i="54"/>
  <c r="F538" i="54"/>
  <c r="C537" i="54"/>
  <c r="F537" i="54"/>
  <c r="F536" i="54"/>
  <c r="F535" i="54"/>
  <c r="F534" i="54"/>
  <c r="F520" i="54"/>
  <c r="F519" i="54"/>
  <c r="F518" i="54"/>
  <c r="F517" i="54"/>
  <c r="F516" i="54"/>
  <c r="F515" i="54"/>
  <c r="F514" i="54"/>
  <c r="F513" i="54"/>
  <c r="F512" i="54"/>
  <c r="F511" i="54"/>
  <c r="F510" i="54"/>
  <c r="F509" i="54"/>
  <c r="F508" i="54"/>
  <c r="F507" i="54"/>
  <c r="F506" i="54"/>
  <c r="F505" i="54"/>
  <c r="F504" i="54"/>
  <c r="F503" i="54"/>
  <c r="F502" i="54"/>
  <c r="F501" i="54"/>
  <c r="F498" i="54"/>
  <c r="F497" i="54"/>
  <c r="F496" i="54"/>
  <c r="F495" i="54"/>
  <c r="F494" i="54"/>
  <c r="F493" i="54"/>
  <c r="F492" i="54"/>
  <c r="F491" i="54"/>
  <c r="F490" i="54"/>
  <c r="F489" i="54"/>
  <c r="F488" i="54"/>
  <c r="F487" i="54"/>
  <c r="F486" i="54"/>
  <c r="F485" i="54"/>
  <c r="F484" i="54"/>
  <c r="F483" i="54"/>
  <c r="F482" i="54"/>
  <c r="F481" i="54"/>
  <c r="F480" i="54"/>
  <c r="F479" i="54"/>
  <c r="F478" i="54"/>
  <c r="F477" i="54"/>
  <c r="F476" i="54"/>
  <c r="F475" i="54"/>
  <c r="F472" i="54"/>
  <c r="F471" i="54"/>
  <c r="F470" i="54"/>
  <c r="F469" i="54"/>
  <c r="F468" i="54"/>
  <c r="F467" i="54"/>
  <c r="F466" i="54"/>
  <c r="F465" i="54"/>
  <c r="F464" i="54"/>
  <c r="F461" i="54"/>
  <c r="F460" i="54"/>
  <c r="F459" i="54"/>
  <c r="F457" i="54"/>
  <c r="F456" i="54"/>
  <c r="F455" i="54"/>
  <c r="F454" i="54"/>
  <c r="F453" i="54"/>
  <c r="F452" i="54"/>
  <c r="F451" i="54"/>
  <c r="F449" i="54"/>
  <c r="F446" i="54"/>
  <c r="F444" i="54"/>
  <c r="F443" i="54"/>
  <c r="F442" i="54"/>
  <c r="F441" i="54"/>
  <c r="F440" i="54"/>
  <c r="F439" i="54"/>
  <c r="F436" i="54"/>
  <c r="F435" i="54"/>
  <c r="F434" i="54"/>
  <c r="F433" i="54"/>
  <c r="F432" i="54"/>
  <c r="F431" i="54"/>
  <c r="F430" i="54"/>
  <c r="F429" i="54"/>
  <c r="F426" i="54"/>
  <c r="F425" i="54"/>
  <c r="F424" i="54"/>
  <c r="F423" i="54"/>
  <c r="F422" i="54"/>
  <c r="F421" i="54"/>
  <c r="F420" i="54"/>
  <c r="F419" i="54"/>
  <c r="F418" i="54"/>
  <c r="F415" i="54"/>
  <c r="F413" i="54"/>
  <c r="F406" i="54"/>
  <c r="F405" i="54"/>
  <c r="F404" i="54"/>
  <c r="F402" i="54"/>
  <c r="F401" i="54"/>
  <c r="F400" i="54"/>
  <c r="F399" i="54"/>
  <c r="F398" i="54"/>
  <c r="F397" i="54"/>
  <c r="F396" i="54"/>
  <c r="C391" i="54"/>
  <c r="F391" i="54"/>
  <c r="F390" i="54"/>
  <c r="C389" i="54"/>
  <c r="F389" i="54"/>
  <c r="C388" i="54"/>
  <c r="F388" i="54"/>
  <c r="F387" i="54"/>
  <c r="C386" i="54"/>
  <c r="F386" i="54"/>
  <c r="C385" i="54"/>
  <c r="F385" i="54"/>
  <c r="F384" i="54"/>
  <c r="F383" i="54"/>
  <c r="F380" i="54"/>
  <c r="F378" i="54"/>
  <c r="F377" i="54"/>
  <c r="F375" i="54"/>
  <c r="F372" i="54"/>
  <c r="F369" i="54"/>
  <c r="F368" i="54"/>
  <c r="F367" i="54"/>
  <c r="C363" i="54"/>
  <c r="F362" i="54"/>
  <c r="F359" i="54"/>
  <c r="F358" i="54"/>
  <c r="F357" i="54"/>
  <c r="F352" i="54"/>
  <c r="F349" i="54"/>
  <c r="F348" i="54"/>
  <c r="F347" i="54"/>
  <c r="F342" i="54"/>
  <c r="F339" i="54"/>
  <c r="F337" i="54"/>
  <c r="F333" i="54"/>
  <c r="F332" i="54"/>
  <c r="F325" i="54"/>
  <c r="F324" i="54"/>
  <c r="F323" i="54"/>
  <c r="F322" i="54"/>
  <c r="F321" i="54"/>
  <c r="F320" i="54"/>
  <c r="F319" i="54"/>
  <c r="F318" i="54"/>
  <c r="F317" i="54"/>
  <c r="F316" i="54"/>
  <c r="F315" i="54"/>
  <c r="F314" i="54"/>
  <c r="F313" i="54"/>
  <c r="F312" i="54"/>
  <c r="F311" i="54"/>
  <c r="F310" i="54"/>
  <c r="F309" i="54"/>
  <c r="F308" i="54"/>
  <c r="F307" i="54"/>
  <c r="F306" i="54"/>
  <c r="F305" i="54"/>
  <c r="F304" i="54"/>
  <c r="F303" i="54"/>
  <c r="F302" i="54"/>
  <c r="F301" i="54"/>
  <c r="F300" i="54"/>
  <c r="F297" i="54"/>
  <c r="F296" i="54"/>
  <c r="F295" i="54"/>
  <c r="C294" i="54"/>
  <c r="C293" i="54"/>
  <c r="F289" i="54"/>
  <c r="F288" i="54"/>
  <c r="F287" i="54"/>
  <c r="F285" i="54"/>
  <c r="F284" i="54"/>
  <c r="F281" i="54"/>
  <c r="F280" i="54"/>
  <c r="F277" i="54"/>
  <c r="F275" i="54"/>
  <c r="C274" i="54"/>
  <c r="F273" i="54"/>
  <c r="C268" i="54"/>
  <c r="F267" i="54"/>
  <c r="F264" i="54"/>
  <c r="F263" i="54"/>
  <c r="F262" i="54"/>
  <c r="C258" i="54"/>
  <c r="C259" i="54"/>
  <c r="C260" i="54"/>
  <c r="F257" i="54"/>
  <c r="F254" i="54"/>
  <c r="F253" i="54"/>
  <c r="F252" i="54"/>
  <c r="F246" i="54"/>
  <c r="F243" i="54"/>
  <c r="F242" i="54"/>
  <c r="F241" i="54"/>
  <c r="F236" i="54"/>
  <c r="F233" i="54"/>
  <c r="F232" i="54"/>
  <c r="F231" i="54"/>
  <c r="F230" i="54"/>
  <c r="C222" i="54"/>
  <c r="C221" i="54"/>
  <c r="C356" i="54"/>
  <c r="F219" i="54"/>
  <c r="F216" i="54"/>
  <c r="F215" i="54"/>
  <c r="F214" i="54"/>
  <c r="F213" i="54"/>
  <c r="C211" i="54"/>
  <c r="C346" i="54"/>
  <c r="C210" i="54"/>
  <c r="F209" i="54"/>
  <c r="F206" i="54"/>
  <c r="F204" i="54"/>
  <c r="C203" i="54"/>
  <c r="C205" i="54"/>
  <c r="F202" i="54"/>
  <c r="F201" i="54"/>
  <c r="F200" i="54"/>
  <c r="F199" i="54"/>
  <c r="F198" i="54"/>
  <c r="F197" i="54"/>
  <c r="C196" i="54"/>
  <c r="C195" i="54"/>
  <c r="F193" i="54"/>
  <c r="C192" i="54"/>
  <c r="F191" i="54"/>
  <c r="C190" i="54"/>
  <c r="F188" i="54"/>
  <c r="C187" i="54"/>
  <c r="C186" i="54"/>
  <c r="C185" i="54"/>
  <c r="C184" i="54"/>
  <c r="C183" i="54"/>
  <c r="C182" i="54"/>
  <c r="C181" i="54"/>
  <c r="C180" i="54"/>
  <c r="F179" i="54"/>
  <c r="F174" i="54"/>
  <c r="C173" i="54"/>
  <c r="F172" i="54"/>
  <c r="C169" i="54"/>
  <c r="C379" i="54"/>
  <c r="F379" i="54"/>
  <c r="C168" i="54"/>
  <c r="F167" i="54"/>
  <c r="C165" i="54"/>
  <c r="F164" i="54"/>
  <c r="C162" i="54"/>
  <c r="C161" i="54"/>
  <c r="C160" i="54"/>
  <c r="C159" i="54"/>
  <c r="C154" i="54"/>
  <c r="C153" i="54"/>
  <c r="C152" i="54"/>
  <c r="C151" i="54"/>
  <c r="C150" i="54"/>
  <c r="C149" i="54"/>
  <c r="C148" i="54"/>
  <c r="F147" i="54"/>
  <c r="F144" i="54"/>
  <c r="C143" i="54"/>
  <c r="F143" i="54"/>
  <c r="C142" i="54"/>
  <c r="F141" i="54"/>
  <c r="C140" i="54"/>
  <c r="C139" i="54"/>
  <c r="C138" i="54"/>
  <c r="F137" i="54"/>
  <c r="F136" i="54"/>
  <c r="F135" i="54"/>
  <c r="C134" i="54"/>
  <c r="F133" i="54"/>
  <c r="C130" i="54"/>
  <c r="C129" i="54"/>
  <c r="F128" i="54"/>
  <c r="F127" i="54"/>
  <c r="F126" i="54"/>
  <c r="F125" i="54"/>
  <c r="F124" i="54"/>
  <c r="C123" i="54"/>
  <c r="C122" i="54"/>
  <c r="C121" i="54"/>
  <c r="F120" i="54"/>
  <c r="C117" i="54"/>
  <c r="C116" i="54"/>
  <c r="C115" i="54"/>
  <c r="C114" i="54"/>
  <c r="C113" i="54"/>
  <c r="C112" i="54"/>
  <c r="F111" i="54"/>
  <c r="C110" i="54"/>
  <c r="F109" i="54"/>
  <c r="F108" i="54"/>
  <c r="F107" i="54"/>
  <c r="F105" i="54"/>
  <c r="F104" i="54"/>
  <c r="F102" i="54"/>
  <c r="C101" i="54"/>
  <c r="C100" i="54"/>
  <c r="C99" i="54"/>
  <c r="C98" i="54"/>
  <c r="C97" i="54"/>
  <c r="C96" i="54"/>
  <c r="C95" i="54"/>
  <c r="C93" i="54"/>
  <c r="F91" i="54"/>
  <c r="C87" i="54"/>
  <c r="C86" i="54"/>
  <c r="C85" i="54"/>
  <c r="C84" i="54"/>
  <c r="C83" i="54"/>
  <c r="C82" i="54"/>
  <c r="F81" i="54"/>
  <c r="C80" i="54"/>
  <c r="C79" i="54"/>
  <c r="C78" i="54"/>
  <c r="C77" i="54"/>
  <c r="C76" i="54"/>
  <c r="C75" i="54"/>
  <c r="C74" i="54"/>
  <c r="C73" i="54"/>
  <c r="F72" i="54"/>
  <c r="C71" i="54"/>
  <c r="C70" i="54"/>
  <c r="C69" i="54"/>
  <c r="C68" i="54"/>
  <c r="C67" i="54"/>
  <c r="C66" i="54"/>
  <c r="C64" i="54"/>
  <c r="C63" i="54"/>
  <c r="F61" i="54"/>
  <c r="F60" i="54"/>
  <c r="C59" i="54"/>
  <c r="C58" i="54"/>
  <c r="C57" i="54"/>
  <c r="C56" i="54"/>
  <c r="C53" i="54"/>
  <c r="C52" i="54"/>
  <c r="C51" i="54"/>
  <c r="C50" i="54"/>
  <c r="C48" i="54"/>
  <c r="C47" i="54"/>
  <c r="F46" i="54"/>
  <c r="F45" i="54"/>
  <c r="F42" i="54"/>
  <c r="F41" i="54"/>
  <c r="F40" i="54"/>
  <c r="C39" i="54"/>
  <c r="C38" i="54"/>
  <c r="C37" i="54"/>
  <c r="C36" i="54"/>
  <c r="C35" i="54"/>
  <c r="C34" i="54"/>
  <c r="C33" i="54"/>
  <c r="C32" i="54"/>
  <c r="C31" i="54"/>
  <c r="F28" i="54"/>
  <c r="F25" i="54"/>
  <c r="F24" i="54"/>
  <c r="F23" i="54"/>
  <c r="F22" i="54"/>
  <c r="C21" i="54"/>
  <c r="C20" i="54"/>
  <c r="F20" i="54"/>
  <c r="C17" i="54"/>
  <c r="F14" i="54"/>
  <c r="F11" i="54"/>
  <c r="F10" i="54"/>
  <c r="F9" i="54"/>
  <c r="F8" i="54"/>
  <c r="F7" i="54"/>
  <c r="F5" i="54"/>
  <c r="F4" i="54"/>
  <c r="F3" i="54"/>
  <c r="C548" i="46"/>
  <c r="C541" i="46"/>
  <c r="F500" i="54"/>
  <c r="F417" i="54"/>
  <c r="F428" i="54"/>
  <c r="F438" i="54"/>
  <c r="F463" i="54"/>
  <c r="F474" i="54"/>
  <c r="F533" i="54"/>
  <c r="F20" i="56"/>
  <c r="F412" i="46"/>
  <c r="C374" i="54"/>
  <c r="F18" i="54"/>
  <c r="C19" i="54"/>
  <c r="F19" i="54"/>
  <c r="C345" i="54"/>
  <c r="C355" i="54"/>
  <c r="F412" i="54"/>
  <c r="F19" i="56"/>
  <c r="C139" i="46"/>
  <c r="D276" i="37"/>
  <c r="D275" i="37"/>
  <c r="D274" i="37"/>
  <c r="C142" i="46"/>
  <c r="C363" i="46"/>
  <c r="C143" i="46"/>
  <c r="C268" i="46"/>
  <c r="C538" i="46"/>
  <c r="C537" i="46"/>
  <c r="C154" i="46"/>
  <c r="C391" i="46"/>
  <c r="C389" i="46"/>
  <c r="C388" i="46"/>
  <c r="C386" i="46"/>
  <c r="C385" i="46"/>
  <c r="C336" i="46"/>
  <c r="C335" i="46"/>
  <c r="C334" i="46"/>
  <c r="C331" i="46"/>
  <c r="C330" i="46"/>
  <c r="C329" i="46"/>
  <c r="C328" i="46"/>
  <c r="C327" i="46"/>
  <c r="C326" i="46"/>
  <c r="C307" i="46"/>
  <c r="F307" i="46"/>
  <c r="C306" i="46"/>
  <c r="F306" i="46"/>
  <c r="C305" i="46"/>
  <c r="F305" i="46"/>
  <c r="C303" i="46"/>
  <c r="F303" i="46"/>
  <c r="C302" i="46"/>
  <c r="F302" i="46"/>
  <c r="C222" i="46"/>
  <c r="C221" i="46"/>
  <c r="C356" i="46"/>
  <c r="C220" i="46"/>
  <c r="C355" i="46"/>
  <c r="E293" i="54"/>
  <c r="F292" i="54"/>
  <c r="F450" i="54"/>
  <c r="F291" i="54"/>
  <c r="F458" i="54"/>
  <c r="E230" i="46"/>
  <c r="F230" i="46"/>
  <c r="F293" i="54"/>
  <c r="F294" i="54"/>
  <c r="F290" i="54"/>
  <c r="C293" i="46"/>
  <c r="F293" i="46"/>
  <c r="F290" i="46"/>
  <c r="F289" i="46"/>
  <c r="F281" i="46"/>
  <c r="C274" i="46"/>
  <c r="C374" i="46"/>
  <c r="C258" i="46"/>
  <c r="C259" i="46"/>
  <c r="C260" i="46"/>
  <c r="C251" i="46"/>
  <c r="C211" i="46"/>
  <c r="C346" i="46"/>
  <c r="C210" i="46"/>
  <c r="C203" i="46"/>
  <c r="C195" i="46"/>
  <c r="C192" i="46"/>
  <c r="C190" i="46"/>
  <c r="C187" i="46"/>
  <c r="C186" i="46"/>
  <c r="C185" i="46"/>
  <c r="C184" i="46"/>
  <c r="C183" i="46"/>
  <c r="C182" i="46"/>
  <c r="C181" i="46"/>
  <c r="C180" i="46"/>
  <c r="C173" i="46"/>
  <c r="C169" i="46"/>
  <c r="C379" i="46"/>
  <c r="C168" i="46"/>
  <c r="C165" i="46"/>
  <c r="C162" i="46"/>
  <c r="C161" i="46"/>
  <c r="C160" i="46"/>
  <c r="C159" i="46"/>
  <c r="C153" i="46"/>
  <c r="C152" i="46"/>
  <c r="C151" i="46"/>
  <c r="C150" i="46"/>
  <c r="C149" i="46"/>
  <c r="C140" i="46"/>
  <c r="C138" i="46"/>
  <c r="C134" i="46"/>
  <c r="C130" i="46"/>
  <c r="C129" i="46"/>
  <c r="C123" i="46"/>
  <c r="C122" i="46"/>
  <c r="C121" i="46"/>
  <c r="C117" i="46"/>
  <c r="C116" i="46"/>
  <c r="C115" i="46"/>
  <c r="C114" i="46"/>
  <c r="C113" i="46"/>
  <c r="C112" i="46"/>
  <c r="C110" i="46"/>
  <c r="C101" i="46"/>
  <c r="C100" i="46"/>
  <c r="C99" i="46"/>
  <c r="C98" i="46"/>
  <c r="C97" i="46"/>
  <c r="C96" i="46"/>
  <c r="C95" i="46"/>
  <c r="C93" i="46"/>
  <c r="C88" i="46"/>
  <c r="C87" i="46"/>
  <c r="C86" i="46"/>
  <c r="C85" i="46"/>
  <c r="C84" i="46"/>
  <c r="C80" i="46"/>
  <c r="C79" i="46"/>
  <c r="C78" i="46"/>
  <c r="C77" i="46"/>
  <c r="C76" i="46"/>
  <c r="C75" i="46"/>
  <c r="C74" i="46"/>
  <c r="C73" i="46"/>
  <c r="C71" i="46"/>
  <c r="C70" i="46"/>
  <c r="C69" i="46"/>
  <c r="C68" i="46"/>
  <c r="C67" i="46"/>
  <c r="C66" i="46"/>
  <c r="C64" i="46"/>
  <c r="C63" i="46"/>
  <c r="C59" i="46"/>
  <c r="C58" i="46"/>
  <c r="C57" i="46"/>
  <c r="C56" i="46"/>
  <c r="C53" i="46"/>
  <c r="C52" i="46"/>
  <c r="C51" i="46"/>
  <c r="C50" i="46"/>
  <c r="C48" i="46"/>
  <c r="C47" i="46"/>
  <c r="C38" i="46"/>
  <c r="C37" i="46"/>
  <c r="C36" i="46"/>
  <c r="C35" i="46"/>
  <c r="C34" i="46"/>
  <c r="C33" i="46"/>
  <c r="C32" i="46"/>
  <c r="C31" i="46"/>
  <c r="C21" i="46"/>
  <c r="C20" i="46"/>
  <c r="F20" i="46"/>
  <c r="C17" i="46"/>
  <c r="F552" i="46"/>
  <c r="F551" i="46"/>
  <c r="F550" i="46"/>
  <c r="F549" i="46"/>
  <c r="F548" i="46"/>
  <c r="F547" i="46"/>
  <c r="F546" i="46"/>
  <c r="F545" i="46"/>
  <c r="F544" i="46"/>
  <c r="F543" i="46"/>
  <c r="F542" i="46"/>
  <c r="F541" i="46"/>
  <c r="F540" i="46"/>
  <c r="F539" i="46"/>
  <c r="F538" i="46"/>
  <c r="F537" i="46"/>
  <c r="F536" i="46"/>
  <c r="F535" i="46"/>
  <c r="F534" i="46"/>
  <c r="F520" i="46"/>
  <c r="F519" i="46"/>
  <c r="F518" i="46"/>
  <c r="F517" i="46"/>
  <c r="F516" i="46"/>
  <c r="F515" i="46"/>
  <c r="F514" i="46"/>
  <c r="F513" i="46"/>
  <c r="F512" i="46"/>
  <c r="F511" i="46"/>
  <c r="F510" i="46"/>
  <c r="F509" i="46"/>
  <c r="F508" i="46"/>
  <c r="F507" i="46"/>
  <c r="F506" i="46"/>
  <c r="F505" i="46"/>
  <c r="F504" i="46"/>
  <c r="F503" i="46"/>
  <c r="F502" i="46"/>
  <c r="F501" i="46"/>
  <c r="F498" i="46"/>
  <c r="F497" i="46"/>
  <c r="F496" i="46"/>
  <c r="F495" i="46"/>
  <c r="F494" i="46"/>
  <c r="F493" i="46"/>
  <c r="F492" i="46"/>
  <c r="F491" i="46"/>
  <c r="F490" i="46"/>
  <c r="F489" i="46"/>
  <c r="F488" i="46"/>
  <c r="F487" i="46"/>
  <c r="F486" i="46"/>
  <c r="F485" i="46"/>
  <c r="F484" i="46"/>
  <c r="F483" i="46"/>
  <c r="F482" i="46"/>
  <c r="F481" i="46"/>
  <c r="F480" i="46"/>
  <c r="F479" i="46"/>
  <c r="F478" i="46"/>
  <c r="F477" i="46"/>
  <c r="F476" i="46"/>
  <c r="F475" i="46"/>
  <c r="F472" i="46"/>
  <c r="F471" i="46"/>
  <c r="F470" i="46"/>
  <c r="F469" i="46"/>
  <c r="F468" i="46"/>
  <c r="F467" i="46"/>
  <c r="F466" i="46"/>
  <c r="F465" i="46"/>
  <c r="F464" i="46"/>
  <c r="F461" i="46"/>
  <c r="F460" i="46"/>
  <c r="F459" i="46"/>
  <c r="F458" i="46"/>
  <c r="F457" i="46"/>
  <c r="F456" i="46"/>
  <c r="F455" i="46"/>
  <c r="F454" i="46"/>
  <c r="F453" i="46"/>
  <c r="F452" i="46"/>
  <c r="F451" i="46"/>
  <c r="F450" i="46"/>
  <c r="F449" i="46"/>
  <c r="F446" i="46"/>
  <c r="F444" i="46"/>
  <c r="F443" i="46"/>
  <c r="F442" i="46"/>
  <c r="F441" i="46"/>
  <c r="F440" i="46"/>
  <c r="F439" i="46"/>
  <c r="F436" i="46"/>
  <c r="F435" i="46"/>
  <c r="F434" i="46"/>
  <c r="F433" i="46"/>
  <c r="F432" i="46"/>
  <c r="F431" i="46"/>
  <c r="F430" i="46"/>
  <c r="F429" i="46"/>
  <c r="F426" i="46"/>
  <c r="F425" i="46"/>
  <c r="F424" i="46"/>
  <c r="F423" i="46"/>
  <c r="F422" i="46"/>
  <c r="F421" i="46"/>
  <c r="F420" i="46"/>
  <c r="F419" i="46"/>
  <c r="F418" i="46"/>
  <c r="F415" i="46"/>
  <c r="F414" i="46"/>
  <c r="F413" i="46"/>
  <c r="F406" i="46"/>
  <c r="F405" i="46"/>
  <c r="F404" i="46"/>
  <c r="F402" i="46"/>
  <c r="F401" i="46"/>
  <c r="F400" i="46"/>
  <c r="F399" i="46"/>
  <c r="F398" i="46"/>
  <c r="F397" i="46"/>
  <c r="F396" i="46"/>
  <c r="F391" i="46"/>
  <c r="F390" i="46"/>
  <c r="F389" i="46"/>
  <c r="F388" i="46"/>
  <c r="F387" i="46"/>
  <c r="F386" i="46"/>
  <c r="F385" i="46"/>
  <c r="F384" i="46"/>
  <c r="F383" i="46"/>
  <c r="F380" i="46"/>
  <c r="F378" i="46"/>
  <c r="F377" i="46"/>
  <c r="F375" i="46"/>
  <c r="F372" i="46"/>
  <c r="F369" i="46"/>
  <c r="F368" i="46"/>
  <c r="F367" i="46"/>
  <c r="F362" i="46"/>
  <c r="F359" i="46"/>
  <c r="F358" i="46"/>
  <c r="F357" i="46"/>
  <c r="F352" i="46"/>
  <c r="F349" i="46"/>
  <c r="F348" i="46"/>
  <c r="F347" i="46"/>
  <c r="F342" i="46"/>
  <c r="F297" i="46"/>
  <c r="F296" i="46"/>
  <c r="F292" i="46"/>
  <c r="F291" i="46"/>
  <c r="F287" i="46"/>
  <c r="F285" i="46"/>
  <c r="F284" i="46"/>
  <c r="F280" i="46"/>
  <c r="F277" i="46"/>
  <c r="F276" i="46"/>
  <c r="F275" i="46"/>
  <c r="F273" i="46"/>
  <c r="F267" i="46"/>
  <c r="F264" i="46"/>
  <c r="F263" i="46"/>
  <c r="F262" i="46"/>
  <c r="F257" i="46"/>
  <c r="F254" i="46"/>
  <c r="F253" i="46"/>
  <c r="F252" i="46"/>
  <c r="F246" i="46"/>
  <c r="F243" i="46"/>
  <c r="F242" i="46"/>
  <c r="F241" i="46"/>
  <c r="F236" i="46"/>
  <c r="F233" i="46"/>
  <c r="F232" i="46"/>
  <c r="F231" i="46"/>
  <c r="F223" i="46"/>
  <c r="F219" i="46"/>
  <c r="F216" i="46"/>
  <c r="F215" i="46"/>
  <c r="F214" i="46"/>
  <c r="F213" i="46"/>
  <c r="F209" i="46"/>
  <c r="F206" i="46"/>
  <c r="F204" i="46"/>
  <c r="F202" i="46"/>
  <c r="F201" i="46"/>
  <c r="F200" i="46"/>
  <c r="F199" i="46"/>
  <c r="F198" i="46"/>
  <c r="F197" i="46"/>
  <c r="F193" i="46"/>
  <c r="F191" i="46"/>
  <c r="F188" i="46"/>
  <c r="F179" i="46"/>
  <c r="F144" i="46"/>
  <c r="F143" i="46"/>
  <c r="F174" i="46"/>
  <c r="F172" i="46"/>
  <c r="F167" i="46"/>
  <c r="F164" i="46"/>
  <c r="F147" i="46"/>
  <c r="F141" i="46"/>
  <c r="F137" i="46"/>
  <c r="F136" i="46"/>
  <c r="F135" i="46"/>
  <c r="F133" i="46"/>
  <c r="F128" i="46"/>
  <c r="F127" i="46"/>
  <c r="F126" i="46"/>
  <c r="F124" i="46"/>
  <c r="F120" i="46"/>
  <c r="F111" i="46"/>
  <c r="F109" i="46"/>
  <c r="F108" i="46"/>
  <c r="F107" i="46"/>
  <c r="F105" i="46"/>
  <c r="F104" i="46"/>
  <c r="F102" i="46"/>
  <c r="F91" i="46"/>
  <c r="F81" i="46"/>
  <c r="F72" i="46"/>
  <c r="F61" i="46"/>
  <c r="F60" i="46"/>
  <c r="F46" i="46"/>
  <c r="F45" i="46"/>
  <c r="F42" i="46"/>
  <c r="F41" i="46"/>
  <c r="F40" i="46"/>
  <c r="F28" i="46"/>
  <c r="F25" i="46"/>
  <c r="F24" i="46"/>
  <c r="F23" i="46"/>
  <c r="F22" i="46"/>
  <c r="F14" i="46"/>
  <c r="F11" i="46"/>
  <c r="F10" i="46"/>
  <c r="F9" i="46"/>
  <c r="F8" i="46"/>
  <c r="F7" i="46"/>
  <c r="F5" i="46"/>
  <c r="F4" i="46"/>
  <c r="F3" i="46"/>
  <c r="F438" i="46"/>
  <c r="F448" i="54"/>
  <c r="F428" i="46"/>
  <c r="F533" i="46"/>
  <c r="F463" i="46"/>
  <c r="F474" i="46"/>
  <c r="F500" i="46"/>
  <c r="F417" i="46"/>
  <c r="F448" i="46"/>
  <c r="F223" i="54"/>
  <c r="F18" i="46"/>
  <c r="C345" i="46"/>
  <c r="C19" i="46"/>
  <c r="F19" i="46"/>
  <c r="F20" i="47"/>
  <c r="F19" i="47"/>
  <c r="F326" i="46"/>
  <c r="F331" i="46"/>
  <c r="F326" i="54"/>
  <c r="F327" i="46"/>
  <c r="F331" i="54"/>
  <c r="F328" i="46"/>
  <c r="F327" i="54"/>
  <c r="F329" i="46"/>
  <c r="F328" i="54"/>
  <c r="F336" i="46"/>
  <c r="F334" i="46"/>
  <c r="F335" i="46"/>
  <c r="F329" i="54"/>
  <c r="D210" i="37"/>
  <c r="D209" i="37"/>
  <c r="D208" i="37"/>
  <c r="D204" i="37"/>
  <c r="D203" i="37"/>
  <c r="D310" i="37"/>
  <c r="D311" i="37"/>
  <c r="D312" i="37"/>
  <c r="F334" i="54"/>
  <c r="F336" i="54"/>
  <c r="F335" i="54"/>
  <c r="D410" i="37"/>
  <c r="D411" i="37"/>
  <c r="D42" i="37"/>
  <c r="D41" i="37"/>
  <c r="D43" i="37"/>
  <c r="D35" i="37"/>
  <c r="D37" i="37"/>
  <c r="D36" i="37"/>
  <c r="D421" i="37"/>
  <c r="D420" i="37"/>
  <c r="F236" i="37"/>
  <c r="D149" i="12"/>
  <c r="F15" i="46"/>
  <c r="F15" i="54"/>
  <c r="F151" i="12"/>
  <c r="F150" i="12"/>
  <c r="F24" i="12"/>
  <c r="E23" i="12"/>
  <c r="F23" i="12"/>
  <c r="F22" i="12"/>
  <c r="F149" i="12"/>
  <c r="F152" i="12"/>
  <c r="F25" i="12"/>
  <c r="E568" i="46"/>
  <c r="E175" i="54"/>
  <c r="F175" i="54"/>
  <c r="E568" i="54"/>
  <c r="F568" i="46"/>
  <c r="F169" i="46"/>
  <c r="F165" i="46"/>
  <c r="E437" i="37"/>
  <c r="E205" i="46"/>
  <c r="E569" i="46"/>
  <c r="F171" i="46"/>
  <c r="F175" i="46"/>
  <c r="F205" i="46"/>
  <c r="E205" i="54"/>
  <c r="F205" i="54"/>
  <c r="F283" i="46"/>
  <c r="F269" i="46"/>
  <c r="F194" i="46"/>
  <c r="F21" i="46"/>
  <c r="F163" i="46"/>
  <c r="F165" i="54"/>
  <c r="F6" i="46"/>
  <c r="F2" i="46"/>
  <c r="F168" i="54"/>
  <c r="F286" i="46"/>
  <c r="F169" i="54"/>
  <c r="E569" i="55"/>
  <c r="F568" i="54"/>
  <c r="E569" i="54"/>
  <c r="F569" i="46"/>
  <c r="F251" i="46"/>
  <c r="F161" i="54"/>
  <c r="F282" i="46"/>
  <c r="E421" i="37"/>
  <c r="F168" i="46"/>
  <c r="F161" i="46"/>
  <c r="F392" i="46"/>
  <c r="F393" i="46"/>
  <c r="F403" i="46"/>
  <c r="F211" i="54"/>
  <c r="F140" i="46"/>
  <c r="F16" i="54"/>
  <c r="F210" i="54"/>
  <c r="F343" i="54"/>
  <c r="F212" i="54"/>
  <c r="F345" i="54"/>
  <c r="F239" i="54"/>
  <c r="F271" i="54"/>
  <c r="F240" i="54"/>
  <c r="F238" i="54"/>
  <c r="F237" i="54"/>
  <c r="F237" i="46"/>
  <c r="F212" i="46"/>
  <c r="F211" i="46"/>
  <c r="F343" i="46"/>
  <c r="F345" i="46"/>
  <c r="F16" i="46"/>
  <c r="F239" i="46"/>
  <c r="F240" i="46"/>
  <c r="F238" i="46"/>
  <c r="F210" i="46"/>
  <c r="F271" i="46"/>
  <c r="F208" i="46"/>
  <c r="F8" i="47"/>
  <c r="F330" i="46"/>
  <c r="F299" i="46"/>
  <c r="F16" i="47"/>
  <c r="F382" i="46"/>
  <c r="F208" i="54"/>
  <c r="F235" i="54"/>
  <c r="F235" i="46"/>
  <c r="F363" i="54"/>
  <c r="F149" i="54"/>
  <c r="F282" i="54"/>
  <c r="F21" i="54"/>
  <c r="F17" i="46"/>
  <c r="F13" i="46"/>
  <c r="F190" i="54"/>
  <c r="F251" i="54"/>
  <c r="F286" i="54"/>
  <c r="F353" i="46"/>
  <c r="F154" i="54"/>
  <c r="F194" i="54"/>
  <c r="F39" i="46"/>
  <c r="F160" i="54"/>
  <c r="F355" i="46"/>
  <c r="F184" i="54"/>
  <c r="F157" i="54"/>
  <c r="E570" i="55"/>
  <c r="F569" i="54"/>
  <c r="F163" i="54"/>
  <c r="F269" i="54"/>
  <c r="F365" i="46"/>
  <c r="F151" i="54"/>
  <c r="F159" i="54"/>
  <c r="F6" i="54"/>
  <c r="F2" i="54"/>
  <c r="F373" i="46"/>
  <c r="F274" i="46"/>
  <c r="F171" i="54"/>
  <c r="E569" i="51"/>
  <c r="F569" i="51"/>
  <c r="F569" i="55"/>
  <c r="F140" i="54"/>
  <c r="F283" i="54"/>
  <c r="F203" i="46"/>
  <c r="F190" i="46"/>
  <c r="F160" i="46"/>
  <c r="F363" i="46"/>
  <c r="F151" i="46"/>
  <c r="F154" i="46"/>
  <c r="F184" i="46"/>
  <c r="F159" i="46"/>
  <c r="F149" i="46"/>
  <c r="F157" i="46"/>
  <c r="F226" i="54"/>
  <c r="F229" i="54"/>
  <c r="F220" i="54"/>
  <c r="F222" i="54"/>
  <c r="F228" i="54"/>
  <c r="F227" i="54"/>
  <c r="F221" i="54"/>
  <c r="F270" i="54"/>
  <c r="F346" i="54"/>
  <c r="F403" i="54"/>
  <c r="F392" i="54"/>
  <c r="F393" i="54"/>
  <c r="F344" i="54"/>
  <c r="F249" i="54"/>
  <c r="F250" i="54"/>
  <c r="F248" i="54"/>
  <c r="F247" i="54"/>
  <c r="F270" i="46"/>
  <c r="E228" i="46"/>
  <c r="F228" i="46"/>
  <c r="F222" i="46"/>
  <c r="E227" i="46"/>
  <c r="F227" i="46"/>
  <c r="F221" i="46"/>
  <c r="F344" i="46"/>
  <c r="F346" i="46"/>
  <c r="F250" i="46"/>
  <c r="E229" i="46"/>
  <c r="F229" i="46"/>
  <c r="E226" i="46"/>
  <c r="F226" i="46"/>
  <c r="F220" i="46"/>
  <c r="F249" i="46"/>
  <c r="F247" i="46"/>
  <c r="F248" i="46"/>
  <c r="F330" i="54"/>
  <c r="F299" i="54"/>
  <c r="F16" i="56"/>
  <c r="F245" i="54"/>
  <c r="F218" i="46"/>
  <c r="F341" i="54"/>
  <c r="F279" i="54"/>
  <c r="F15" i="56"/>
  <c r="F245" i="46"/>
  <c r="F382" i="54"/>
  <c r="F18" i="56"/>
  <c r="F218" i="54"/>
  <c r="F13" i="56"/>
  <c r="F341" i="46"/>
  <c r="F8" i="56"/>
  <c r="F155" i="46"/>
  <c r="F187" i="46"/>
  <c r="F180" i="54"/>
  <c r="F373" i="54"/>
  <c r="F17" i="54"/>
  <c r="F13" i="54"/>
  <c r="F166" i="54"/>
  <c r="F39" i="54"/>
  <c r="F354" i="46"/>
  <c r="F195" i="54"/>
  <c r="F374" i="54"/>
  <c r="F365" i="54"/>
  <c r="F355" i="54"/>
  <c r="F158" i="46"/>
  <c r="F150" i="54"/>
  <c r="F148" i="46"/>
  <c r="E571" i="46"/>
  <c r="F260" i="46"/>
  <c r="F162" i="46"/>
  <c r="F185" i="46"/>
  <c r="F156" i="46"/>
  <c r="F183" i="54"/>
  <c r="E570" i="51"/>
  <c r="F570" i="51"/>
  <c r="F570" i="55"/>
  <c r="F364" i="46"/>
  <c r="F366" i="46"/>
  <c r="F182" i="46"/>
  <c r="F203" i="54"/>
  <c r="F274" i="54"/>
  <c r="F258" i="46"/>
  <c r="F259" i="46"/>
  <c r="F261" i="46"/>
  <c r="F268" i="46"/>
  <c r="F356" i="46"/>
  <c r="F272" i="46"/>
  <c r="F152" i="54"/>
  <c r="F353" i="54"/>
  <c r="F166" i="46"/>
  <c r="F195" i="46"/>
  <c r="F379" i="46"/>
  <c r="F374" i="46"/>
  <c r="F18" i="47"/>
  <c r="F183" i="46"/>
  <c r="F152" i="46"/>
  <c r="F180" i="46"/>
  <c r="F150" i="46"/>
  <c r="F9" i="47"/>
  <c r="F266" i="46"/>
  <c r="F361" i="46"/>
  <c r="F351" i="46"/>
  <c r="F256" i="46"/>
  <c r="F9" i="56"/>
  <c r="F189" i="46"/>
  <c r="F155" i="54"/>
  <c r="F148" i="54"/>
  <c r="F376" i="46"/>
  <c r="F371" i="46"/>
  <c r="F196" i="46"/>
  <c r="F366" i="54"/>
  <c r="F571" i="46"/>
  <c r="E571" i="54"/>
  <c r="F354" i="54"/>
  <c r="F153" i="46"/>
  <c r="F272" i="54"/>
  <c r="F259" i="54"/>
  <c r="F192" i="46"/>
  <c r="F364" i="54"/>
  <c r="F156" i="54"/>
  <c r="F162" i="54"/>
  <c r="F356" i="54"/>
  <c r="F258" i="54"/>
  <c r="F261" i="54"/>
  <c r="F173" i="46"/>
  <c r="F185" i="54"/>
  <c r="F260" i="54"/>
  <c r="F158" i="54"/>
  <c r="F187" i="54"/>
  <c r="F181" i="46"/>
  <c r="F186" i="46"/>
  <c r="F170" i="46"/>
  <c r="F268" i="54"/>
  <c r="F182" i="54"/>
  <c r="F13" i="47"/>
  <c r="F34" i="37"/>
  <c r="E422" i="37"/>
  <c r="F422" i="37"/>
  <c r="F411" i="37"/>
  <c r="F266" i="54"/>
  <c r="F361" i="54"/>
  <c r="F351" i="54"/>
  <c r="F146" i="46"/>
  <c r="F178" i="46"/>
  <c r="F12" i="47"/>
  <c r="F256" i="54"/>
  <c r="F17" i="47"/>
  <c r="F189" i="54"/>
  <c r="F14" i="47"/>
  <c r="F34" i="46"/>
  <c r="F181" i="54"/>
  <c r="F192" i="54"/>
  <c r="F186" i="54"/>
  <c r="F196" i="54"/>
  <c r="F153" i="54"/>
  <c r="F35" i="46"/>
  <c r="E572" i="55"/>
  <c r="F571" i="54"/>
  <c r="F376" i="54"/>
  <c r="F371" i="54"/>
  <c r="F170" i="54"/>
  <c r="F173" i="54"/>
  <c r="F40" i="37"/>
  <c r="F36" i="37"/>
  <c r="F35" i="37"/>
  <c r="E439" i="37"/>
  <c r="F439" i="37"/>
  <c r="F37" i="37"/>
  <c r="F14" i="56"/>
  <c r="F178" i="54"/>
  <c r="F146" i="54"/>
  <c r="F34" i="54"/>
  <c r="F35" i="54"/>
  <c r="F36" i="46"/>
  <c r="F17" i="56"/>
  <c r="E572" i="51"/>
  <c r="F572" i="51"/>
  <c r="F572" i="55"/>
  <c r="F38" i="37"/>
  <c r="F37" i="46"/>
  <c r="F42" i="37"/>
  <c r="F43" i="37"/>
  <c r="F41" i="37"/>
  <c r="F12" i="56"/>
  <c r="F36" i="54"/>
  <c r="F44" i="37"/>
  <c r="E273" i="37"/>
  <c r="F37" i="54"/>
  <c r="F38" i="46"/>
  <c r="F38" i="54"/>
  <c r="E209" i="37"/>
  <c r="F209" i="37"/>
  <c r="F29" i="46"/>
  <c r="F309" i="37"/>
  <c r="F30" i="46"/>
  <c r="F29" i="54"/>
  <c r="E210" i="37"/>
  <c r="F31" i="46"/>
  <c r="F30" i="54"/>
  <c r="F210" i="37"/>
  <c r="F204" i="37"/>
  <c r="F32" i="46"/>
  <c r="F31" i="54"/>
  <c r="E276" i="37"/>
  <c r="F276" i="37"/>
  <c r="F33" i="46"/>
  <c r="F27" i="46"/>
  <c r="F10" i="47"/>
  <c r="F32" i="54"/>
  <c r="E83" i="46"/>
  <c r="E203" i="37"/>
  <c r="F203" i="37"/>
  <c r="F83" i="46"/>
  <c r="E82" i="54"/>
  <c r="F82" i="54"/>
  <c r="F33" i="54"/>
  <c r="F27" i="54"/>
  <c r="F49" i="46"/>
  <c r="F49" i="54"/>
  <c r="F62" i="46"/>
  <c r="F10" i="56"/>
  <c r="F92" i="46"/>
  <c r="F62" i="54"/>
  <c r="E82" i="46"/>
  <c r="F92" i="54"/>
  <c r="F64" i="46"/>
  <c r="F82" i="46"/>
  <c r="E88" i="54"/>
  <c r="F88" i="54"/>
  <c r="F50" i="54"/>
  <c r="F50" i="46"/>
  <c r="F64" i="54"/>
  <c r="F51" i="46"/>
  <c r="F65" i="46"/>
  <c r="F94" i="46"/>
  <c r="F63" i="54"/>
  <c r="F63" i="46"/>
  <c r="E201" i="37"/>
  <c r="F93" i="46"/>
  <c r="F65" i="54"/>
  <c r="F51" i="54"/>
  <c r="F94" i="54"/>
  <c r="F52" i="46"/>
  <c r="E207" i="37"/>
  <c r="F207" i="37"/>
  <c r="F312" i="37"/>
  <c r="F201" i="37"/>
  <c r="F93" i="54"/>
  <c r="F52" i="54"/>
  <c r="F53" i="46"/>
  <c r="F54" i="46"/>
  <c r="F53" i="54"/>
  <c r="F273" i="37"/>
  <c r="E275" i="37"/>
  <c r="F275" i="37"/>
  <c r="F409" i="37"/>
  <c r="F56" i="46"/>
  <c r="F138" i="46"/>
  <c r="F54" i="54"/>
  <c r="F55" i="46"/>
  <c r="F419" i="37"/>
  <c r="E86" i="46"/>
  <c r="F138" i="54"/>
  <c r="F57" i="46"/>
  <c r="F55" i="54"/>
  <c r="F56" i="54"/>
  <c r="F59" i="46"/>
  <c r="F86" i="46"/>
  <c r="E85" i="54"/>
  <c r="F85" i="54"/>
  <c r="E112" i="46"/>
  <c r="E87" i="46"/>
  <c r="F425" i="37"/>
  <c r="F142" i="46"/>
  <c r="F57" i="54"/>
  <c r="F58" i="46"/>
  <c r="F59" i="54"/>
  <c r="F87" i="46"/>
  <c r="E86" i="54"/>
  <c r="F86" i="54"/>
  <c r="F112" i="46"/>
  <c r="E112" i="54"/>
  <c r="F112" i="54"/>
  <c r="F202" i="37"/>
  <c r="F205" i="37"/>
  <c r="E88" i="46"/>
  <c r="F142" i="54"/>
  <c r="F88" i="46"/>
  <c r="E87" i="54"/>
  <c r="F87" i="54"/>
  <c r="F58" i="54"/>
  <c r="F208" i="37"/>
  <c r="F211" i="37"/>
  <c r="E113" i="46"/>
  <c r="F437" i="37"/>
  <c r="E570" i="46"/>
  <c r="F113" i="46"/>
  <c r="E113" i="54"/>
  <c r="F113" i="54"/>
  <c r="E570" i="54"/>
  <c r="F570" i="46"/>
  <c r="F572" i="46"/>
  <c r="E84" i="46"/>
  <c r="E114" i="46"/>
  <c r="E571" i="55"/>
  <c r="F570" i="54"/>
  <c r="F572" i="54"/>
  <c r="F47" i="46"/>
  <c r="F114" i="46"/>
  <c r="E114" i="54"/>
  <c r="F114" i="54"/>
  <c r="F48" i="46"/>
  <c r="F84" i="46"/>
  <c r="E83" i="54"/>
  <c r="F83" i="54"/>
  <c r="E428" i="37"/>
  <c r="F428" i="37"/>
  <c r="F311" i="37"/>
  <c r="F139" i="46"/>
  <c r="F66" i="46"/>
  <c r="F48" i="54"/>
  <c r="F47" i="54"/>
  <c r="E571" i="51"/>
  <c r="F571" i="51"/>
  <c r="F573" i="51"/>
  <c r="F571" i="55"/>
  <c r="F573" i="55"/>
  <c r="E274" i="37"/>
  <c r="F274" i="37"/>
  <c r="F277" i="37"/>
  <c r="F139" i="54"/>
  <c r="F67" i="46"/>
  <c r="F96" i="46"/>
  <c r="F66" i="54"/>
  <c r="F95" i="46"/>
  <c r="E85" i="46"/>
  <c r="F106" i="46"/>
  <c r="F96" i="54"/>
  <c r="F85" i="46"/>
  <c r="E84" i="54"/>
  <c r="F84" i="54"/>
  <c r="F95" i="54"/>
  <c r="F67" i="54"/>
  <c r="F97" i="46"/>
  <c r="F106" i="54"/>
  <c r="F68" i="46"/>
  <c r="F98" i="46"/>
  <c r="F97" i="54"/>
  <c r="F98" i="54"/>
  <c r="F99" i="46"/>
  <c r="F68" i="54"/>
  <c r="F99" i="54"/>
  <c r="F100" i="46"/>
  <c r="F69" i="46"/>
  <c r="E115" i="46"/>
  <c r="F310" i="37"/>
  <c r="F313" i="37"/>
  <c r="F69" i="54"/>
  <c r="F115" i="46"/>
  <c r="E115" i="54"/>
  <c r="F115" i="54"/>
  <c r="F100" i="54"/>
  <c r="E117" i="46"/>
  <c r="F110" i="46"/>
  <c r="F117" i="46"/>
  <c r="E117" i="54"/>
  <c r="F117" i="54"/>
  <c r="F122" i="54"/>
  <c r="F125" i="46"/>
  <c r="F122" i="46"/>
  <c r="F410" i="37"/>
  <c r="F412" i="37"/>
  <c r="F421" i="37"/>
  <c r="F420" i="37"/>
  <c r="F110" i="54"/>
  <c r="F70" i="46"/>
  <c r="F101" i="46"/>
  <c r="F130" i="46"/>
  <c r="F121" i="46"/>
  <c r="F423" i="37"/>
  <c r="F427" i="37"/>
  <c r="F121" i="54"/>
  <c r="F129" i="46"/>
  <c r="F101" i="54"/>
  <c r="F130" i="54"/>
  <c r="F71" i="46"/>
  <c r="F70" i="54"/>
  <c r="F123" i="46"/>
  <c r="E116" i="46"/>
  <c r="E438" i="37"/>
  <c r="F438" i="37"/>
  <c r="F440" i="37"/>
  <c r="F119" i="46"/>
  <c r="F116" i="46"/>
  <c r="E116" i="54"/>
  <c r="F116" i="54"/>
  <c r="F71" i="54"/>
  <c r="F129" i="54"/>
  <c r="F123" i="54"/>
  <c r="F119" i="54"/>
  <c r="F73" i="46"/>
  <c r="F73" i="54"/>
  <c r="F74" i="46"/>
  <c r="F75" i="46"/>
  <c r="F74" i="54"/>
  <c r="F103" i="46"/>
  <c r="F90" i="46"/>
  <c r="F103" i="54"/>
  <c r="F90" i="54"/>
  <c r="F75" i="54"/>
  <c r="F79" i="46"/>
  <c r="F79" i="54"/>
  <c r="F76" i="46"/>
  <c r="F80" i="46"/>
  <c r="F78" i="46"/>
  <c r="F77" i="46"/>
  <c r="F426" i="37"/>
  <c r="F429" i="37"/>
  <c r="F44" i="46"/>
  <c r="F80" i="54"/>
  <c r="F76" i="54"/>
  <c r="F77" i="54"/>
  <c r="F78" i="54"/>
  <c r="F44" i="54"/>
  <c r="F134" i="46"/>
  <c r="F132" i="46"/>
  <c r="F11" i="47"/>
  <c r="F134" i="54"/>
  <c r="F132" i="54"/>
  <c r="F553" i="54"/>
  <c r="F11" i="56"/>
  <c r="F23" i="56"/>
  <c r="F24" i="56"/>
  <c r="F25" i="56"/>
  <c r="F554" i="55"/>
  <c r="F554" i="51"/>
  <c r="F294" i="46"/>
  <c r="F26" i="56"/>
  <c r="F27" i="56"/>
  <c r="F28" i="56"/>
  <c r="H28" i="56"/>
  <c r="H25" i="56"/>
  <c r="F279" i="46"/>
  <c r="F553" i="46"/>
  <c r="H554" i="55"/>
  <c r="F25" i="57"/>
  <c r="F26" i="57"/>
  <c r="F25" i="52"/>
  <c r="F15" i="47"/>
  <c r="F23" i="47"/>
  <c r="F24" i="47"/>
  <c r="F27" i="57"/>
  <c r="F28" i="57"/>
  <c r="I25" i="52"/>
  <c r="F26" i="52"/>
  <c r="H25" i="52"/>
  <c r="H25" i="57"/>
  <c r="F27" i="52"/>
  <c r="F28" i="52"/>
  <c r="F25" i="47"/>
  <c r="J25" i="57"/>
  <c r="F26" i="47"/>
  <c r="F27" i="47"/>
  <c r="F28" i="47"/>
  <c r="H28" i="47"/>
  <c r="H25" i="47"/>
</calcChain>
</file>

<file path=xl/sharedStrings.xml><?xml version="1.0" encoding="utf-8"?>
<sst xmlns="http://schemas.openxmlformats.org/spreadsheetml/2006/main" count="6688" uniqueCount="882">
  <si>
    <t>COA</t>
  </si>
  <si>
    <t>Item Pekerjaan</t>
  </si>
  <si>
    <t>Volume</t>
  </si>
  <si>
    <t>Harga Satuan</t>
  </si>
  <si>
    <t>Subtotal</t>
  </si>
  <si>
    <t>m2</t>
  </si>
  <si>
    <t>Ls</t>
  </si>
  <si>
    <t>unit</t>
  </si>
  <si>
    <t>m</t>
  </si>
  <si>
    <t>m3</t>
  </si>
  <si>
    <t>titik</t>
  </si>
  <si>
    <t>100.04.03</t>
  </si>
  <si>
    <t>Pekj Ring Balok beton Atap</t>
  </si>
  <si>
    <t>100.04.09</t>
  </si>
  <si>
    <t>Pekj Plat lantai Struktur beton</t>
  </si>
  <si>
    <t>100.05.01</t>
  </si>
  <si>
    <t xml:space="preserve">Lantai R Tamu R Keluarga kramik/HT </t>
  </si>
  <si>
    <t>100.07.01</t>
  </si>
  <si>
    <t>Pekj Plafon + List Plafon Lt-1</t>
  </si>
  <si>
    <t>100.07.02</t>
  </si>
  <si>
    <t>Pekj Plafon + List Plafon Lt-2</t>
  </si>
  <si>
    <t>100.08.02.01</t>
  </si>
  <si>
    <t>Pekj Pasangan Dinding Lt 1 1PC:5Ps</t>
  </si>
  <si>
    <t>100.08.02.02</t>
  </si>
  <si>
    <t>Pekj Pasangan Dinding Lt 2 1PC:5Ps</t>
  </si>
  <si>
    <t>100.09.01</t>
  </si>
  <si>
    <t>Pekj Rangka atap baja ringan</t>
  </si>
  <si>
    <t>100.11.01.01</t>
  </si>
  <si>
    <t>Pekj finishing cat dinding exterior Lt 1</t>
  </si>
  <si>
    <t>100.12.01.01</t>
  </si>
  <si>
    <t>Sanitair Closet duduk</t>
  </si>
  <si>
    <t>100.12.05.06</t>
  </si>
  <si>
    <t>Sanitair Kitchen Zink</t>
  </si>
  <si>
    <t>100.12.06</t>
  </si>
  <si>
    <t>Pekj pipa air bersih Lt-1</t>
  </si>
  <si>
    <t>100.12.09</t>
  </si>
  <si>
    <t>Pekj pipa air kotor hujan dan ke septictank</t>
  </si>
  <si>
    <t>100.12.14</t>
  </si>
  <si>
    <t>100.13.01.01</t>
  </si>
  <si>
    <t xml:space="preserve">Pekj titik lampu beserta tarikan kabel </t>
  </si>
  <si>
    <t>Sat</t>
  </si>
  <si>
    <t>Total Harga</t>
  </si>
  <si>
    <t xml:space="preserve">Total </t>
  </si>
  <si>
    <t>kg</t>
  </si>
  <si>
    <t xml:space="preserve"> Kiantoro Tirtawardhana</t>
  </si>
  <si>
    <t xml:space="preserve">     CV Tirta Kusuma</t>
  </si>
  <si>
    <t>m '</t>
  </si>
  <si>
    <t xml:space="preserve"> - Upah</t>
  </si>
  <si>
    <t xml:space="preserve"> - Cat </t>
  </si>
  <si>
    <t>bh</t>
  </si>
  <si>
    <t>lbr</t>
  </si>
  <si>
    <t>m³</t>
  </si>
  <si>
    <t>Total</t>
  </si>
  <si>
    <t>m²</t>
  </si>
  <si>
    <t xml:space="preserve"> - Bahan cat</t>
  </si>
  <si>
    <t>Cat listplank woodplank weathershield</t>
  </si>
  <si>
    <t>ls</t>
  </si>
  <si>
    <t>ltr</t>
  </si>
  <si>
    <t>m¹</t>
  </si>
  <si>
    <t xml:space="preserve"> - Upah kerja </t>
  </si>
  <si>
    <t xml:space="preserve"> - Rangka furing</t>
  </si>
  <si>
    <t xml:space="preserve"> - Woodplank 2x3x15</t>
  </si>
  <si>
    <t xml:space="preserve"> Listplank Woodplank</t>
  </si>
  <si>
    <t xml:space="preserve"> - Upah kerja</t>
  </si>
  <si>
    <t xml:space="preserve"> - Hollow</t>
  </si>
  <si>
    <t xml:space="preserve"> - Scrup</t>
  </si>
  <si>
    <t>rol</t>
  </si>
  <si>
    <t xml:space="preserve"> - Top Flex</t>
  </si>
  <si>
    <t xml:space="preserve">   Ridge tree </t>
  </si>
  <si>
    <t xml:space="preserve"> - Genteng nok</t>
  </si>
  <si>
    <t xml:space="preserve"> Genteng Wuwung / Nok</t>
  </si>
  <si>
    <t xml:space="preserve"> - Genteng badan  Monier</t>
  </si>
  <si>
    <t xml:space="preserve"> - Stenslag 2/3</t>
  </si>
  <si>
    <t xml:space="preserve"> Benangan plint lantai aluminium</t>
  </si>
  <si>
    <t xml:space="preserve"> - Alat kerja </t>
  </si>
  <si>
    <t xml:space="preserve"> - Nat AM Grout 50</t>
  </si>
  <si>
    <t xml:space="preserve"> - Pasir</t>
  </si>
  <si>
    <t xml:space="preserve"> - Semen</t>
  </si>
  <si>
    <t xml:space="preserve"> Upah + spesi Granit lantai </t>
  </si>
  <si>
    <t xml:space="preserve"> - Aluminium L 1X1cm</t>
  </si>
  <si>
    <t>List plafond alumunium</t>
  </si>
  <si>
    <t xml:space="preserve"> - Aluminium U 3/8</t>
  </si>
  <si>
    <t xml:space="preserve"> Benangan Tali air aluminium</t>
  </si>
  <si>
    <t xml:space="preserve"> - Silent kaca</t>
  </si>
  <si>
    <t xml:space="preserve"> - Aluminium U 5/8</t>
  </si>
  <si>
    <t xml:space="preserve"> Benangan Tali air aluminium Kaca</t>
  </si>
  <si>
    <t xml:space="preserve"> - Roll</t>
  </si>
  <si>
    <t xml:space="preserve"> - Plamur</t>
  </si>
  <si>
    <t xml:space="preserve"> - Undercoat / Alkali</t>
  </si>
  <si>
    <t xml:space="preserve"> - Kertas gosok</t>
  </si>
  <si>
    <t xml:space="preserve"> Cat Interior </t>
  </si>
  <si>
    <t xml:space="preserve"> Cat  Plafond</t>
  </si>
  <si>
    <t xml:space="preserve"> - Cat Weathercoat</t>
  </si>
  <si>
    <t xml:space="preserve"> - Plamur Alkaplast</t>
  </si>
  <si>
    <t xml:space="preserve"> - Undercoat </t>
  </si>
  <si>
    <t xml:space="preserve"> Cat Exterior </t>
  </si>
  <si>
    <t xml:space="preserve"> - Waterproofing</t>
  </si>
  <si>
    <t xml:space="preserve"> Waterproofing Sika Top 107</t>
  </si>
  <si>
    <t xml:space="preserve"> - Semen MU 402</t>
  </si>
  <si>
    <t xml:space="preserve"> Spesi dinding batu </t>
  </si>
  <si>
    <t xml:space="preserve"> - Semen warna</t>
  </si>
  <si>
    <t xml:space="preserve"> - Semen MU 422</t>
  </si>
  <si>
    <t xml:space="preserve"> Upah + spesi keramik dinding </t>
  </si>
  <si>
    <t xml:space="preserve"> - Gypsumd MR</t>
  </si>
  <si>
    <t xml:space="preserve"> - Rangka Metal Furing</t>
  </si>
  <si>
    <t xml:space="preserve"> Plafond Metal Furing + Gypsumd  MR</t>
  </si>
  <si>
    <t xml:space="preserve"> - Gypsum 9 mm</t>
  </si>
  <si>
    <t xml:space="preserve"> Plafond Metal Furing + Gypsum 9mm</t>
  </si>
  <si>
    <t xml:space="preserve"> Upah + spesi keramik lantai </t>
  </si>
  <si>
    <t xml:space="preserve"> - Alat kerja</t>
  </si>
  <si>
    <t xml:space="preserve"> - Mortar  MU 202</t>
  </si>
  <si>
    <t xml:space="preserve"> Acian  beton</t>
  </si>
  <si>
    <t xml:space="preserve"> - Mortar  MU 250</t>
  </si>
  <si>
    <t xml:space="preserve"> Acian  Plesteran</t>
  </si>
  <si>
    <t xml:space="preserve"> Benangan</t>
  </si>
  <si>
    <t xml:space="preserve"> - Mortar  MU 302</t>
  </si>
  <si>
    <t xml:space="preserve"> Plesteran  </t>
  </si>
  <si>
    <t xml:space="preserve"> - Acian </t>
  </si>
  <si>
    <t xml:space="preserve"> Plesteran 1 : 5</t>
  </si>
  <si>
    <t xml:space="preserve"> - MU 382   t=3mm</t>
  </si>
  <si>
    <t xml:space="preserve"> Pasangan bata ringan   t=12.5cm</t>
  </si>
  <si>
    <t xml:space="preserve"> - Plastik 0.5</t>
  </si>
  <si>
    <t xml:space="preserve"> Plastik di bawah Pondasi</t>
  </si>
  <si>
    <t xml:space="preserve"> - Pemadatan ( siram air )</t>
  </si>
  <si>
    <t xml:space="preserve"> - Sirtu </t>
  </si>
  <si>
    <t xml:space="preserve"> Urug sirtu bangunan </t>
  </si>
  <si>
    <t xml:space="preserve"> - Kawat bendrat</t>
  </si>
  <si>
    <t xml:space="preserve"> - Besi beton</t>
  </si>
  <si>
    <t xml:space="preserve"> Besi Beton Polos =6mm</t>
  </si>
  <si>
    <t xml:space="preserve"> Besi Beton Polos &gt;6mm</t>
  </si>
  <si>
    <t xml:space="preserve"> - Paku </t>
  </si>
  <si>
    <t xml:space="preserve"> Bekisting Plat Beton </t>
  </si>
  <si>
    <t xml:space="preserve"> Bekisting Balok / Kolom Struktur</t>
  </si>
  <si>
    <t xml:space="preserve"> Beton Rabat 1 : 3 : 5</t>
  </si>
  <si>
    <t xml:space="preserve"> - CP</t>
  </si>
  <si>
    <t xml:space="preserve"> - Beton Ready Mix </t>
  </si>
  <si>
    <t xml:space="preserve"> Beton K 225 Ready Mix (dengan CP)</t>
  </si>
  <si>
    <t xml:space="preserve"> Beton K 225 Ready Mix (tanpa CP)</t>
  </si>
  <si>
    <t xml:space="preserve"> - Beton Ready Mix B0 </t>
  </si>
  <si>
    <t xml:space="preserve"> Beton  B0</t>
  </si>
  <si>
    <t xml:space="preserve"> - Stenslag 1/2</t>
  </si>
  <si>
    <t xml:space="preserve"> Beton K 225 ( 1 : 2 : 3 ) Site Mix</t>
  </si>
  <si>
    <t xml:space="preserve"> - Paku</t>
  </si>
  <si>
    <t xml:space="preserve"> - Usuk = 50 %</t>
  </si>
  <si>
    <t xml:space="preserve"> - Papan = 50%</t>
  </si>
  <si>
    <t xml:space="preserve"> Bouwplank &amp; Uitzet</t>
  </si>
  <si>
    <t>1</t>
  </si>
  <si>
    <t>(Rp.)</t>
  </si>
  <si>
    <t>Jumlah harga</t>
  </si>
  <si>
    <t>Harga Sat.</t>
  </si>
  <si>
    <t>URAIAN      PEKERJAAN</t>
  </si>
  <si>
    <t xml:space="preserve">No. </t>
  </si>
  <si>
    <t>ANALISA HARGA SATUAN</t>
  </si>
  <si>
    <t>ANALISA  KUSEN</t>
  </si>
  <si>
    <t>no</t>
  </si>
  <si>
    <t>uraian - Pekerjaan</t>
  </si>
  <si>
    <t>vol</t>
  </si>
  <si>
    <t>Harga Sat</t>
  </si>
  <si>
    <t>psg</t>
  </si>
  <si>
    <t>set</t>
  </si>
  <si>
    <t>- Upah pasang kusen + pintu</t>
  </si>
  <si>
    <t>Jumlah</t>
  </si>
  <si>
    <t>Door stopper DKS DS 002 SS</t>
  </si>
  <si>
    <t xml:space="preserve"> - Plastik cor</t>
  </si>
  <si>
    <t>ANALISA BETON</t>
  </si>
  <si>
    <t>Cor beton Ready Mix</t>
  </si>
  <si>
    <t>Besi D13</t>
  </si>
  <si>
    <t>Besi Ø8</t>
  </si>
  <si>
    <t>Bekisting</t>
  </si>
  <si>
    <t>Besi D10</t>
  </si>
  <si>
    <t xml:space="preserve">Bekisting </t>
  </si>
  <si>
    <t xml:space="preserve">Cor beton </t>
  </si>
  <si>
    <t>Besi Ø6</t>
  </si>
  <si>
    <t>Tangga utama</t>
  </si>
  <si>
    <r>
      <t>m</t>
    </r>
    <r>
      <rPr>
        <i/>
        <sz val="10"/>
        <rFont val="Calibri"/>
        <family val="2"/>
      </rPr>
      <t>²</t>
    </r>
  </si>
  <si>
    <t xml:space="preserve">Pekj Kolom praktis beton lt-2 </t>
  </si>
  <si>
    <t>100.04.08.02</t>
  </si>
  <si>
    <t>Satuan</t>
  </si>
  <si>
    <t>100.01.05</t>
  </si>
  <si>
    <t>Pekj +/- item lain-lain - Persiapan</t>
  </si>
  <si>
    <t>A. PEKERJAAN PERSIAPAN</t>
  </si>
  <si>
    <t>1. Pembersihan</t>
  </si>
  <si>
    <t>2. Direksi keet + gudang</t>
  </si>
  <si>
    <t>3. Bouwplank + uitset</t>
  </si>
  <si>
    <t>4. Air Kerja</t>
  </si>
  <si>
    <t>5. Listrik Kerja</t>
  </si>
  <si>
    <t>100.02.07</t>
  </si>
  <si>
    <t>Pekj +/- item lain-lain - Pekerjaan Galian</t>
  </si>
  <si>
    <t>B. PEKERJAAN TANAH &amp; GALIAN</t>
  </si>
  <si>
    <t>1. Perbaikan tanah + pipa 4" type C + kerikil (tiap ruangan)</t>
  </si>
  <si>
    <t>4. Galian tanah poer + sloof</t>
  </si>
  <si>
    <t>5. Buang tanah bekas galian pondasi</t>
  </si>
  <si>
    <t>6. Urugan tanah kembali</t>
  </si>
  <si>
    <t>8. Potong ujung Tiang Pancang dengan circle</t>
  </si>
  <si>
    <t>100.03.12</t>
  </si>
  <si>
    <t xml:space="preserve">Pekj +/- item lain-lain - Pekerjaan Pondasi / poer </t>
  </si>
  <si>
    <t>C. PEKERJAAN PONDASI</t>
  </si>
  <si>
    <t>D. PEKERJAAN STRUKTUR</t>
  </si>
  <si>
    <t>STRUKTUR KOLOM LANTAI 1</t>
  </si>
  <si>
    <t>STRUKTUR KOLOM LANTAI 2</t>
  </si>
  <si>
    <t>F. PEKERJAAN PLAT LANTAI</t>
  </si>
  <si>
    <t>100.04.16</t>
  </si>
  <si>
    <t>Pekj +/- item lain-lain - Pekerjaan Struktur</t>
  </si>
  <si>
    <t>G. PEKERJAAN LAIN-LAIN BETON</t>
  </si>
  <si>
    <t>buah</t>
  </si>
  <si>
    <t>H. PEKERJAAN LANTAI 1</t>
  </si>
  <si>
    <t>100.05.02</t>
  </si>
  <si>
    <t>Lantai R Tidur utama kramik/HT</t>
  </si>
  <si>
    <t>I. PEKERJAAN LANTAI 2</t>
  </si>
  <si>
    <t>K. PEKERJAAN PLAFOND LT.1</t>
  </si>
  <si>
    <t>1. Rangka Plafon Hollow 4x4 (induk), 2x4 (pembagi) + gypsum 9 mm board</t>
  </si>
  <si>
    <t>3. Tali air tepi plafond aluminium L (1x1 cm)</t>
  </si>
  <si>
    <t>L. PEKERJAAN PLAFOND LT.2</t>
  </si>
  <si>
    <t>M. PEKERJAAN DINDING LT.1</t>
  </si>
  <si>
    <t>1. Pasangan dinding bata ringan 12,5 cm + perekat MU 382</t>
  </si>
  <si>
    <t>2. Plesteran dinding MU 302</t>
  </si>
  <si>
    <t>3. Acian dinding MU 250</t>
  </si>
  <si>
    <t>4. Benangan sudut dinding, pintu, jendela</t>
  </si>
  <si>
    <t>N. PEKERJAAN DINDING LT.2</t>
  </si>
  <si>
    <t>100.08.08</t>
  </si>
  <si>
    <t>Pekj +/- item lain-lain - Pekj Pasangan Dinding dan Plesteran/Aci</t>
  </si>
  <si>
    <t>1. Benangan pelat level dan canopy</t>
  </si>
  <si>
    <t>2. Waterproofing: sisi atas pelat leufel / Canopy ex. Sika Top 107</t>
  </si>
  <si>
    <t>3. Tali air aluminium (sisi bwh plat level dan canopy)</t>
  </si>
  <si>
    <t>4. Acian expose MU-200 (sisi bwh plat level dan canopy)</t>
  </si>
  <si>
    <t>P. PEKERJAAN ATAP</t>
  </si>
  <si>
    <t>3. Genteng nok Exel Ridge (memanjang) V ex. Monier</t>
  </si>
  <si>
    <t>4. Genteng nok Exel Starter (ujung) ex. Monier</t>
  </si>
  <si>
    <t>100.10.03.01</t>
  </si>
  <si>
    <t>Pekj daun pintu termsk asesories ( engsel dll) Lt-1</t>
  </si>
  <si>
    <t>S. PEKERJAAN CAT LT.1</t>
  </si>
  <si>
    <t>100.11.01.02</t>
  </si>
  <si>
    <t>Pekj finishing cat dinding exterior Lt 2</t>
  </si>
  <si>
    <t>T. PEKERJAAN CAT LT.2</t>
  </si>
  <si>
    <t>100.11.07</t>
  </si>
  <si>
    <t>Pekj +/- item lain-lain - Pekj Pengecatan</t>
  </si>
  <si>
    <t>1. Cat Lisplank</t>
  </si>
  <si>
    <t>2. Cat Beton expose</t>
  </si>
  <si>
    <t>3. Cat Hand railing</t>
  </si>
  <si>
    <t>KM/WC KELUARGA Lt. 1 &amp; 2</t>
  </si>
  <si>
    <t>3. Wastafel LW 642 CJ</t>
  </si>
  <si>
    <t>4. Kran Wastafel TX109LD</t>
  </si>
  <si>
    <t>5. Jetspray THX20NB</t>
  </si>
  <si>
    <t>7. Tempat sabun coakan dinding</t>
  </si>
  <si>
    <t>2. Jetspray THX20NB</t>
  </si>
  <si>
    <t>KM/WC PEMBANTU</t>
  </si>
  <si>
    <t>2. Kran TL 030 ex. Wasser</t>
  </si>
  <si>
    <t>3. Avour TX1DBV1</t>
  </si>
  <si>
    <t>4. Tempat sabun coakan dinding</t>
  </si>
  <si>
    <t>Sanitair Kran Taman</t>
  </si>
  <si>
    <t>W. PEKERJAAN SANITARY TAMAN</t>
  </si>
  <si>
    <t>1. Kran type TL 030 ex. Wasser</t>
  </si>
  <si>
    <t>X. PEKERJAAN SANITARY DAPUR</t>
  </si>
  <si>
    <t>3. Grease Trap 40x30x25 ex. Pancawira</t>
  </si>
  <si>
    <t>Y. PEKERJAAN PIPA AIR BERSIH</t>
  </si>
  <si>
    <t>1. Primer :Pipa PEX PN 12.5 (T.20) Type COLD</t>
  </si>
  <si>
    <t>2. Sekunder: Pipa PEX PN 12.5 (T.16) Type COLD</t>
  </si>
  <si>
    <t>Z. PEKERJAAN PIPA AIR KOTOR</t>
  </si>
  <si>
    <t>1. Pipa Hawa D Ø1.1/4 in ex. WAVIN</t>
  </si>
  <si>
    <t>2. Pipa D Ø2 in ex. WAVIN</t>
  </si>
  <si>
    <t>3. Pipa D Ø2.5 in ex. WAVIN</t>
  </si>
  <si>
    <t>4. Pipa D Ø3 in ex. WAVIN</t>
  </si>
  <si>
    <t>5. Pipa D Ø4 in ex. WAVIN</t>
  </si>
  <si>
    <t>6. Septictank 1000 lt ex. Pancawira</t>
  </si>
  <si>
    <t>7. Bak kontrol beton + tutup</t>
  </si>
  <si>
    <t>8. Bak kontrol Fiberglass</t>
  </si>
  <si>
    <t>9. Avour Roofdrain</t>
  </si>
  <si>
    <t>Pekj +/- item lain-lain - Pekj Sanitasi</t>
  </si>
  <si>
    <t>AA. PEKERJAAN LAIN-LAIN SANITARY</t>
  </si>
  <si>
    <t>AB. PEKERJAAN INSTALASI LISTRIK</t>
  </si>
  <si>
    <t>1. Instalasi Titik Lampu DL</t>
  </si>
  <si>
    <t>2. Instalasi Titik Lampu TB</t>
  </si>
  <si>
    <t>4. Instalasi stop kontak</t>
  </si>
  <si>
    <t>100.13.10</t>
  </si>
  <si>
    <t>Pekj +/- item lain-lain - Pekj Instalasi Listrik</t>
  </si>
  <si>
    <t>AC. PEKERJAAN ASSESORIES LISTRIK</t>
  </si>
  <si>
    <t>1. Downlight ex. Philips</t>
  </si>
  <si>
    <t>2. Downlight tabung ex. Philip</t>
  </si>
  <si>
    <t>3. Fitting ex. Broco</t>
  </si>
  <si>
    <t>4 Bola Lampu Led 4 Watt Phillips</t>
  </si>
  <si>
    <t>5. Box Panel MCB</t>
  </si>
  <si>
    <t>6. Grounding Arde BC 6mm2 (max 3 Ohm)</t>
  </si>
  <si>
    <t>13. MCB 16A 1 P</t>
  </si>
  <si>
    <t>AD. PEKERJAAN LAIN-LAIN</t>
  </si>
  <si>
    <t>1. Box meter listrik + air</t>
  </si>
  <si>
    <t>2. Badukan tempat sampah</t>
  </si>
  <si>
    <t>TOTAL 1</t>
  </si>
  <si>
    <t>Pile Cap  PC-2 (100x50x50)</t>
  </si>
  <si>
    <t>Kolom Kp (13x13)</t>
  </si>
  <si>
    <t xml:space="preserve">Plat dak leufel  t=10 cm </t>
  </si>
  <si>
    <t>Beton Balok Bordes (15x30)</t>
  </si>
  <si>
    <t>Meja dapur</t>
  </si>
  <si>
    <t>Beton plat carport  t=10cm</t>
  </si>
  <si>
    <t>- Kusen  Kayu  ENGINEERING DOOR   dan</t>
  </si>
  <si>
    <t>- Daun pintu kayu solid ENGINEERING DOOR ( include )</t>
  </si>
  <si>
    <t xml:space="preserve"> Smart door lock   by Citraland</t>
  </si>
  <si>
    <t xml:space="preserve"> - Bor</t>
  </si>
  <si>
    <t>m'</t>
  </si>
  <si>
    <t xml:space="preserve"> - PVC Ø 4 " C</t>
  </si>
  <si>
    <t xml:space="preserve"> - Keramik 20/20</t>
  </si>
  <si>
    <t xml:space="preserve"> - Pipa Ø 3/4 " </t>
  </si>
  <si>
    <t xml:space="preserve"> Strauss perbaikan tanah</t>
  </si>
  <si>
    <t>ttk</t>
  </si>
  <si>
    <t xml:space="preserve"> - Aluminium L 1x3 cm</t>
  </si>
  <si>
    <t xml:space="preserve"> Genteng beton type perspektif black ex Monier</t>
  </si>
  <si>
    <t>1. Shower TX 492 SES</t>
  </si>
  <si>
    <t>4. Wastafel LW 646 J</t>
  </si>
  <si>
    <t xml:space="preserve"> - Semen MU 450</t>
  </si>
  <si>
    <t xml:space="preserve">- Daun pintu kayu solid ENGINEERING DOOR </t>
  </si>
  <si>
    <t xml:space="preserve"> Bekisting  Sloof/ Kolom Praktis</t>
  </si>
  <si>
    <t xml:space="preserve"> Plafond Metal Furing + GRC 4mm</t>
  </si>
  <si>
    <t xml:space="preserve"> - Calsiboard 4 mm</t>
  </si>
  <si>
    <t>Beton plat lantai  t=8cm</t>
  </si>
  <si>
    <t>2. Urug sirtu di bawah lantai bangunan T=30cm</t>
  </si>
  <si>
    <t>Wiremesh M-6</t>
  </si>
  <si>
    <t>LOKASI  : DEMPSEY HILL</t>
  </si>
  <si>
    <t>Pile Cap  PC-1 (50x50x40)</t>
  </si>
  <si>
    <t>Pile Cap  PC-1A MINIPILE (50x50x40)</t>
  </si>
  <si>
    <t>Pile Cap  PC-1B (60x50x40)</t>
  </si>
  <si>
    <t>Pile Cap  PC-2B (150x50x50)</t>
  </si>
  <si>
    <t>Sloof  S.30A (15x30)</t>
  </si>
  <si>
    <t>Sloof  S.30A1 (15x30)</t>
  </si>
  <si>
    <t>Sloof  S,40A (15x40)</t>
  </si>
  <si>
    <t>Sloof  S,40A-1 (15x40)</t>
  </si>
  <si>
    <t>Sloof  S,40A-2A (15x40)</t>
  </si>
  <si>
    <t>Sloof  S,40A-3 (15x40)</t>
  </si>
  <si>
    <t>Sloof  S,40A-4 (15x40)</t>
  </si>
  <si>
    <t>Kolom K15  (13x13)</t>
  </si>
  <si>
    <t>Kolom K20  (13x20)</t>
  </si>
  <si>
    <t>Kolom K30  (13x30)</t>
  </si>
  <si>
    <t>Kolom K40  (13x40)</t>
  </si>
  <si>
    <t>Kolom K50  (13x50)</t>
  </si>
  <si>
    <t>Kolom K60  (13x60)</t>
  </si>
  <si>
    <t>Kolom K90A  (15x90)</t>
  </si>
  <si>
    <t>Kolom K90  (13x90)</t>
  </si>
  <si>
    <t>Kolom K80  (13x80)</t>
  </si>
  <si>
    <t>Kolom K70  (13x70)</t>
  </si>
  <si>
    <t>Kolom KL34  (13x28X38)</t>
  </si>
  <si>
    <t>Kolom KL47  (13x38X68)</t>
  </si>
  <si>
    <t xml:space="preserve">Plat dak lantai ( S1 ) t=10 cm </t>
  </si>
  <si>
    <t xml:space="preserve">Plat dak lantai ( S2 ) t=12 cm </t>
  </si>
  <si>
    <t xml:space="preserve">Plat dak lantai ( S3 ) t=15 cm </t>
  </si>
  <si>
    <t>Beton  Balok B15  (13x15)</t>
  </si>
  <si>
    <t>Beton  Balok B20  (13x20)</t>
  </si>
  <si>
    <t>Beton  Balok B20-1D  (13x20)</t>
  </si>
  <si>
    <t>Beton  Balok B25  (13x20)</t>
  </si>
  <si>
    <t>Beton  Balok B25-1  (13x20)</t>
  </si>
  <si>
    <t>Beton  Balok B30  (13x30)</t>
  </si>
  <si>
    <t>Beton  Balok B30-1  (13x30)</t>
  </si>
  <si>
    <t>Beton  Balok B30-1E  (13x30)</t>
  </si>
  <si>
    <t>Beton  Balok B40  (13x40)</t>
  </si>
  <si>
    <t>Beton  Balok B40-1  (13x40)</t>
  </si>
  <si>
    <t>Beton  Balok B40-1A  (13x40)</t>
  </si>
  <si>
    <t>Beton  Balok B40-1E  (13x40)</t>
  </si>
  <si>
    <t>Beton  Balok B40-1D  (13x40)</t>
  </si>
  <si>
    <t>Beton  Balok B40-2  (13x40)</t>
  </si>
  <si>
    <t>Beton  Balok B40-4  (13x40)</t>
  </si>
  <si>
    <t>Beton  Balok B40-4A  (13x40)</t>
  </si>
  <si>
    <t>Beton  Balok B40-7D  (13x40)</t>
  </si>
  <si>
    <t>Beton  Balok B40-9A  (13x40)</t>
  </si>
  <si>
    <t>Beton  Balok B50-1  (13x50)</t>
  </si>
  <si>
    <t>Beton  Balok B50-5A  (13x50)</t>
  </si>
  <si>
    <t>Beton  Balok B50-5B  (13x50)</t>
  </si>
  <si>
    <t>Beton  Balok B50-7D  (13x50)</t>
  </si>
  <si>
    <t>Beton  Balok B50-11D  (13x50)</t>
  </si>
  <si>
    <t>Beton  Balok B50B-1  (20x50)</t>
  </si>
  <si>
    <t>Beton  Balok B50B-2  (20x50)</t>
  </si>
  <si>
    <t>Beton  Balok BB  (13x35)</t>
  </si>
  <si>
    <t>Kolom KF (10x10)</t>
  </si>
  <si>
    <t>Beton Ring Balok BR (13x15)</t>
  </si>
  <si>
    <t>Beton Ring Balok BL (13x30)</t>
  </si>
  <si>
    <t>Beton Ring Balok Latei (13x15)</t>
  </si>
  <si>
    <t>PROYEK : RUMAH  TIPE  MAPLE</t>
  </si>
  <si>
    <t>Pintu type WD05</t>
  </si>
  <si>
    <t>Pintu type WD01</t>
  </si>
  <si>
    <t>Pintu type WD06</t>
  </si>
  <si>
    <t>Pintu type WD02</t>
  </si>
  <si>
    <t>Pintu type WD03</t>
  </si>
  <si>
    <t>Pintu type WD04</t>
  </si>
  <si>
    <t>Pintu type WD07</t>
  </si>
  <si>
    <t xml:space="preserve"> 1 bh X Door stopper DKS DS 009 SSS (injak)</t>
  </si>
  <si>
    <t>Lockcase DKS IL DL 8485 Matt Black</t>
  </si>
  <si>
    <t>Cylinder DKS DC DL 60mm Matt Black</t>
  </si>
  <si>
    <t>Engsel Pivot DKS PV 002SS</t>
  </si>
  <si>
    <t>Handle DKS LHTR 0822 SQ Matt Black</t>
  </si>
  <si>
    <t>Lockcase DKS IL DL8485 Matt Black</t>
  </si>
  <si>
    <t xml:space="preserve"> Engsel  Pivot DKS PV 002 SS</t>
  </si>
  <si>
    <t>Cylinder Knob DKS TC DL 60mm Matt Black</t>
  </si>
  <si>
    <t>Engsel DKS DIx 4x3x3 2BB Matt Black</t>
  </si>
  <si>
    <t>Pintu type WD08</t>
  </si>
  <si>
    <t>Pintu type WD09</t>
  </si>
  <si>
    <t>Rel Sliding DKS D4 2M</t>
  </si>
  <si>
    <t>Handle Sliding DKS PP 012 Matt Black</t>
  </si>
  <si>
    <t>Lockcase DKS SLD DL 85100 Matt Balack</t>
  </si>
  <si>
    <t>Escutcheon DKS Escn 855 Matt Black</t>
  </si>
  <si>
    <t>3. Beton Pondasi Poer PC-1B 60x50x40</t>
  </si>
  <si>
    <t xml:space="preserve">Plat dak lantai ( KANOPI ) t=10 cm </t>
  </si>
  <si>
    <t>Item lain-lain :</t>
  </si>
  <si>
    <t>1……………………………………………………</t>
  </si>
  <si>
    <t>2……………………………………………………</t>
  </si>
  <si>
    <t>3. Urug sirtu carport + pemadatan T=40cm</t>
  </si>
  <si>
    <t>7. Plastik bawah cor lantai</t>
  </si>
  <si>
    <t>4. Beton Pondasi Poer PC-2 100x50x50</t>
  </si>
  <si>
    <t>5. Beton Pondasi Poer PC-2B 150x50x50</t>
  </si>
  <si>
    <t>6. Beton Sloof S30A 15/30</t>
  </si>
  <si>
    <t>7. Beton Sloof S30A-1 15/30</t>
  </si>
  <si>
    <t>8. Beton Sloof S40A 15/40</t>
  </si>
  <si>
    <t>9. Beton Sloof S40A-1 15/40</t>
  </si>
  <si>
    <t>10. Beton Sloof S40A-4 15/40</t>
  </si>
  <si>
    <t>11. Beton Lantai kerja t= 5 cm (bawah sloof &amp; poer)</t>
  </si>
  <si>
    <t>1. Beton rabatan lantai induk t= 8 cm + wiremesh M6</t>
  </si>
  <si>
    <t>2. Beton rabatan lantai carport t= 10 cm + wiremesh M6</t>
  </si>
  <si>
    <t>4. Beton Kolom Struktur K.20 13/20</t>
  </si>
  <si>
    <t>5. Beton Kolom Struktur K.40 13/40</t>
  </si>
  <si>
    <t>6. Beton Kolom Struktur K.50 13/50</t>
  </si>
  <si>
    <t>7. Beton Kolom Struktur K.60 13/60</t>
  </si>
  <si>
    <t>8. Beton Kolom Struktur K.70 13/70</t>
  </si>
  <si>
    <t>9. Beton Kolom Struktur K.80 13/80</t>
  </si>
  <si>
    <t>10. Beton Kolom Struktur K.90 13/90</t>
  </si>
  <si>
    <t>11. Beton Kolom Struktur K.90A 13/90</t>
  </si>
  <si>
    <t>12. Beton Kolom Struktur KL.34 13/28/38</t>
  </si>
  <si>
    <t>13. Beton Kolom Struktur KL.47 13/38/68</t>
  </si>
  <si>
    <t>2. Beton Kolom Struktur K.20 13/20</t>
  </si>
  <si>
    <t>3. Beton Kolom Struktur K.30 13/30</t>
  </si>
  <si>
    <t>4. Beton Kolom Struktur K.40 13/40</t>
  </si>
  <si>
    <t>5. Beton Balok Struktur B.30 13/30</t>
  </si>
  <si>
    <t>6. Beton Balok Struktur B.30-1 13/30</t>
  </si>
  <si>
    <t>7. Beton Balok Struktur B.40-1 13/40</t>
  </si>
  <si>
    <t>8. Beton Balok Sturktur B.40-1E 13/40</t>
  </si>
  <si>
    <t>9. Beton Balok Sturktur B.40-4 13/40</t>
  </si>
  <si>
    <t>10. Beton Balok Struktur B.40-4A 13/40</t>
  </si>
  <si>
    <t>11. Beton Balok Struktur B.40-5A 13/40</t>
  </si>
  <si>
    <t>12. Beton Balok Struktur B.40-9A 13/40</t>
  </si>
  <si>
    <t>13. Beton Balok Struktur B.50-1 13/50</t>
  </si>
  <si>
    <t>14. Beton Balok Struktur B.50-5A 13/50</t>
  </si>
  <si>
    <t>15. Beton Balok Struktur B.50-5B 13/50</t>
  </si>
  <si>
    <t>16. Beton Balok Struktur B.50B-1 20/50</t>
  </si>
  <si>
    <t>17. Beton Balok Struktur B.50B-2 20/50</t>
  </si>
  <si>
    <t>18. Beton Balok Struktur B.50-7D 13/50</t>
  </si>
  <si>
    <t>19. Beton Balok Struktur B.50-11D 13/50</t>
  </si>
  <si>
    <t>E. PEKERJAAN BALOK LANTAI 3</t>
  </si>
  <si>
    <t>4. Beton Balok Struktur B.30 13/30</t>
  </si>
  <si>
    <t>5. Beton Balok Struktur B.30-1 13/30</t>
  </si>
  <si>
    <t>6. Beton Balok Struktur B.40 13/40</t>
  </si>
  <si>
    <t>8. Beton Balok Sturktur B.40-1A 13/40</t>
  </si>
  <si>
    <t>9. Beton Balok Sturktur B.40-1E 13/40</t>
  </si>
  <si>
    <t>10. Beton Balok Sturktur B.40-4 13/40</t>
  </si>
  <si>
    <t>11. Beton Balok Struktur B.40-7A 13/40</t>
  </si>
  <si>
    <t>12. Beton Balok Struktur B.50-5A 13/50</t>
  </si>
  <si>
    <t>PEKERJAAN BALOK ATAP</t>
  </si>
  <si>
    <t>1. Beton Balok Struktur B.30 13/30</t>
  </si>
  <si>
    <t>2. Beton Balok RB13/13</t>
  </si>
  <si>
    <t>3. Beton Balok B12/12 untuk kanopi tampak depan elv.9,10</t>
  </si>
  <si>
    <t>4. Beton Kolom K12/12 untuk kanopi tampak depan elv.9,10</t>
  </si>
  <si>
    <t>5. Beton plat untuk kanopi tampak depan elv.9,10</t>
  </si>
  <si>
    <t>1. Plat type S2 t=12cm (lantai 2)</t>
  </si>
  <si>
    <t>2. Plat type S1 t=10cm (Lantai 3)</t>
  </si>
  <si>
    <t>3. Plat type S2 t=12cm (Lantai 3)</t>
  </si>
  <si>
    <t>4. Beton talang atap genteng elv.7,60</t>
  </si>
  <si>
    <t>5. Plat type S1 t=10cm (Lantai Atap elv.10,30)</t>
  </si>
  <si>
    <t>6. Beton talang atap genteng elv. 10,30</t>
  </si>
  <si>
    <t>7. Lisplank</t>
  </si>
  <si>
    <t>1. Beton Tangga LT 1-2</t>
  </si>
  <si>
    <t>2. Beton Tangga LT 2-3</t>
  </si>
  <si>
    <t>3. Beton Pelat meja beton (dapur)</t>
  </si>
  <si>
    <t>4. Beton meja wastafel</t>
  </si>
  <si>
    <t>5. Balok Latei 13/15</t>
  </si>
  <si>
    <t>6. Beton Balok Bordes 15/30</t>
  </si>
  <si>
    <t>7. Ban-banan tampak depan elv. 6,55 20x20cm</t>
  </si>
  <si>
    <t>1. Carport keramik G-Stone black uk 30x30 ex Valentino</t>
  </si>
  <si>
    <t xml:space="preserve">2. Lantai Teras samping depan Wood Castano uk.20x120 ex. Titanium </t>
  </si>
  <si>
    <t xml:space="preserve">3. Lantai Foyer Wood Castano uk.20x120 ex. Titanium </t>
  </si>
  <si>
    <t>7. Lantai &amp; Plint Tangga FMB0027PM uk. 60x120 ex. Venus</t>
  </si>
  <si>
    <t>8. Lis aluminium U 1x2 cm Tangga</t>
  </si>
  <si>
    <t>9. Wet Kitchen, dry area, maid bedroom keramik 40x40 dApulia Pearl ex. Roman</t>
  </si>
  <si>
    <t>10. Meja Kitchen keramik Agata Light Grey Polished uk. 60x60 ex. Valentino</t>
  </si>
  <si>
    <t>11. Dinding Kitchen keramik  Agata Light Grey Polished uk. 60x60 ex. Valentino</t>
  </si>
  <si>
    <t>12. Lantai Bathroom Lt 1 granite tile Tordera Grey uk.60x60 ex. Valentino (area kering)</t>
  </si>
  <si>
    <t>13. Lantai Bathroom Lt 1 granite tile 6PG006V uk.60x60 ex. Venus (area shower)</t>
  </si>
  <si>
    <t>14. Dinding Bathroom Lt 1 granite tile 6PG006V uk.60x60 ex. Venus</t>
  </si>
  <si>
    <t>15. Lantai KM Pembantu Cargo grey 30x30 ex. Asia Tile</t>
  </si>
  <si>
    <t>16. Dinding KM Pembantu Zigma grey 30x30</t>
  </si>
  <si>
    <t>17. Meja washtafel Keramik FMB0027PM uk. 60x120 ex. Venus</t>
  </si>
  <si>
    <t>18. Plint Lantai Lis aluminium 1x3 cm area servis</t>
  </si>
  <si>
    <t>19. Plint Lantai Granite utama 10x80 + lis U</t>
  </si>
  <si>
    <t>20. Tekstur Roll Dinding pagar belakang + list U 10 mm</t>
  </si>
  <si>
    <t>21. Screed diatas waterproof plat leufel &amp; kanopi t= 2 cm</t>
  </si>
  <si>
    <t>22. Rooster 20x20</t>
  </si>
  <si>
    <t xml:space="preserve">23. Finish Bench depan Castano uk.20x120 ex. Titanium </t>
  </si>
  <si>
    <t>24. Phomi area carport fasad lt 1 Slate 038 uk. 120x60 ex. Phomie</t>
  </si>
  <si>
    <t>25. Dinding tampak Depan lt 1 (dry area) Conwood Beyond C Lock G1 ex. Conwood</t>
  </si>
  <si>
    <t>26. Lantai Belakang  Wood Castano uk.20x120 ex. Titanium (area pooldeck kolam)</t>
  </si>
  <si>
    <t>3. Lantai Bathroom 2 Lt.2 granite tile Tordera Grey uk.60x60 ex. Valentino (area kering)</t>
  </si>
  <si>
    <t>4. Lantai Bathroom 2 Lt.2 granite tile 6PG006V uk.60x60 ex. Venus (area shower)</t>
  </si>
  <si>
    <t>5. Dinding Bathroom 2 Lt.2 granite tile 6PG006V uk.60x60 ex. Venus</t>
  </si>
  <si>
    <r>
      <t>6. Lantai Master Bathroom Lt 2 granite tile Tordera Grey uk.60x60 ex. Valentino</t>
    </r>
    <r>
      <rPr>
        <b/>
        <sz val="10"/>
        <color theme="1"/>
        <rFont val="Calibri"/>
        <family val="2"/>
        <scheme val="minor"/>
      </rPr>
      <t xml:space="preserve"> (area kering)</t>
    </r>
  </si>
  <si>
    <r>
      <t xml:space="preserve">7. Lantai Master Bathroom  Lt.2 granite tile 6PG006V uk.60x60 ex. Venus </t>
    </r>
    <r>
      <rPr>
        <b/>
        <sz val="10"/>
        <color theme="1"/>
        <rFont val="Calibri"/>
        <family val="2"/>
        <scheme val="minor"/>
      </rPr>
      <t>(area shower)</t>
    </r>
  </si>
  <si>
    <t>8. Dinding Master Bathroom Lt 2 granite tile 6PG006V uk.60x60 ex. Venus</t>
  </si>
  <si>
    <t>9. Lantai &amp; Plint Tangga FMB0027PM uk. 60x120 ex. Venus</t>
  </si>
  <si>
    <t>10. Lis aluminium U 1x2 cm Tangga</t>
  </si>
  <si>
    <t>11. Lantai Balkon depan dan belakang lt.2 mozart dark grey uk 60x60 ex. Valentino</t>
  </si>
  <si>
    <t>12. Meja washtafel Keramik FMB0027PM uk. 60x120 ex. Venus</t>
  </si>
  <si>
    <t>13. Plint Lantai Granite utama 10x80 + lis U</t>
  </si>
  <si>
    <t>14. Dinding tampak Depan lt.2 Conwood Beyond C Lock G1 ex. Conwood (Sirip2an)</t>
  </si>
  <si>
    <t>15. Waterproofing Dinding tampak depan lt 1 dan 2</t>
  </si>
  <si>
    <t>16. Dinding Bathroom Lt 2 Penebalan area shower granite tile FMB0027PM uk. 60x120 ex. Venus</t>
  </si>
  <si>
    <t>15. Dinding Master Bathroom lt.2 Penebalan area shower + kloset granite tile FMB0027PM uk. 60x120 ex. Venus</t>
  </si>
  <si>
    <t>16. Dinding tampak depan finish tekstur kamprot/spray level Lt.3 ke atas</t>
  </si>
  <si>
    <t>J. PEKERJAAN LANTAI 3 (ROOF TOP)</t>
  </si>
  <si>
    <t>2. Rooftop deck Wood Castano uk.20x120 ex. Titanium</t>
  </si>
  <si>
    <t>3. Plint Lantai Granite utama 10x80 + lis U</t>
  </si>
  <si>
    <t>4. Screed diatas waterproof plat deck beton t= 2 cm</t>
  </si>
  <si>
    <t>2. Rangka Plafon Hollow 4x4 (induk), 2x4 (pembagi) + gypsumboard MR (KM dan eksterior)</t>
  </si>
  <si>
    <t>4. Mainhole</t>
  </si>
  <si>
    <t>L. PEKERJAAN PLAFOND LT.3</t>
  </si>
  <si>
    <t>4. Rangka Plafon Hollow 4x4 (induk), 2x4 (pembagi) + gypsum 9 mm board (tangga)</t>
  </si>
  <si>
    <t>5. Mainhole</t>
  </si>
  <si>
    <t>1. Pasangan dinding bata ringan 12.5 cm + perekat MU 382</t>
  </si>
  <si>
    <t>5. Waterproof lantai WC lt 2 + balkon</t>
  </si>
  <si>
    <t>100.08.02.04</t>
  </si>
  <si>
    <t>Pekj Pasangan Dinding Lt 3 1PC:5Ps</t>
  </si>
  <si>
    <t>O. PEKERJAAN DINDING LT.3</t>
  </si>
  <si>
    <t>P. PEKERJAAN LAIN-LAIN PASANGAN</t>
  </si>
  <si>
    <t>5. Tali air aluminium 1cm</t>
  </si>
  <si>
    <t>6. Tali air aluminium 2cm</t>
  </si>
  <si>
    <t>7. Acian expose tangga MU-200</t>
  </si>
  <si>
    <t>1. Rangka Atap Galvalum C75-0.75mm,R100-0.45mm</t>
  </si>
  <si>
    <r>
      <t>2. Genteng beton Type Flat- Presfektif 15</t>
    </r>
    <r>
      <rPr>
        <sz val="10"/>
        <color theme="1"/>
        <rFont val="Calibri"/>
        <family val="2"/>
      </rPr>
      <t>°</t>
    </r>
    <r>
      <rPr>
        <sz val="10"/>
        <color theme="1"/>
        <rFont val="Calibri"/>
        <family val="2"/>
        <scheme val="minor"/>
      </rPr>
      <t xml:space="preserve"> badan ex. Monier</t>
    </r>
  </si>
  <si>
    <t>5. Genteng nok Exel 3 way Apex (pertigaan) ex. Monier</t>
  </si>
  <si>
    <t>6. Listplank 400 x 30 x 1 ex. Elephant</t>
  </si>
  <si>
    <t>7. Nok sistem Dryfix</t>
  </si>
  <si>
    <t>8. Camel flash</t>
  </si>
  <si>
    <t>10. Atap skylight kaca tempered 10mm atas shower KM 2 (S2) (tanpa rangka besi)</t>
  </si>
  <si>
    <t>13. Atap skylight kaca tempered 10mm atas tangga (S5) (tanpa rangka besi)</t>
  </si>
  <si>
    <t>14. Atap kaca teras kaca tempered 10mm (uk. 0,25 x 2,1 m) (tanpa rangka besi)</t>
  </si>
  <si>
    <t>Q. PEKERJAAN PINTU DAN JENDELA INCLD ASESORIES</t>
  </si>
  <si>
    <t>1. AD-01</t>
  </si>
  <si>
    <t>2. AD-02</t>
  </si>
  <si>
    <t>3. AD-03</t>
  </si>
  <si>
    <t>4. AD-04</t>
  </si>
  <si>
    <t>5. AD-05</t>
  </si>
  <si>
    <t>6. AD-06</t>
  </si>
  <si>
    <t>7. AD-07</t>
  </si>
  <si>
    <t>8. AD-08</t>
  </si>
  <si>
    <t>9. AD-09</t>
  </si>
  <si>
    <t>10. AD-10</t>
  </si>
  <si>
    <t>11. AW-01</t>
  </si>
  <si>
    <t>12. AW-02</t>
  </si>
  <si>
    <t>13. AW-03</t>
  </si>
  <si>
    <t>14. AW-04</t>
  </si>
  <si>
    <t>15. AW-05</t>
  </si>
  <si>
    <t>16. AW-06</t>
  </si>
  <si>
    <t>17. AW-07</t>
  </si>
  <si>
    <t>18. AW-08</t>
  </si>
  <si>
    <t>19. AW-09</t>
  </si>
  <si>
    <t>20. GW-01</t>
  </si>
  <si>
    <t>21. GW-02</t>
  </si>
  <si>
    <t>22. GW-03</t>
  </si>
  <si>
    <t>R. PEKERJAAN PINTU INCLD ASESORIES</t>
  </si>
  <si>
    <t>- Lantai 1</t>
  </si>
  <si>
    <t>1. Pintu WD1</t>
  </si>
  <si>
    <t>2. Pintu WD2</t>
  </si>
  <si>
    <t>3. Pintu WD3</t>
  </si>
  <si>
    <t>4. Pintu WD4</t>
  </si>
  <si>
    <t>5. Pintu WD5</t>
  </si>
  <si>
    <t>6. Pintu WD6</t>
  </si>
  <si>
    <t>- Lantai 2</t>
  </si>
  <si>
    <t>1. Pintu WD7</t>
  </si>
  <si>
    <t>2. Pintu WD8</t>
  </si>
  <si>
    <t>3. Pintu WD9</t>
  </si>
  <si>
    <t>1. Cat dinding exterior Ex Jotun</t>
  </si>
  <si>
    <t>2. Cat Interior Ex Jotun</t>
  </si>
  <si>
    <t>3. Cat plafon dalam Ex Jotun</t>
  </si>
  <si>
    <t>4. Cat plafon luar Ex Jotun</t>
  </si>
  <si>
    <t>100.11.01.03</t>
  </si>
  <si>
    <t>Pekj finishing cat dinding exterior Lt 3</t>
  </si>
  <si>
    <t>U. PEKERJAAN CAT LT.3</t>
  </si>
  <si>
    <t>V. PEKERJAAN LAIN-LAIN CAT</t>
  </si>
  <si>
    <t>4. Cat ban-banan tampak depan elv 6,55</t>
  </si>
  <si>
    <t>5. Cat benangan lisplank R. multifungsi h=40cm</t>
  </si>
  <si>
    <t>W. PEKERJAAN SANITARY UTAMA</t>
  </si>
  <si>
    <t>1. Shower TX 432 SD</t>
  </si>
  <si>
    <t>2. Kloset CW 638J</t>
  </si>
  <si>
    <t>6. Avour AER HFS 01</t>
  </si>
  <si>
    <r>
      <t xml:space="preserve">8. Kaca Tempered 10mm Km mandi </t>
    </r>
    <r>
      <rPr>
        <b/>
        <sz val="10"/>
        <color theme="1"/>
        <rFont val="Calibri"/>
        <family val="2"/>
        <scheme val="minor"/>
      </rPr>
      <t>Lt 1</t>
    </r>
    <r>
      <rPr>
        <sz val="10"/>
        <color theme="1"/>
        <rFont val="Calibri"/>
        <family val="2"/>
        <scheme val="minor"/>
      </rPr>
      <t xml:space="preserve"> (tanpa pintu )</t>
    </r>
  </si>
  <si>
    <r>
      <t>9. Kaca Tempered 10mm Km mandi</t>
    </r>
    <r>
      <rPr>
        <b/>
        <sz val="10"/>
        <color theme="1"/>
        <rFont val="Calibri"/>
        <family val="2"/>
        <scheme val="minor"/>
      </rPr>
      <t xml:space="preserve"> Lt 2</t>
    </r>
    <r>
      <rPr>
        <sz val="10"/>
        <color theme="1"/>
        <rFont val="Calibri"/>
        <family val="2"/>
        <scheme val="minor"/>
      </rPr>
      <t xml:space="preserve"> (letter L + pintu)</t>
    </r>
  </si>
  <si>
    <t>KM/WC UTAMA Lt.2</t>
  </si>
  <si>
    <t>3. Kloset CW 823PJ</t>
  </si>
  <si>
    <t>5. Kran Wastafel TX115 LESN</t>
  </si>
  <si>
    <t>8. Kaca Tempered 10mm (dengan pintu)</t>
  </si>
  <si>
    <t>9. Bathub Tipe FB1500-70 ex. Toto</t>
  </si>
  <si>
    <t>10. Kran Bathub TX 118 LESBR</t>
  </si>
  <si>
    <t>11. Finishing Bathub  granite tile FMB0027PM uk. 60x120 ex. Venus + pasangan bata</t>
  </si>
  <si>
    <t>1. Kloset CE 06 ex.Toto</t>
  </si>
  <si>
    <t>100.12.02</t>
  </si>
  <si>
    <t>Sanitair bath tub</t>
  </si>
  <si>
    <t>BALKON</t>
  </si>
  <si>
    <t>1. Avour TX1DBV1</t>
  </si>
  <si>
    <t>1. Kitchen Zink Lady Victoria ex.Halmar</t>
  </si>
  <si>
    <t>2. Kran Kitchen Zink TX 603 MEB</t>
  </si>
  <si>
    <t>3. Pipa air panas Ø20 wespex Hot</t>
  </si>
  <si>
    <t>4. Pipa air panas Ø16 wespex Hot</t>
  </si>
  <si>
    <t>1. Ball Valve</t>
  </si>
  <si>
    <t>2. Pipa 1 1/2" (pembuangan wastafel)</t>
  </si>
  <si>
    <t>3. Tes air bersih (fungsi)</t>
  </si>
  <si>
    <t>4. Penyambungan Ke PDAM</t>
  </si>
  <si>
    <t>5. Manifol</t>
  </si>
  <si>
    <t>3. Instalasi Titik Lampu LED Strip</t>
  </si>
  <si>
    <t>5. Kabel NYY 4x4</t>
  </si>
  <si>
    <t>6. Kabel NYY 4x6</t>
  </si>
  <si>
    <t>7. Sparing pipa PVC PLN dari depan ke Box Kwh</t>
  </si>
  <si>
    <t>8. Pipa Drain (Pembuangan) Air AC</t>
  </si>
  <si>
    <t>9. Sparing pipa refrigrant AC</t>
  </si>
  <si>
    <t>10. Instalasi Power AC + Stop kontak</t>
  </si>
  <si>
    <t>11. Instalasi waterheater + stop kontak</t>
  </si>
  <si>
    <t>12. Instalasi data</t>
  </si>
  <si>
    <t>13. Sparing pipa &amp; pancingan u/ kabel data dari depan ke r keluarga lt.1</t>
  </si>
  <si>
    <t>14. Test nyala</t>
  </si>
  <si>
    <t>15. Tes Tekan</t>
  </si>
  <si>
    <t>16. Tes Grounding</t>
  </si>
  <si>
    <t>17. Tes gelontor</t>
  </si>
  <si>
    <t>18. Tes RENDAM</t>
  </si>
  <si>
    <t>19. Instalasi kabel TV</t>
  </si>
  <si>
    <t>20. Instalasi telpon</t>
  </si>
  <si>
    <t>7. Saklar Seri Schneider Avataron warna dark grey</t>
  </si>
  <si>
    <t>8. Saklar Tunggal Schneider Avataron warna dark grey</t>
  </si>
  <si>
    <t>9. Saklar Hotel Schneider Avataron warna dark grey</t>
  </si>
  <si>
    <t>10. Stop Kontak Schneider Avataron warna dark grey</t>
  </si>
  <si>
    <t>11. MCB 6A - 1 P</t>
  </si>
  <si>
    <t>12. MCB 10A - 1 P</t>
  </si>
  <si>
    <t>14. MCB 20A 1 P</t>
  </si>
  <si>
    <t>15. ELCB 25 A</t>
  </si>
  <si>
    <t>16. Socket TV Schneider Avataron warna dark grey</t>
  </si>
  <si>
    <t>17. Socket Data Schneider Avataron warna dark grey</t>
  </si>
  <si>
    <t>18. Socket telpon Schneider Avataron warna dark grey</t>
  </si>
  <si>
    <t>100.16.02</t>
  </si>
  <si>
    <t>Pekj +/- item lain-lain - Pekj Plester Aci dinding samping &amp; Waterproofing</t>
  </si>
  <si>
    <t>3. Hand Railing Conwood Tangga 1-2</t>
  </si>
  <si>
    <t>4. Railling besi tempel dinding tangga 1-2</t>
  </si>
  <si>
    <t>5. Hand Railing Conwood Tangga 2-3</t>
  </si>
  <si>
    <t>6. Railling besi tempel dinding tangga 2-3</t>
  </si>
  <si>
    <t>7. Kaca balkon tempered t=10mm (Ktidur 1 dan 2)</t>
  </si>
  <si>
    <t>8. Kaca balkon tempered t=10mm jumbo (Ktidur utama)</t>
  </si>
  <si>
    <t>9. Kaca balkon tempered t=10mm (Multifunction room )</t>
  </si>
  <si>
    <t>10. Kaca balkon tempered t=10mm (Rooftop 1)</t>
  </si>
  <si>
    <t>11. As Built Drawing</t>
  </si>
  <si>
    <t>14. Spare keramik utama FMB 3031 V 80x80 ex Venus</t>
  </si>
  <si>
    <t>Pack</t>
  </si>
  <si>
    <t>15. Spare keramik KM granite tile 6PG006V uk.60x60 ex. Venus</t>
  </si>
  <si>
    <t>JASA</t>
  </si>
  <si>
    <t>TOTAL</t>
  </si>
  <si>
    <t>Rekapitulasi</t>
  </si>
  <si>
    <t>Cluster Dempsey Hill</t>
  </si>
  <si>
    <t>NO</t>
  </si>
  <si>
    <t>URAIAN PEKERJAAN</t>
  </si>
  <si>
    <t>A</t>
  </si>
  <si>
    <t>PEKERJAAN PERSIAPAN</t>
  </si>
  <si>
    <t>B</t>
  </si>
  <si>
    <t>PEKERJAAN TANAH</t>
  </si>
  <si>
    <t>C</t>
  </si>
  <si>
    <t>PEKERJAAN PONDASI</t>
  </si>
  <si>
    <t>D</t>
  </si>
  <si>
    <t xml:space="preserve">PEKERJAAN STRUKTUR </t>
  </si>
  <si>
    <t>E</t>
  </si>
  <si>
    <t>PEKERJAAN LANTAI</t>
  </si>
  <si>
    <t>F</t>
  </si>
  <si>
    <t xml:space="preserve">PEKERJAAN PLAFON </t>
  </si>
  <si>
    <t>G</t>
  </si>
  <si>
    <t>PEKERJAAN PASANGAN DINDING &amp; PLESTERAN</t>
  </si>
  <si>
    <t>H</t>
  </si>
  <si>
    <t>PEKERJAAN ATAP</t>
  </si>
  <si>
    <t>I</t>
  </si>
  <si>
    <t>PEKERJAAN PINTU &amp; JENDELA</t>
  </si>
  <si>
    <t>J</t>
  </si>
  <si>
    <t>PEKERJAAN FINISHING CAT</t>
  </si>
  <si>
    <t>K</t>
  </si>
  <si>
    <t>PEKERJAAN SANITAIR, AIR BERSIH &amp; AIR KOTOR</t>
  </si>
  <si>
    <t>L</t>
  </si>
  <si>
    <t>PEKERJAAN LISTRIK</t>
  </si>
  <si>
    <t>M</t>
  </si>
  <si>
    <t>PEKERJAAN LAIN-LAIN</t>
  </si>
  <si>
    <t>Jasa %</t>
  </si>
  <si>
    <t>Total 2</t>
  </si>
  <si>
    <t>Total 3</t>
  </si>
  <si>
    <t>Pembulatan</t>
  </si>
  <si>
    <t>1.Beton Kolom Struktur K30 13/30 Lantai 1</t>
  </si>
  <si>
    <t>2.Beton Kolom KF Lantai 2</t>
  </si>
  <si>
    <t>3.Beton Balok BL 13x30 Lantai 2</t>
  </si>
  <si>
    <t>4.Beton Balok Struktur B30-1E 13/30 Lantai 2</t>
  </si>
  <si>
    <t>5.Beton Balok Sturktur B15 13/15 Lantai 2</t>
  </si>
  <si>
    <t>6.Beton Balok Sturktur B20 13/20 Lantai 2</t>
  </si>
  <si>
    <t>7.Beton Balok Struktur B20-1D 13/20 Lantai 2</t>
  </si>
  <si>
    <t>1.Beton Balok Struktur B20 13/20</t>
  </si>
  <si>
    <t>2.Beton Balok Struktur B25 13/20</t>
  </si>
  <si>
    <t>3.Beton Balok Struktur B25-1 13/20</t>
  </si>
  <si>
    <t>4.Beton Balok Struktur B40-1D 13/40</t>
  </si>
  <si>
    <t>5.Beton Balok Struktur B40-7D 13/40</t>
  </si>
  <si>
    <t>6.Beton Balok Struktur B40-2 13/40</t>
  </si>
  <si>
    <t>1.Plat t=10cm KANOPI</t>
  </si>
  <si>
    <t>1. Beton Kolom Pedestal 25x25</t>
  </si>
  <si>
    <t>Kolom Pedestal  (25x25)</t>
  </si>
  <si>
    <t>Beton Ring Balok Janggutan (10x25)</t>
  </si>
  <si>
    <t>4.Beton Balok Struktur B40 13/40 (Lantai Atap)</t>
  </si>
  <si>
    <t>2. Rangka UNP 100 Rooster Depan fin. Cat</t>
  </si>
  <si>
    <t>2.Beton Kolom K15(T) 13/13 Lantai 2</t>
  </si>
  <si>
    <t>1.Beton Balok Struktur B20 13/20 (Lantai Atap)</t>
  </si>
  <si>
    <t>2.Beton Balok Struktur B25 13/20 (Lantai Atap)</t>
  </si>
  <si>
    <t>3.Beton Balok Struktur B25-1 13/20 (Lantai Atap)</t>
  </si>
  <si>
    <t>6.Beton Balok Struktur B40-1D 13/40 (Lantai 2)</t>
  </si>
  <si>
    <t>7.Beton Balok Struktur B40-7D 13/40 (Lantai 2)</t>
  </si>
  <si>
    <t>5.Beton Balok Janggutan 10/25 (Lantai Atap)</t>
  </si>
  <si>
    <t>1.Beton Kolom K15(T) 13/13 Lantai 2</t>
  </si>
  <si>
    <t>A. PEKERJAAN PERSIAPAN :</t>
  </si>
  <si>
    <t>1. Air kerja</t>
  </si>
  <si>
    <t>2. Listrik kerja</t>
  </si>
  <si>
    <t>3. Pembersihan lokasi</t>
  </si>
  <si>
    <t>4. Bouwplank + uitset</t>
  </si>
  <si>
    <t>5. Mob demob alat berat</t>
  </si>
  <si>
    <t>B. PEKERJAAN TANAH :</t>
  </si>
  <si>
    <t>1. Galian tanah kolam</t>
  </si>
  <si>
    <t>2. Urug kembali sirtu/limestone</t>
  </si>
  <si>
    <t>3. Buang tanah</t>
  </si>
  <si>
    <t>4. Galian Tanah Pile Cap &amp; sloof</t>
  </si>
  <si>
    <t>C. PEKERJAAN PONDASI - K300 NFA</t>
  </si>
  <si>
    <t>1. Pile Cap PC-1 kolam 65x50x40</t>
  </si>
  <si>
    <t>1. Pile Cap PC-1 50x50x40</t>
  </si>
  <si>
    <t>2. Sloof S40A-1 15/40</t>
  </si>
  <si>
    <t>3. Sloof S40B-1 20/40</t>
  </si>
  <si>
    <t>4. Sloof S40B-1A 20/40</t>
  </si>
  <si>
    <t>5. Sloof S40B-2A 20/40</t>
  </si>
  <si>
    <t>6. Sloof SB40D-1 30/40</t>
  </si>
  <si>
    <t>7. Beton Kolom Struktur K30 13/30</t>
  </si>
  <si>
    <t>8. Beton Kolom Struktur K40 13/40</t>
  </si>
  <si>
    <t>9. Plat S3 dasar kolam t=15cm</t>
  </si>
  <si>
    <t>10. Dinding kolam t=15 cm</t>
  </si>
  <si>
    <t>11. Rabatan teras kolam t= 8cm + wiremesh M6</t>
  </si>
  <si>
    <t>12. Potong kepala pancang dengan circle</t>
  </si>
  <si>
    <t>13. Lantai kerja kolam t=5cm</t>
  </si>
  <si>
    <t>14. Lantai kerja pile cap &amp; sloof t=5cm</t>
  </si>
  <si>
    <t>15. Cor dinding retaining wall ruang pompa</t>
  </si>
  <si>
    <t>100.05.16</t>
  </si>
  <si>
    <t>Pekj +/- item lain-lain - Pekj Finishing lantai</t>
  </si>
  <si>
    <t>D. PEKERJAAN FINISHING KOLAM :</t>
  </si>
  <si>
    <t>1. Keramik mozaic tile ex. Kuda Laut TSQ MIX 332 S nat khusus kolam</t>
  </si>
  <si>
    <t>2. Waterproofing kolam MU-600</t>
  </si>
  <si>
    <t>3. Screeding lantai dasar kolam MU-442 + L500</t>
  </si>
  <si>
    <t>4. Plesteran dinding kolam MU-302 + MU830</t>
  </si>
  <si>
    <t>5. Nat MU Power Pool</t>
  </si>
  <si>
    <t xml:space="preserve">6. Teras belakang  Wood Castano uk.20x120 ex. Titanium </t>
  </si>
  <si>
    <t>7. Batu andesit untuk kolam air mancur</t>
  </si>
  <si>
    <t>8. Finish bibir kolam mozart dark grey uk 15x60 ex. Valentino</t>
  </si>
  <si>
    <t>E. PEKERJAAN DINDING LT.1</t>
  </si>
  <si>
    <t>F. PEKERJAAN MEKANIKAL :</t>
  </si>
  <si>
    <t>1. Sand Filter S 170 Swimpro ex. hayward</t>
  </si>
  <si>
    <t>2. Skimmer Box 1096 Ex. Hayward</t>
  </si>
  <si>
    <t>3. Pemipaan sistem kolam dan pembuangan pipa AW (fitting,pipa,ball valve,check valve)</t>
  </si>
  <si>
    <t>4. Floating valve dia 1/2''</t>
  </si>
  <si>
    <t>5. Pompa Hayward @3/4HP</t>
  </si>
  <si>
    <t>6. eyeball inlet + vacuum suction</t>
  </si>
  <si>
    <t>7. Sparing PVC untuk wall inlet, Vaccum fitting</t>
  </si>
  <si>
    <t>8. Cleaning tool set, hose 9 m</t>
  </si>
  <si>
    <t>9. Cover maindrain</t>
  </si>
  <si>
    <t>10. Instalasi air mancur di dinding</t>
  </si>
  <si>
    <t>11. Mob demob Alat</t>
  </si>
  <si>
    <t>G. PEKERJAAN ELEKTRIKAL &amp; LAIN - LAIN :</t>
  </si>
  <si>
    <t>1. Pengadaan &amp; pemasangan Under Water Light (UWL) LED , 18 Watt + trafo</t>
  </si>
  <si>
    <t>2. Pengisian air pertama</t>
  </si>
  <si>
    <t>3. Penjernihan air + perawatan 30 hari</t>
  </si>
  <si>
    <t>4. Panel Box ukuran 30x50 cm + MCB, timer, etc</t>
  </si>
  <si>
    <t>1.Beton Kolom KF Lantai 2</t>
  </si>
  <si>
    <t>2.Beton Balok BL 13x30 Lantai 2</t>
  </si>
  <si>
    <t>3.Beton Balok Struktur B30-1E 13/30 Lantai 2</t>
  </si>
  <si>
    <t>4.Beton Balok Sturktur B15 13/15 Lantai 2</t>
  </si>
  <si>
    <t>5.Beton Balok Sturktur B20 13/20 Lantai 2</t>
  </si>
  <si>
    <t>6.Beton Balok Struktur B20-1D 13/20 Lantai 2</t>
  </si>
  <si>
    <t>3.Beton Kolom KF Lantai 2</t>
  </si>
  <si>
    <t>MAPLE 10x17</t>
  </si>
  <si>
    <t>MAPLE POOL 10x17</t>
  </si>
  <si>
    <t>MAPLE POOL ROOFTOP 10x17</t>
  </si>
  <si>
    <t>MAPLE ROOFTOP 10x17</t>
  </si>
  <si>
    <t xml:space="preserve"> Beton K 300 Ready Mix (tanpa CP)</t>
  </si>
  <si>
    <t>CITRALAND DEMPSEY HILL</t>
  </si>
  <si>
    <t xml:space="preserve"> Surabaya, 15  Juli 2024</t>
  </si>
  <si>
    <t>Lantai  Pool ( kolam ) t=15 cm (K 300)</t>
  </si>
  <si>
    <t>Dinding  Pool ( kolam ) t=15 cm (K300)</t>
  </si>
  <si>
    <t>Sloof  S,40B-1A (20x40) (K 300 KOLAM RENANG)</t>
  </si>
  <si>
    <t>Sloof  S,40B-2A (20x40) (K 300 KOLAM RENANG)</t>
  </si>
  <si>
    <t>Sloof  S,40D-1 (30x40) (K 300 KOLAM RENANG)</t>
  </si>
  <si>
    <t xml:space="preserve"> - Aluminium U 3/4 (2 cm)</t>
  </si>
  <si>
    <t>1. Wastafel LW 647 CJ KM Lt. 1</t>
  </si>
  <si>
    <t>1.Waterproofing: plat dak atap  ex. Sika Top 107</t>
  </si>
  <si>
    <t>1. MCB 25A 1P</t>
  </si>
  <si>
    <t>2. Sparing SR listrik pipa AW 2in</t>
  </si>
  <si>
    <t>3. Foto cell 3A + instalasi</t>
  </si>
  <si>
    <t>4. Doraldus 3/4</t>
  </si>
  <si>
    <t>5. Instalasi lampu taman dpn &amp; belakang + conduit</t>
  </si>
  <si>
    <t>6. Instalasi lampu hotel + conduit</t>
  </si>
  <si>
    <t>LS</t>
  </si>
  <si>
    <t>Pile Cap  PC-1 kolam (65x50x40) (K 300)</t>
  </si>
  <si>
    <t xml:space="preserve"> Pasangan dinding roster  1 :3</t>
  </si>
  <si>
    <t xml:space="preserve"> - Roster  uk. 15x30x10</t>
  </si>
  <si>
    <t>Sloof  S,40B-1 (20x40) (K 300 KOLAM RENANG)</t>
  </si>
  <si>
    <t>group</t>
  </si>
  <si>
    <t>1.L 16x 1/2 FC</t>
  </si>
  <si>
    <t>SPK Terpisah (Kanopi, Driveway)</t>
  </si>
  <si>
    <t>- Penutup kanopi Solar Flat embossed clear  2,4x1,2  M</t>
  </si>
  <si>
    <t>- Rangka Hollow 50x50 mm &amp; 50x100 mm</t>
  </si>
  <si>
    <t>- Para-Para WPC 40x25 mm warna C04</t>
  </si>
  <si>
    <t>- Profil H</t>
  </si>
  <si>
    <t>- UNP 100 pinggir</t>
  </si>
  <si>
    <t>- Sealant &amp; asessories</t>
  </si>
  <si>
    <t xml:space="preserve">Sparing driveway pipa AW dia. 4" </t>
  </si>
  <si>
    <t xml:space="preserve">Sparing driveway pipa AW dia. 2" </t>
  </si>
  <si>
    <t>Tambahan</t>
  </si>
  <si>
    <t>- Galian tanah t=50 cm dan buang tanah</t>
  </si>
  <si>
    <t>- Urug sirtu t=50 cm + pemadatan</t>
  </si>
  <si>
    <t>Lantai kerja t=5cm</t>
  </si>
  <si>
    <t>- Cor K225 t=10 cm + Wiremesh M5</t>
  </si>
  <si>
    <t>- Keramik G-Stone black uk 30x30 ex Valentino</t>
  </si>
  <si>
    <t>2.Plat type S2 t=12cm TEMPAT DUDUK DEPAN</t>
  </si>
  <si>
    <t>Kanopi Carport ex. Solartuff</t>
  </si>
  <si>
    <t xml:space="preserve"> - Bata ringan GE</t>
  </si>
  <si>
    <t>PPn 11 %</t>
  </si>
  <si>
    <t>MAPLE</t>
  </si>
  <si>
    <t>MAPLE POOL</t>
  </si>
  <si>
    <t>MAPLE ROOF</t>
  </si>
  <si>
    <t>MAPLE POOL ROOF</t>
  </si>
  <si>
    <t>POOL</t>
  </si>
  <si>
    <r>
      <t xml:space="preserve">9. Atap skylight kaca tempered 10mm atas dapur (S1) </t>
    </r>
    <r>
      <rPr>
        <sz val="10"/>
        <color rgb="FFFF0000"/>
        <rFont val="Calibri"/>
        <family val="2"/>
        <scheme val="minor"/>
      </rPr>
      <t>(pakai</t>
    </r>
    <r>
      <rPr>
        <sz val="10"/>
        <color theme="1"/>
        <rFont val="Calibri"/>
        <family val="2"/>
        <scheme val="minor"/>
      </rPr>
      <t xml:space="preserve"> rangka besi)</t>
    </r>
  </si>
  <si>
    <t>14. Atap kaca teras kaca tempered 10mm (S1a) (uk. 0,25 x 2,1 m) (tanpa rangka besi)</t>
  </si>
  <si>
    <r>
      <t>11. Atap skylight kaca tempered 10mm atas bathub KM Utama (S3) (</t>
    </r>
    <r>
      <rPr>
        <sz val="10"/>
        <color rgb="FFFF0000"/>
        <rFont val="Calibri"/>
        <family val="2"/>
        <scheme val="minor"/>
      </rPr>
      <t>pakai</t>
    </r>
    <r>
      <rPr>
        <sz val="10"/>
        <color theme="1"/>
        <rFont val="Calibri"/>
        <family val="2"/>
        <scheme val="minor"/>
      </rPr>
      <t xml:space="preserve"> rangka besi)</t>
    </r>
  </si>
  <si>
    <r>
      <t>12. Atap skylight kaca tempered 10mm atas void foyer (S4) (</t>
    </r>
    <r>
      <rPr>
        <sz val="10"/>
        <color rgb="FFFF0000"/>
        <rFont val="Calibri"/>
        <family val="2"/>
        <scheme val="minor"/>
      </rPr>
      <t>pakai</t>
    </r>
    <r>
      <rPr>
        <sz val="10"/>
        <color theme="1"/>
        <rFont val="Calibri"/>
        <family val="2"/>
        <scheme val="minor"/>
      </rPr>
      <t xml:space="preserve"> rangka besi)</t>
    </r>
  </si>
  <si>
    <r>
      <t>13. Atap skylight kaca tempered 10mm atas tangga (S5) (</t>
    </r>
    <r>
      <rPr>
        <sz val="10"/>
        <color rgb="FFFF0000"/>
        <rFont val="Calibri"/>
        <family val="2"/>
        <scheme val="minor"/>
      </rPr>
      <t>pakai</t>
    </r>
    <r>
      <rPr>
        <sz val="10"/>
        <color theme="1"/>
        <rFont val="Calibri"/>
        <family val="2"/>
        <scheme val="minor"/>
      </rPr>
      <t xml:space="preserve"> rangka besi)</t>
    </r>
  </si>
  <si>
    <t xml:space="preserve"> Besi Beton Ulir (TS420)</t>
  </si>
  <si>
    <t>1. Tali air pagar belakang aluminium 2cm</t>
  </si>
  <si>
    <t>1.Cat roster ex. jotashield spray</t>
  </si>
  <si>
    <t>16. Kaca void tangga t=10mm tanpa spider</t>
  </si>
  <si>
    <t>- Frameless fix glass</t>
  </si>
  <si>
    <t>- Lis U 1cm</t>
  </si>
  <si>
    <t>3. Perkuatan Rooster plat strip 5mm</t>
  </si>
  <si>
    <t>1. Dinding KM Pembantu Nipo grey 30x30</t>
  </si>
  <si>
    <t>7. Instalasi stop kontak pompa + conduit</t>
  </si>
  <si>
    <t>8. Instalasi stop kontak CCTV + conduit</t>
  </si>
  <si>
    <t>9. Sparing PVC solar panel</t>
  </si>
  <si>
    <t>10. Arde solar panel</t>
  </si>
  <si>
    <t>3. Perkuatan Rooster Plat Strip t=5mm</t>
  </si>
  <si>
    <t>1. Instalasi lampu kolam NYYHY 2x1,5</t>
  </si>
  <si>
    <t>2. Panel kolam</t>
  </si>
  <si>
    <t>3. Power panel</t>
  </si>
  <si>
    <t>4. Guest Bedroom Granite Tiles 80x80 Bulgary Grey ex. Valentino</t>
  </si>
  <si>
    <t>5.Dinning Room,Living Room, Kitchen Granite Tiles 80x80 Bulgary Grey ex. Valentino</t>
  </si>
  <si>
    <t>6.Storage Granite Tiles 80x80 Bulgary Grey ex. Valentino</t>
  </si>
  <si>
    <t>1. Bedroom 1 &amp; 2, Master Bedroom, Master walkin closet Granite Tiles 80x80 Bulgary Grey ex. Valentino</t>
  </si>
  <si>
    <t>2. Study area dan koridor Granite Tiles 80x80 Bulgary Grey ex. Valentino</t>
  </si>
  <si>
    <t>1. Multifunction room Granite Tiles 80x80 Bulgary Grey ex. Valentino</t>
  </si>
  <si>
    <r>
      <t>Wiremesh</t>
    </r>
    <r>
      <rPr>
        <i/>
        <sz val="10"/>
        <color rgb="FFFF0000"/>
        <rFont val="Arial"/>
        <family val="2"/>
      </rPr>
      <t xml:space="preserve"> M-5</t>
    </r>
  </si>
  <si>
    <r>
      <t xml:space="preserve">2. Beton Pondasi Poer PC-1A </t>
    </r>
    <r>
      <rPr>
        <sz val="10"/>
        <color rgb="FFFF0000"/>
        <rFont val="Calibri"/>
        <family val="2"/>
        <scheme val="minor"/>
      </rPr>
      <t>40x40x40</t>
    </r>
  </si>
  <si>
    <r>
      <t xml:space="preserve">1. Beton Pondasi Poer PC-1 </t>
    </r>
    <r>
      <rPr>
        <sz val="10"/>
        <color rgb="FFFF0000"/>
        <rFont val="Calibri"/>
        <family val="2"/>
        <scheme val="minor"/>
      </rPr>
      <t>40x40x40</t>
    </r>
  </si>
  <si>
    <t>ac area foyer dihilangkan</t>
  </si>
  <si>
    <t>maple ke maple rooftop tambah 135jt</t>
  </si>
  <si>
    <t>1. Beton Pondasi Poer PC-1 40x40x40</t>
  </si>
  <si>
    <r>
      <t>1. Beton Pondasi Poer PC-1</t>
    </r>
    <r>
      <rPr>
        <sz val="10"/>
        <color rgb="FFFF0000"/>
        <rFont val="Calibri"/>
        <family val="2"/>
        <scheme val="minor"/>
      </rPr>
      <t xml:space="preserve"> 40x40x40</t>
    </r>
  </si>
  <si>
    <t>11. Spotlight</t>
  </si>
  <si>
    <t>2. Beton Pondasi Poer PC-1A 40x40x40</t>
  </si>
  <si>
    <r>
      <t xml:space="preserve">3. Beton Kolom praktis KP </t>
    </r>
    <r>
      <rPr>
        <sz val="10"/>
        <color rgb="FFFF0000"/>
        <rFont val="Calibri"/>
        <family val="2"/>
        <scheme val="minor"/>
      </rPr>
      <t>12/12</t>
    </r>
  </si>
  <si>
    <r>
      <t>1. Beton Kolom praktis KP</t>
    </r>
    <r>
      <rPr>
        <sz val="10"/>
        <color rgb="FFFF0000"/>
        <rFont val="Calibri"/>
        <family val="2"/>
        <scheme val="minor"/>
      </rPr>
      <t xml:space="preserve"> 12/12</t>
    </r>
  </si>
  <si>
    <r>
      <t>3. Beton Kolom praktis KP</t>
    </r>
    <r>
      <rPr>
        <sz val="10"/>
        <color rgb="FFFF0000"/>
        <rFont val="Calibri"/>
        <family val="2"/>
        <scheme val="minor"/>
      </rPr>
      <t xml:space="preserve"> 12/12</t>
    </r>
  </si>
  <si>
    <r>
      <t xml:space="preserve">1. Beton Kolom praktis KP </t>
    </r>
    <r>
      <rPr>
        <sz val="10"/>
        <color rgb="FFFF0000"/>
        <rFont val="Calibri"/>
        <family val="2"/>
        <scheme val="minor"/>
      </rPr>
      <t>12/12</t>
    </r>
  </si>
  <si>
    <t>3. Beton Kolom praktis KP 12/12</t>
  </si>
  <si>
    <t>1. Beton Kolom praktis KP 12/12</t>
  </si>
  <si>
    <t>6. Lantai Master Bathroom Lt 2 granite tile Tordera Grey uk.60x60 ex. Valentino (area kering)</t>
  </si>
  <si>
    <t>7. Lantai Master Bathroom  Lt.2 granite tile 6PG006V uk.60x60 ex. Venus (area shower)</t>
  </si>
  <si>
    <t>2. Genteng beton Type Flat- Presfektif 15° badan ex. Monier</t>
  </si>
  <si>
    <t>9. Atap skylight kaca tempered 10mm atas dapur (S1) (pakai rangka besi)</t>
  </si>
  <si>
    <t>11. Atap skylight kaca tempered 10mm atas bathub KM Utama (S3) (pakai rangka besi)</t>
  </si>
  <si>
    <t>12. Atap skylight kaca tempered 10mm atas void foyer (S4) (pakai rangka besi)</t>
  </si>
  <si>
    <t>13. Atap skylight kaca tempered 10mm atas tangga (S5) (pakai rangka besi)</t>
  </si>
  <si>
    <t>8. Kaca Tempered 10mm Km mandi Lt 1 (tanpa pintu )</t>
  </si>
  <si>
    <t>9. Kaca Tempered 10mm Km mandi Lt 2 (letter L + pintu)</t>
  </si>
  <si>
    <t xml:space="preserve"> - Multipleks 9 mm = 45 %</t>
  </si>
  <si>
    <t xml:space="preserve"> - Kayu = 45 %</t>
  </si>
  <si>
    <t>DIBULATKAN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</si>
</sst>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#,##0.000_);\(#,##0.000\)"/>
    <numFmt numFmtId="169" formatCode="_(* #,##0.000_);_(* \(#,##0.000\);_(* &quot;-&quot;??_);_(@_)"/>
    <numFmt numFmtId="170" formatCode="#,##0.00\ ;&quot; (&quot;#,##0.00\);&quot; -&quot;#\ ;@\ "/>
    <numFmt numFmtId="171" formatCode="#,##0\ ;&quot; (&quot;#,##0\);&quot; -&quot;#\ ;@\ "/>
    <numFmt numFmtId="172" formatCode="_(* #,##0.000_);_(* \(#,##0.000\);_(* &quot;-&quot;???_);_(@_)"/>
    <numFmt numFmtId="173" formatCode="0.0000"/>
    <numFmt numFmtId="174" formatCode="_-* #,##0.00_-;\-* #,##0.00_-;_-* &quot;-&quot;_-;_-@_-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sz val="10"/>
      <color indexed="8"/>
      <name val="Arial"/>
      <family val="2"/>
      <charset val="1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Times New Roman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i/>
      <sz val="12"/>
      <name val="Arial"/>
      <family val="2"/>
    </font>
    <font>
      <i/>
      <sz val="11"/>
      <color theme="1"/>
      <name val="Calibri"/>
      <family val="2"/>
      <scheme val="minor"/>
    </font>
    <font>
      <i/>
      <sz val="12"/>
      <color indexed="8"/>
      <name val="Arial"/>
      <family val="2"/>
    </font>
    <font>
      <i/>
      <sz val="12"/>
      <name val="Calibri"/>
      <family val="2"/>
    </font>
    <font>
      <i/>
      <u/>
      <sz val="12"/>
      <name val="Calibri"/>
      <family val="2"/>
    </font>
    <font>
      <b/>
      <i/>
      <sz val="12"/>
      <name val="Calibri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lbertus Medium"/>
    </font>
    <font>
      <i/>
      <sz val="10"/>
      <color indexed="10"/>
      <name val="Arial"/>
      <family val="2"/>
    </font>
    <font>
      <b/>
      <i/>
      <sz val="10"/>
      <name val="Arial"/>
      <family val="2"/>
    </font>
    <font>
      <i/>
      <sz val="10"/>
      <name val="Comic Sans MS"/>
      <family val="4"/>
    </font>
    <font>
      <i/>
      <sz val="11"/>
      <color indexed="8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i/>
      <sz val="10"/>
      <name val="Albertus Medium"/>
    </font>
    <font>
      <b/>
      <sz val="11"/>
      <name val="Arial"/>
      <family val="2"/>
    </font>
    <font>
      <i/>
      <sz val="11"/>
      <name val="Comic Sans MS"/>
      <family val="4"/>
    </font>
    <font>
      <b/>
      <i/>
      <sz val="12"/>
      <name val="Arial Black"/>
      <family val="2"/>
    </font>
    <font>
      <i/>
      <sz val="8.5"/>
      <name val="Albertus Medium"/>
    </font>
    <font>
      <sz val="8.5"/>
      <name val="Albertus Medium"/>
      <family val="2"/>
    </font>
    <font>
      <b/>
      <sz val="10"/>
      <name val="Albertus Medium"/>
    </font>
    <font>
      <b/>
      <sz val="14"/>
      <name val="Book Antiqua"/>
      <family val="1"/>
    </font>
    <font>
      <b/>
      <sz val="10"/>
      <name val="Arial"/>
      <family val="2"/>
    </font>
    <font>
      <b/>
      <sz val="12"/>
      <name val="Arial Black"/>
      <family val="2"/>
    </font>
    <font>
      <b/>
      <sz val="12"/>
      <name val="Arial"/>
      <family val="2"/>
    </font>
    <font>
      <sz val="11"/>
      <name val="Franklin Gothic Medium"/>
      <family val="2"/>
    </font>
    <font>
      <sz val="10"/>
      <name val="Albertus Medium"/>
      <family val="2"/>
    </font>
    <font>
      <i/>
      <sz val="10"/>
      <name val="Albertus Medium"/>
      <family val="2"/>
    </font>
    <font>
      <sz val="10"/>
      <name val="Franklin Gothic Medium"/>
      <family val="2"/>
    </font>
    <font>
      <sz val="10"/>
      <name val="Albertus Medium"/>
    </font>
    <font>
      <b/>
      <sz val="11"/>
      <name val="Franklin Gothic Medium"/>
      <family val="2"/>
    </font>
    <font>
      <i/>
      <sz val="14"/>
      <name val="Albertus Medium"/>
    </font>
    <font>
      <i/>
      <sz val="11"/>
      <name val="Calibri"/>
      <family val="2"/>
    </font>
    <font>
      <i/>
      <sz val="8.5"/>
      <name val="Albertus Medium"/>
      <family val="2"/>
    </font>
    <font>
      <b/>
      <i/>
      <sz val="14"/>
      <name val="Albertus Medium"/>
    </font>
    <font>
      <i/>
      <sz val="14"/>
      <name val="Arial"/>
      <family val="2"/>
    </font>
    <font>
      <b/>
      <i/>
      <sz val="8.5"/>
      <name val="Albertus Medium"/>
    </font>
    <font>
      <b/>
      <i/>
      <sz val="11"/>
      <name val="Arial"/>
      <family val="2"/>
    </font>
    <font>
      <i/>
      <sz val="11"/>
      <name val="Arial"/>
      <family val="2"/>
    </font>
    <font>
      <i/>
      <sz val="12"/>
      <name val="Arial"/>
      <family val="2"/>
    </font>
    <font>
      <sz val="11"/>
      <color indexed="12"/>
      <name val="Calibri"/>
      <family val="2"/>
    </font>
    <font>
      <i/>
      <sz val="10"/>
      <name val="Calibri"/>
      <family val="2"/>
    </font>
    <font>
      <b/>
      <sz val="11"/>
      <name val="Albertus Medium"/>
    </font>
    <font>
      <i/>
      <sz val="10"/>
      <name val="Tahoma"/>
      <family val="2"/>
    </font>
    <font>
      <b/>
      <i/>
      <sz val="10"/>
      <name val="Tahoma"/>
      <family val="2"/>
    </font>
    <font>
      <i/>
      <u/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entury Gothic"/>
      <family val="2"/>
    </font>
    <font>
      <b/>
      <sz val="11"/>
      <color rgb="FFFF0000"/>
      <name val="Century Gothic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Franklin Gothic Medium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rgb="FFFF0000"/>
      <name val="Calibri"/>
      <family val="2"/>
    </font>
    <font>
      <i/>
      <sz val="10"/>
      <color rgb="FFFF0000"/>
      <name val="Calibri"/>
      <family val="2"/>
      <scheme val="minor"/>
    </font>
    <font>
      <sz val="12"/>
      <name val="Comic Sans MS"/>
      <family val="4"/>
    </font>
    <font>
      <sz val="12"/>
      <name val="Calibri"/>
      <family val="2"/>
    </font>
    <font>
      <sz val="10"/>
      <name val="Century Gothic"/>
      <family val="2"/>
    </font>
    <font>
      <b/>
      <sz val="14"/>
      <name val="Calibri"/>
      <family val="2"/>
    </font>
    <font>
      <sz val="12"/>
      <name val="Arial"/>
      <family val="2"/>
    </font>
    <font>
      <b/>
      <sz val="11"/>
      <name val="Calibri"/>
      <family val="2"/>
    </font>
    <font>
      <sz val="11"/>
      <name val="SWISS"/>
    </font>
    <font>
      <b/>
      <sz val="12"/>
      <color indexed="8"/>
      <name val="Calibri"/>
      <family val="2"/>
    </font>
    <font>
      <b/>
      <sz val="12"/>
      <name val="Calibri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b/>
      <sz val="12"/>
      <color rgb="FF0070C0"/>
      <name val="Calibri"/>
      <family val="2"/>
    </font>
    <font>
      <sz val="12"/>
      <name val="Century Gothic"/>
      <family val="2"/>
    </font>
    <font>
      <sz val="10"/>
      <name val="Arial"/>
      <family val="2"/>
    </font>
    <font>
      <sz val="10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mbria"/>
      <family val="2"/>
      <scheme val="major"/>
    </font>
    <font>
      <sz val="10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color rgb="FFFF0000"/>
      <name val="Franklin Gothic Medium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/>
      <bottom style="hair">
        <color indexed="8"/>
      </bottom>
      <diagonal/>
    </border>
  </borders>
  <cellStyleXfs count="11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166" fontId="1" fillId="0" borderId="0" applyFont="0" applyFill="0" applyBorder="0" applyAlignment="0" applyProtection="0"/>
    <xf numFmtId="0" fontId="19" fillId="0" borderId="0"/>
    <xf numFmtId="166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21" fillId="0" borderId="0"/>
    <xf numFmtId="0" fontId="22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8" fillId="0" borderId="0"/>
    <xf numFmtId="0" fontId="19" fillId="0" borderId="0"/>
    <xf numFmtId="166" fontId="19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4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3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6" fillId="0" borderId="0" applyFill="0" applyBorder="0" applyAlignment="0" applyProtection="0">
      <alignment vertical="center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9" fontId="24" fillId="0" borderId="0" applyFont="0" applyFill="0" applyBorder="0" applyAlignment="0" applyProtection="0"/>
    <xf numFmtId="9" fontId="20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8" fillId="0" borderId="0"/>
    <xf numFmtId="9" fontId="1" fillId="0" borderId="0" applyFont="0" applyFill="0" applyBorder="0" applyAlignment="0" applyProtection="0"/>
    <xf numFmtId="0" fontId="100" fillId="0" borderId="0"/>
    <xf numFmtId="42" fontId="1" fillId="0" borderId="0" applyFont="0" applyFill="0" applyBorder="0" applyAlignment="0" applyProtection="0"/>
  </cellStyleXfs>
  <cellXfs count="474">
    <xf numFmtId="0" fontId="0" fillId="0" borderId="0" xfId="0"/>
    <xf numFmtId="0" fontId="27" fillId="0" borderId="0" xfId="0" applyFont="1" applyAlignment="1">
      <alignment vertical="center"/>
    </xf>
    <xf numFmtId="166" fontId="24" fillId="0" borderId="0" xfId="0" applyNumberFormat="1" applyFont="1" applyAlignment="1">
      <alignment horizontal="center" vertical="center"/>
    </xf>
    <xf numFmtId="166" fontId="28" fillId="0" borderId="0" xfId="0" applyNumberFormat="1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37" fontId="30" fillId="0" borderId="0" xfId="0" applyNumberFormat="1" applyFont="1"/>
    <xf numFmtId="168" fontId="30" fillId="0" borderId="0" xfId="0" applyNumberFormat="1" applyFont="1"/>
    <xf numFmtId="39" fontId="30" fillId="0" borderId="0" xfId="0" applyNumberFormat="1" applyFont="1"/>
    <xf numFmtId="0" fontId="30" fillId="0" borderId="0" xfId="0" applyFont="1" applyAlignment="1">
      <alignment horizontal="center"/>
    </xf>
    <xf numFmtId="0" fontId="35" fillId="0" borderId="10" xfId="0" applyFont="1" applyBorder="1"/>
    <xf numFmtId="37" fontId="36" fillId="0" borderId="11" xfId="0" applyNumberFormat="1" applyFont="1" applyBorder="1"/>
    <xf numFmtId="37" fontId="34" fillId="0" borderId="12" xfId="0" applyNumberFormat="1" applyFont="1" applyBorder="1"/>
    <xf numFmtId="37" fontId="36" fillId="0" borderId="13" xfId="0" applyNumberFormat="1" applyFont="1" applyBorder="1"/>
    <xf numFmtId="37" fontId="36" fillId="0" borderId="14" xfId="0" applyNumberFormat="1" applyFont="1" applyBorder="1"/>
    <xf numFmtId="37" fontId="34" fillId="0" borderId="13" xfId="0" applyNumberFormat="1" applyFont="1" applyBorder="1"/>
    <xf numFmtId="37" fontId="39" fillId="0" borderId="14" xfId="0" applyNumberFormat="1" applyFont="1" applyBorder="1"/>
    <xf numFmtId="37" fontId="35" fillId="0" borderId="13" xfId="0" applyNumberFormat="1" applyFont="1" applyBorder="1"/>
    <xf numFmtId="37" fontId="39" fillId="0" borderId="15" xfId="0" applyNumberFormat="1" applyFont="1" applyBorder="1"/>
    <xf numFmtId="37" fontId="35" fillId="0" borderId="12" xfId="0" applyNumberFormat="1" applyFont="1" applyBorder="1"/>
    <xf numFmtId="37" fontId="35" fillId="0" borderId="17" xfId="0" applyNumberFormat="1" applyFont="1" applyBorder="1"/>
    <xf numFmtId="37" fontId="35" fillId="0" borderId="18" xfId="0" applyNumberFormat="1" applyFont="1" applyBorder="1"/>
    <xf numFmtId="170" fontId="35" fillId="0" borderId="18" xfId="43" applyNumberFormat="1" applyFont="1" applyBorder="1" applyProtection="1"/>
    <xf numFmtId="0" fontId="34" fillId="0" borderId="18" xfId="0" applyFont="1" applyBorder="1" applyAlignment="1">
      <alignment horizontal="center"/>
    </xf>
    <xf numFmtId="0" fontId="34" fillId="0" borderId="18" xfId="0" applyFont="1" applyBorder="1"/>
    <xf numFmtId="0" fontId="34" fillId="0" borderId="19" xfId="0" applyFont="1" applyBorder="1" applyAlignment="1">
      <alignment horizontal="center"/>
    </xf>
    <xf numFmtId="37" fontId="35" fillId="0" borderId="20" xfId="0" applyNumberFormat="1" applyFont="1" applyBorder="1"/>
    <xf numFmtId="39" fontId="34" fillId="0" borderId="18" xfId="0" applyNumberFormat="1" applyFont="1" applyBorder="1" applyAlignment="1">
      <alignment horizontal="center"/>
    </xf>
    <xf numFmtId="171" fontId="35" fillId="0" borderId="18" xfId="43" applyNumberFormat="1" applyFont="1" applyBorder="1" applyProtection="1"/>
    <xf numFmtId="168" fontId="35" fillId="0" borderId="18" xfId="0" applyNumberFormat="1" applyFont="1" applyBorder="1"/>
    <xf numFmtId="0" fontId="36" fillId="0" borderId="18" xfId="0" applyFont="1" applyBorder="1"/>
    <xf numFmtId="0" fontId="34" fillId="0" borderId="18" xfId="0" applyFont="1" applyBorder="1" applyAlignment="1">
      <alignment horizontal="right"/>
    </xf>
    <xf numFmtId="0" fontId="34" fillId="0" borderId="19" xfId="0" applyFont="1" applyBorder="1"/>
    <xf numFmtId="166" fontId="35" fillId="0" borderId="18" xfId="43" applyFont="1" applyBorder="1" applyProtection="1"/>
    <xf numFmtId="0" fontId="34" fillId="0" borderId="21" xfId="0" applyFont="1" applyBorder="1"/>
    <xf numFmtId="37" fontId="35" fillId="33" borderId="18" xfId="0" applyNumberFormat="1" applyFont="1" applyFill="1" applyBorder="1"/>
    <xf numFmtId="169" fontId="35" fillId="0" borderId="18" xfId="43" applyNumberFormat="1" applyFont="1" applyBorder="1" applyProtection="1"/>
    <xf numFmtId="37" fontId="39" fillId="0" borderId="20" xfId="0" applyNumberFormat="1" applyFont="1" applyBorder="1"/>
    <xf numFmtId="37" fontId="35" fillId="0" borderId="22" xfId="0" applyNumberFormat="1" applyFont="1" applyBorder="1"/>
    <xf numFmtId="0" fontId="36" fillId="0" borderId="21" xfId="0" applyFont="1" applyBorder="1"/>
    <xf numFmtId="39" fontId="34" fillId="0" borderId="18" xfId="0" applyNumberFormat="1" applyFont="1" applyBorder="1"/>
    <xf numFmtId="39" fontId="35" fillId="0" borderId="18" xfId="0" applyNumberFormat="1" applyFont="1" applyBorder="1"/>
    <xf numFmtId="0" fontId="34" fillId="0" borderId="18" xfId="0" applyFont="1" applyBorder="1" applyAlignment="1">
      <alignment horizontal="left"/>
    </xf>
    <xf numFmtId="0" fontId="36" fillId="0" borderId="18" xfId="0" applyFont="1" applyBorder="1" applyAlignment="1">
      <alignment horizontal="left"/>
    </xf>
    <xf numFmtId="39" fontId="35" fillId="33" borderId="18" xfId="0" applyNumberFormat="1" applyFont="1" applyFill="1" applyBorder="1"/>
    <xf numFmtId="37" fontId="36" fillId="0" borderId="16" xfId="0" applyNumberFormat="1" applyFont="1" applyBorder="1"/>
    <xf numFmtId="37" fontId="34" fillId="0" borderId="22" xfId="0" applyNumberFormat="1" applyFont="1" applyBorder="1"/>
    <xf numFmtId="37" fontId="34" fillId="0" borderId="20" xfId="0" applyNumberFormat="1" applyFont="1" applyBorder="1"/>
    <xf numFmtId="37" fontId="36" fillId="0" borderId="15" xfId="0" applyNumberFormat="1" applyFont="1" applyBorder="1"/>
    <xf numFmtId="167" fontId="35" fillId="0" borderId="18" xfId="43" applyNumberFormat="1" applyFont="1" applyBorder="1" applyProtection="1"/>
    <xf numFmtId="0" fontId="36" fillId="0" borderId="21" xfId="0" applyFont="1" applyBorder="1" applyAlignment="1">
      <alignment horizontal="left"/>
    </xf>
    <xf numFmtId="37" fontId="36" fillId="0" borderId="23" xfId="0" applyNumberFormat="1" applyFont="1" applyBorder="1"/>
    <xf numFmtId="37" fontId="36" fillId="0" borderId="20" xfId="0" applyNumberFormat="1" applyFont="1" applyBorder="1"/>
    <xf numFmtId="0" fontId="40" fillId="0" borderId="18" xfId="0" applyFont="1" applyBorder="1" applyAlignment="1">
      <alignment vertical="center"/>
    </xf>
    <xf numFmtId="0" fontId="40" fillId="0" borderId="24" xfId="0" applyFont="1" applyBorder="1" applyAlignment="1">
      <alignment vertical="center"/>
    </xf>
    <xf numFmtId="37" fontId="34" fillId="0" borderId="18" xfId="0" applyNumberFormat="1" applyFont="1" applyBorder="1"/>
    <xf numFmtId="168" fontId="34" fillId="0" borderId="18" xfId="0" applyNumberFormat="1" applyFont="1" applyBorder="1"/>
    <xf numFmtId="37" fontId="34" fillId="0" borderId="15" xfId="0" applyNumberFormat="1" applyFont="1" applyBorder="1"/>
    <xf numFmtId="37" fontId="34" fillId="0" borderId="25" xfId="0" applyNumberFormat="1" applyFont="1" applyBorder="1"/>
    <xf numFmtId="0" fontId="34" fillId="0" borderId="25" xfId="0" applyFont="1" applyBorder="1"/>
    <xf numFmtId="39" fontId="34" fillId="0" borderId="25" xfId="0" applyNumberFormat="1" applyFont="1" applyBorder="1"/>
    <xf numFmtId="0" fontId="34" fillId="0" borderId="26" xfId="0" applyFont="1" applyBorder="1"/>
    <xf numFmtId="37" fontId="41" fillId="34" borderId="27" xfId="0" applyNumberFormat="1" applyFont="1" applyFill="1" applyBorder="1" applyAlignment="1">
      <alignment horizontal="center" vertical="center"/>
    </xf>
    <xf numFmtId="37" fontId="41" fillId="34" borderId="28" xfId="0" applyNumberFormat="1" applyFont="1" applyFill="1" applyBorder="1" applyAlignment="1">
      <alignment horizontal="center" vertical="center"/>
    </xf>
    <xf numFmtId="37" fontId="41" fillId="34" borderId="14" xfId="0" applyNumberFormat="1" applyFont="1" applyFill="1" applyBorder="1" applyAlignment="1">
      <alignment horizontal="center"/>
    </xf>
    <xf numFmtId="37" fontId="41" fillId="34" borderId="31" xfId="0" applyNumberFormat="1" applyFont="1" applyFill="1" applyBorder="1" applyAlignment="1">
      <alignment horizontal="center"/>
    </xf>
    <xf numFmtId="0" fontId="42" fillId="0" borderId="0" xfId="42" applyFont="1"/>
    <xf numFmtId="0" fontId="43" fillId="0" borderId="0" xfId="0" applyFont="1" applyAlignment="1">
      <alignment vertical="center"/>
    </xf>
    <xf numFmtId="0" fontId="44" fillId="0" borderId="0" xfId="0" quotePrefix="1" applyFont="1" applyAlignment="1">
      <alignment vertical="center"/>
    </xf>
    <xf numFmtId="0" fontId="45" fillId="0" borderId="0" xfId="0" applyFont="1" applyAlignment="1">
      <alignment vertical="center"/>
    </xf>
    <xf numFmtId="0" fontId="16" fillId="0" borderId="0" xfId="0" applyFont="1" applyAlignment="1">
      <alignment horizontal="left"/>
    </xf>
    <xf numFmtId="169" fontId="46" fillId="0" borderId="0" xfId="43" applyNumberFormat="1" applyFont="1" applyBorder="1" applyAlignment="1" applyProtection="1">
      <alignment vertical="center"/>
    </xf>
    <xf numFmtId="0" fontId="46" fillId="0" borderId="0" xfId="0" applyFont="1" applyAlignment="1">
      <alignment vertical="center"/>
    </xf>
    <xf numFmtId="0" fontId="49" fillId="0" borderId="0" xfId="0" applyFont="1" applyAlignment="1">
      <alignment horizontal="center" vertical="center"/>
    </xf>
    <xf numFmtId="166" fontId="49" fillId="0" borderId="0" xfId="0" applyNumberFormat="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5" fillId="0" borderId="18" xfId="0" applyFont="1" applyBorder="1"/>
    <xf numFmtId="39" fontId="35" fillId="0" borderId="18" xfId="0" applyNumberFormat="1" applyFont="1" applyBorder="1" applyAlignment="1">
      <alignment horizontal="center"/>
    </xf>
    <xf numFmtId="0" fontId="34" fillId="0" borderId="21" xfId="0" applyFont="1" applyBorder="1" applyAlignment="1">
      <alignment horizontal="center"/>
    </xf>
    <xf numFmtId="39" fontId="35" fillId="0" borderId="21" xfId="0" applyNumberFormat="1" applyFont="1" applyBorder="1"/>
    <xf numFmtId="37" fontId="35" fillId="0" borderId="21" xfId="0" applyNumberFormat="1" applyFont="1" applyBorder="1"/>
    <xf numFmtId="168" fontId="35" fillId="0" borderId="21" xfId="0" applyNumberFormat="1" applyFont="1" applyBorder="1"/>
    <xf numFmtId="0" fontId="39" fillId="0" borderId="18" xfId="0" applyFont="1" applyBorder="1"/>
    <xf numFmtId="0" fontId="35" fillId="0" borderId="18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8" fillId="0" borderId="19" xfId="0" applyFont="1" applyBorder="1" applyAlignment="1">
      <alignment horizontal="center"/>
    </xf>
    <xf numFmtId="165" fontId="34" fillId="0" borderId="20" xfId="50" applyFont="1" applyBorder="1" applyProtection="1"/>
    <xf numFmtId="0" fontId="37" fillId="0" borderId="24" xfId="0" quotePrefix="1" applyFont="1" applyBorder="1" applyAlignment="1">
      <alignment horizontal="left" vertical="center"/>
    </xf>
    <xf numFmtId="37" fontId="36" fillId="0" borderId="37" xfId="0" applyNumberFormat="1" applyFont="1" applyBorder="1"/>
    <xf numFmtId="0" fontId="34" fillId="0" borderId="38" xfId="0" applyFont="1" applyBorder="1" applyAlignment="1">
      <alignment horizontal="center"/>
    </xf>
    <xf numFmtId="39" fontId="34" fillId="0" borderId="38" xfId="0" applyNumberFormat="1" applyFont="1" applyBorder="1"/>
    <xf numFmtId="168" fontId="34" fillId="0" borderId="38" xfId="0" applyNumberFormat="1" applyFont="1" applyBorder="1"/>
    <xf numFmtId="37" fontId="34" fillId="0" borderId="38" xfId="0" applyNumberFormat="1" applyFont="1" applyBorder="1"/>
    <xf numFmtId="37" fontId="34" fillId="0" borderId="39" xfId="0" applyNumberFormat="1" applyFont="1" applyBorder="1"/>
    <xf numFmtId="0" fontId="51" fillId="0" borderId="0" xfId="0" applyFont="1"/>
    <xf numFmtId="0" fontId="52" fillId="0" borderId="0" xfId="42" applyFont="1" applyAlignment="1">
      <alignment vertical="center"/>
    </xf>
    <xf numFmtId="0" fontId="45" fillId="0" borderId="0" xfId="42" applyFont="1" applyAlignment="1">
      <alignment vertical="center"/>
    </xf>
    <xf numFmtId="0" fontId="54" fillId="34" borderId="40" xfId="0" applyFont="1" applyFill="1" applyBorder="1" applyAlignment="1">
      <alignment horizontal="center" vertical="center"/>
    </xf>
    <xf numFmtId="0" fontId="54" fillId="34" borderId="41" xfId="0" applyFont="1" applyFill="1" applyBorder="1" applyAlignment="1">
      <alignment horizontal="center" vertical="center"/>
    </xf>
    <xf numFmtId="0" fontId="54" fillId="34" borderId="42" xfId="0" applyFont="1" applyFill="1" applyBorder="1" applyAlignment="1">
      <alignment horizontal="center" vertical="center"/>
    </xf>
    <xf numFmtId="0" fontId="54" fillId="34" borderId="43" xfId="0" applyFont="1" applyFill="1" applyBorder="1" applyAlignment="1">
      <alignment horizontal="center" vertical="center"/>
    </xf>
    <xf numFmtId="0" fontId="54" fillId="34" borderId="44" xfId="0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55" fillId="33" borderId="45" xfId="0" applyFont="1" applyFill="1" applyBorder="1" applyAlignment="1">
      <alignment horizontal="center"/>
    </xf>
    <xf numFmtId="0" fontId="55" fillId="33" borderId="46" xfId="0" applyFont="1" applyFill="1" applyBorder="1"/>
    <xf numFmtId="3" fontId="58" fillId="33" borderId="50" xfId="0" applyNumberFormat="1" applyFont="1" applyFill="1" applyBorder="1"/>
    <xf numFmtId="3" fontId="55" fillId="33" borderId="48" xfId="0" applyNumberFormat="1" applyFont="1" applyFill="1" applyBorder="1"/>
    <xf numFmtId="3" fontId="60" fillId="33" borderId="49" xfId="0" applyNumberFormat="1" applyFont="1" applyFill="1" applyBorder="1"/>
    <xf numFmtId="3" fontId="60" fillId="33" borderId="51" xfId="0" applyNumberFormat="1" applyFont="1" applyFill="1" applyBorder="1"/>
    <xf numFmtId="0" fontId="55" fillId="33" borderId="52" xfId="0" applyFont="1" applyFill="1" applyBorder="1" applyAlignment="1">
      <alignment horizontal="center"/>
    </xf>
    <xf numFmtId="0" fontId="55" fillId="33" borderId="53" xfId="0" applyFont="1" applyFill="1" applyBorder="1"/>
    <xf numFmtId="3" fontId="58" fillId="33" borderId="54" xfId="0" applyNumberFormat="1" applyFont="1" applyFill="1" applyBorder="1"/>
    <xf numFmtId="3" fontId="58" fillId="33" borderId="55" xfId="0" applyNumberFormat="1" applyFont="1" applyFill="1" applyBorder="1"/>
    <xf numFmtId="3" fontId="58" fillId="33" borderId="48" xfId="0" applyNumberFormat="1" applyFont="1" applyFill="1" applyBorder="1"/>
    <xf numFmtId="3" fontId="58" fillId="33" borderId="56" xfId="0" applyNumberFormat="1" applyFont="1" applyFill="1" applyBorder="1"/>
    <xf numFmtId="0" fontId="34" fillId="0" borderId="57" xfId="0" applyFont="1" applyBorder="1"/>
    <xf numFmtId="37" fontId="35" fillId="0" borderId="58" xfId="0" applyNumberFormat="1" applyFont="1" applyBorder="1"/>
    <xf numFmtId="0" fontId="35" fillId="33" borderId="58" xfId="0" applyFont="1" applyFill="1" applyBorder="1"/>
    <xf numFmtId="0" fontId="35" fillId="33" borderId="58" xfId="0" applyFont="1" applyFill="1" applyBorder="1" applyAlignment="1">
      <alignment horizontal="center"/>
    </xf>
    <xf numFmtId="168" fontId="35" fillId="33" borderId="58" xfId="0" applyNumberFormat="1" applyFont="1" applyFill="1" applyBorder="1"/>
    <xf numFmtId="0" fontId="47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166" fontId="62" fillId="0" borderId="0" xfId="0" applyNumberFormat="1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64" fillId="0" borderId="0" xfId="0" quotePrefix="1" applyFont="1" applyAlignment="1">
      <alignment horizontal="left" vertical="center"/>
    </xf>
    <xf numFmtId="0" fontId="65" fillId="0" borderId="0" xfId="0" applyFont="1"/>
    <xf numFmtId="3" fontId="66" fillId="0" borderId="0" xfId="0" applyNumberFormat="1" applyFont="1" applyAlignment="1">
      <alignment vertical="center"/>
    </xf>
    <xf numFmtId="3" fontId="63" fillId="0" borderId="0" xfId="0" applyNumberFormat="1" applyFont="1" applyAlignment="1">
      <alignment vertical="center"/>
    </xf>
    <xf numFmtId="166" fontId="63" fillId="0" borderId="0" xfId="0" applyNumberFormat="1" applyFont="1" applyAlignment="1">
      <alignment horizontal="center" vertical="center"/>
    </xf>
    <xf numFmtId="0" fontId="28" fillId="0" borderId="0" xfId="0" applyFont="1"/>
    <xf numFmtId="39" fontId="28" fillId="0" borderId="68" xfId="0" applyNumberFormat="1" applyFont="1" applyBorder="1"/>
    <xf numFmtId="0" fontId="28" fillId="0" borderId="25" xfId="0" applyFont="1" applyBorder="1"/>
    <xf numFmtId="37" fontId="69" fillId="0" borderId="25" xfId="0" applyNumberFormat="1" applyFont="1" applyBorder="1" applyAlignment="1">
      <alignment horizontal="center"/>
    </xf>
    <xf numFmtId="37" fontId="69" fillId="0" borderId="69" xfId="0" applyNumberFormat="1" applyFont="1" applyBorder="1" applyAlignment="1">
      <alignment horizontal="center"/>
    </xf>
    <xf numFmtId="0" fontId="39" fillId="0" borderId="71" xfId="0" applyFont="1" applyBorder="1"/>
    <xf numFmtId="39" fontId="35" fillId="0" borderId="72" xfId="0" applyNumberFormat="1" applyFont="1" applyBorder="1" applyAlignment="1">
      <alignment horizontal="center"/>
    </xf>
    <xf numFmtId="169" fontId="35" fillId="0" borderId="73" xfId="70" applyNumberFormat="1" applyFont="1" applyBorder="1" applyProtection="1"/>
    <xf numFmtId="0" fontId="35" fillId="0" borderId="72" xfId="0" applyFont="1" applyBorder="1"/>
    <xf numFmtId="166" fontId="35" fillId="0" borderId="73" xfId="70" applyFont="1" applyBorder="1" applyProtection="1"/>
    <xf numFmtId="166" fontId="35" fillId="0" borderId="74" xfId="70" applyFont="1" applyBorder="1" applyProtection="1"/>
    <xf numFmtId="0" fontId="34" fillId="0" borderId="75" xfId="0" applyFont="1" applyBorder="1" applyAlignment="1">
      <alignment horizontal="right"/>
    </xf>
    <xf numFmtId="166" fontId="39" fillId="0" borderId="76" xfId="70" applyFont="1" applyBorder="1" applyProtection="1"/>
    <xf numFmtId="0" fontId="35" fillId="0" borderId="72" xfId="0" applyFont="1" applyBorder="1" applyAlignment="1">
      <alignment horizontal="center"/>
    </xf>
    <xf numFmtId="168" fontId="35" fillId="0" borderId="72" xfId="0" applyNumberFormat="1" applyFont="1" applyBorder="1"/>
    <xf numFmtId="168" fontId="35" fillId="0" borderId="75" xfId="0" applyNumberFormat="1" applyFont="1" applyBorder="1"/>
    <xf numFmtId="166" fontId="35" fillId="0" borderId="77" xfId="70" applyFont="1" applyBorder="1" applyProtection="1"/>
    <xf numFmtId="166" fontId="35" fillId="0" borderId="78" xfId="70" applyFont="1" applyBorder="1" applyProtection="1"/>
    <xf numFmtId="0" fontId="35" fillId="0" borderId="75" xfId="0" applyFont="1" applyBorder="1" applyAlignment="1">
      <alignment horizontal="center"/>
    </xf>
    <xf numFmtId="166" fontId="39" fillId="0" borderId="79" xfId="70" applyFont="1" applyBorder="1" applyProtection="1"/>
    <xf numFmtId="166" fontId="35" fillId="0" borderId="80" xfId="70" applyFont="1" applyBorder="1" applyProtection="1"/>
    <xf numFmtId="166" fontId="39" fillId="0" borderId="77" xfId="70" applyFont="1" applyBorder="1" applyProtection="1"/>
    <xf numFmtId="0" fontId="34" fillId="0" borderId="81" xfId="0" applyFont="1" applyBorder="1" applyAlignment="1">
      <alignment horizontal="right"/>
    </xf>
    <xf numFmtId="0" fontId="70" fillId="0" borderId="0" xfId="0" applyFont="1" applyAlignment="1">
      <alignment vertical="center"/>
    </xf>
    <xf numFmtId="39" fontId="35" fillId="0" borderId="75" xfId="0" applyNumberFormat="1" applyFont="1" applyBorder="1" applyAlignment="1">
      <alignment horizontal="center"/>
    </xf>
    <xf numFmtId="39" fontId="35" fillId="0" borderId="75" xfId="0" applyNumberFormat="1" applyFont="1" applyBorder="1"/>
    <xf numFmtId="167" fontId="35" fillId="0" borderId="77" xfId="0" applyNumberFormat="1" applyFont="1" applyBorder="1"/>
    <xf numFmtId="0" fontId="35" fillId="0" borderId="84" xfId="0" applyFont="1" applyBorder="1" applyAlignment="1">
      <alignment horizontal="center"/>
    </xf>
    <xf numFmtId="39" fontId="35" fillId="0" borderId="84" xfId="0" applyNumberFormat="1" applyFont="1" applyBorder="1"/>
    <xf numFmtId="168" fontId="35" fillId="0" borderId="84" xfId="0" applyNumberFormat="1" applyFont="1" applyBorder="1"/>
    <xf numFmtId="37" fontId="35" fillId="0" borderId="84" xfId="0" applyNumberFormat="1" applyFont="1" applyBorder="1"/>
    <xf numFmtId="167" fontId="35" fillId="0" borderId="85" xfId="0" applyNumberFormat="1" applyFont="1" applyBorder="1"/>
    <xf numFmtId="0" fontId="68" fillId="0" borderId="0" xfId="0" applyFont="1"/>
    <xf numFmtId="0" fontId="68" fillId="0" borderId="0" xfId="0" applyFont="1" applyAlignment="1">
      <alignment horizontal="center"/>
    </xf>
    <xf numFmtId="39" fontId="68" fillId="0" borderId="0" xfId="0" applyNumberFormat="1" applyFont="1"/>
    <xf numFmtId="168" fontId="68" fillId="0" borderId="0" xfId="0" applyNumberFormat="1" applyFont="1"/>
    <xf numFmtId="37" fontId="68" fillId="0" borderId="0" xfId="0" applyNumberFormat="1" applyFont="1"/>
    <xf numFmtId="167" fontId="68" fillId="0" borderId="0" xfId="0" applyNumberFormat="1" applyFont="1"/>
    <xf numFmtId="172" fontId="62" fillId="0" borderId="0" xfId="0" applyNumberFormat="1" applyFont="1" applyAlignment="1">
      <alignment vertical="center"/>
    </xf>
    <xf numFmtId="166" fontId="27" fillId="0" borderId="0" xfId="0" applyNumberFormat="1" applyFont="1" applyAlignment="1">
      <alignment vertical="center"/>
    </xf>
    <xf numFmtId="166" fontId="72" fillId="0" borderId="0" xfId="0" applyNumberFormat="1" applyFont="1" applyAlignment="1">
      <alignment vertical="center"/>
    </xf>
    <xf numFmtId="37" fontId="67" fillId="34" borderId="61" xfId="0" applyNumberFormat="1" applyFont="1" applyFill="1" applyBorder="1" applyAlignment="1">
      <alignment horizontal="center"/>
    </xf>
    <xf numFmtId="37" fontId="67" fillId="34" borderId="62" xfId="0" applyNumberFormat="1" applyFont="1" applyFill="1" applyBorder="1" applyAlignment="1">
      <alignment horizontal="center"/>
    </xf>
    <xf numFmtId="37" fontId="68" fillId="34" borderId="65" xfId="0" applyNumberFormat="1" applyFont="1" applyFill="1" applyBorder="1" applyAlignment="1">
      <alignment horizontal="center"/>
    </xf>
    <xf numFmtId="37" fontId="68" fillId="34" borderId="66" xfId="0" applyNumberFormat="1" applyFont="1" applyFill="1" applyBorder="1" applyAlignment="1">
      <alignment horizontal="center"/>
    </xf>
    <xf numFmtId="0" fontId="55" fillId="33" borderId="88" xfId="0" applyFont="1" applyFill="1" applyBorder="1"/>
    <xf numFmtId="0" fontId="55" fillId="33" borderId="87" xfId="0" applyFont="1" applyFill="1" applyBorder="1" applyAlignment="1">
      <alignment horizontal="right"/>
    </xf>
    <xf numFmtId="0" fontId="55" fillId="33" borderId="89" xfId="0" applyFont="1" applyFill="1" applyBorder="1" applyAlignment="1">
      <alignment horizontal="center"/>
    </xf>
    <xf numFmtId="166" fontId="55" fillId="33" borderId="89" xfId="43" applyFont="1" applyFill="1" applyBorder="1" applyAlignment="1">
      <alignment horizontal="center"/>
    </xf>
    <xf numFmtId="3" fontId="55" fillId="33" borderId="71" xfId="0" applyNumberFormat="1" applyFont="1" applyFill="1" applyBorder="1"/>
    <xf numFmtId="3" fontId="60" fillId="33" borderId="90" xfId="0" applyNumberFormat="1" applyFont="1" applyFill="1" applyBorder="1"/>
    <xf numFmtId="3" fontId="58" fillId="33" borderId="71" xfId="0" applyNumberFormat="1" applyFont="1" applyFill="1" applyBorder="1"/>
    <xf numFmtId="0" fontId="55" fillId="33" borderId="82" xfId="0" applyFont="1" applyFill="1" applyBorder="1"/>
    <xf numFmtId="0" fontId="55" fillId="33" borderId="86" xfId="0" applyFont="1" applyFill="1" applyBorder="1" applyAlignment="1">
      <alignment horizontal="right"/>
    </xf>
    <xf numFmtId="0" fontId="55" fillId="33" borderId="91" xfId="0" applyFont="1" applyFill="1" applyBorder="1" applyAlignment="1">
      <alignment horizontal="center"/>
    </xf>
    <xf numFmtId="0" fontId="50" fillId="33" borderId="86" xfId="0" quotePrefix="1" applyFont="1" applyFill="1" applyBorder="1" applyAlignment="1">
      <alignment horizontal="left" vertical="center"/>
    </xf>
    <xf numFmtId="0" fontId="56" fillId="33" borderId="82" xfId="0" quotePrefix="1" applyFont="1" applyFill="1" applyBorder="1" applyAlignment="1">
      <alignment vertical="center"/>
    </xf>
    <xf numFmtId="0" fontId="56" fillId="33" borderId="86" xfId="0" quotePrefix="1" applyFont="1" applyFill="1" applyBorder="1" applyAlignment="1">
      <alignment vertical="center"/>
    </xf>
    <xf numFmtId="0" fontId="56" fillId="33" borderId="86" xfId="0" applyFont="1" applyFill="1" applyBorder="1" applyAlignment="1">
      <alignment horizontal="left" vertical="center"/>
    </xf>
    <xf numFmtId="0" fontId="56" fillId="33" borderId="86" xfId="0" applyFont="1" applyFill="1" applyBorder="1" applyAlignment="1">
      <alignment vertical="center"/>
    </xf>
    <xf numFmtId="0" fontId="57" fillId="33" borderId="86" xfId="0" quotePrefix="1" applyFont="1" applyFill="1" applyBorder="1" applyAlignment="1">
      <alignment horizontal="left" vertical="center"/>
    </xf>
    <xf numFmtId="0" fontId="55" fillId="33" borderId="92" xfId="0" applyFont="1" applyFill="1" applyBorder="1" applyAlignment="1">
      <alignment horizontal="center"/>
    </xf>
    <xf numFmtId="0" fontId="73" fillId="0" borderId="0" xfId="0" applyFont="1" applyAlignment="1">
      <alignment vertical="center"/>
    </xf>
    <xf numFmtId="0" fontId="74" fillId="0" borderId="0" xfId="0" applyFont="1" applyAlignment="1">
      <alignment vertical="center"/>
    </xf>
    <xf numFmtId="166" fontId="74" fillId="0" borderId="0" xfId="0" applyNumberFormat="1" applyFont="1" applyAlignment="1">
      <alignment vertical="center"/>
    </xf>
    <xf numFmtId="0" fontId="75" fillId="0" borderId="0" xfId="0" applyFont="1" applyAlignment="1">
      <alignment vertical="center"/>
    </xf>
    <xf numFmtId="37" fontId="35" fillId="33" borderId="58" xfId="0" applyNumberFormat="1" applyFont="1" applyFill="1" applyBorder="1"/>
    <xf numFmtId="168" fontId="35" fillId="0" borderId="58" xfId="0" applyNumberFormat="1" applyFont="1" applyBorder="1"/>
    <xf numFmtId="0" fontId="34" fillId="0" borderId="58" xfId="0" applyFont="1" applyBorder="1" applyAlignment="1">
      <alignment horizontal="right"/>
    </xf>
    <xf numFmtId="0" fontId="34" fillId="0" borderId="58" xfId="0" applyFont="1" applyBorder="1" applyAlignment="1">
      <alignment horizontal="center"/>
    </xf>
    <xf numFmtId="0" fontId="56" fillId="33" borderId="71" xfId="0" applyFont="1" applyFill="1" applyBorder="1" applyAlignment="1">
      <alignment horizontal="center" vertical="center"/>
    </xf>
    <xf numFmtId="166" fontId="1" fillId="33" borderId="71" xfId="43" applyFont="1" applyFill="1" applyBorder="1"/>
    <xf numFmtId="3" fontId="55" fillId="33" borderId="90" xfId="0" applyNumberFormat="1" applyFont="1" applyFill="1" applyBorder="1"/>
    <xf numFmtId="0" fontId="57" fillId="33" borderId="71" xfId="0" applyFont="1" applyFill="1" applyBorder="1" applyAlignment="1">
      <alignment horizontal="center" vertical="center"/>
    </xf>
    <xf numFmtId="3" fontId="58" fillId="33" borderId="90" xfId="0" applyNumberFormat="1" applyFont="1" applyFill="1" applyBorder="1"/>
    <xf numFmtId="166" fontId="5" fillId="33" borderId="71" xfId="43" applyFont="1" applyFill="1" applyBorder="1"/>
    <xf numFmtId="167" fontId="58" fillId="33" borderId="71" xfId="0" applyNumberFormat="1" applyFont="1" applyFill="1" applyBorder="1"/>
    <xf numFmtId="0" fontId="55" fillId="33" borderId="94" xfId="0" applyFont="1" applyFill="1" applyBorder="1" applyAlignment="1">
      <alignment horizontal="right"/>
    </xf>
    <xf numFmtId="0" fontId="55" fillId="33" borderId="95" xfId="0" applyFont="1" applyFill="1" applyBorder="1" applyAlignment="1">
      <alignment horizontal="center"/>
    </xf>
    <xf numFmtId="166" fontId="55" fillId="33" borderId="95" xfId="43" applyFont="1" applyFill="1" applyBorder="1" applyAlignment="1">
      <alignment horizontal="center"/>
    </xf>
    <xf numFmtId="3" fontId="55" fillId="33" borderId="89" xfId="0" applyNumberFormat="1" applyFont="1" applyFill="1" applyBorder="1"/>
    <xf numFmtId="0" fontId="55" fillId="33" borderId="71" xfId="0" applyFont="1" applyFill="1" applyBorder="1" applyAlignment="1">
      <alignment horizontal="center"/>
    </xf>
    <xf numFmtId="166" fontId="55" fillId="33" borderId="71" xfId="43" applyFont="1" applyFill="1" applyBorder="1" applyAlignment="1">
      <alignment horizontal="center"/>
    </xf>
    <xf numFmtId="0" fontId="80" fillId="0" borderId="0" xfId="0" applyFont="1" applyAlignment="1">
      <alignment horizontal="left"/>
    </xf>
    <xf numFmtId="0" fontId="81" fillId="0" borderId="0" xfId="0" applyFont="1"/>
    <xf numFmtId="0" fontId="37" fillId="0" borderId="96" xfId="0" applyFont="1" applyBorder="1" applyAlignment="1">
      <alignment vertical="center"/>
    </xf>
    <xf numFmtId="0" fontId="63" fillId="0" borderId="96" xfId="0" applyFont="1" applyBorder="1" applyAlignment="1">
      <alignment vertical="center"/>
    </xf>
    <xf numFmtId="166" fontId="63" fillId="0" borderId="96" xfId="0" applyNumberFormat="1" applyFont="1" applyBorder="1" applyAlignment="1">
      <alignment horizontal="center" vertical="center"/>
    </xf>
    <xf numFmtId="0" fontId="63" fillId="0" borderId="96" xfId="0" applyFont="1" applyBorder="1" applyAlignment="1">
      <alignment horizontal="center" vertical="center"/>
    </xf>
    <xf numFmtId="0" fontId="28" fillId="33" borderId="67" xfId="0" applyFont="1" applyFill="1" applyBorder="1"/>
    <xf numFmtId="0" fontId="35" fillId="33" borderId="70" xfId="0" applyFont="1" applyFill="1" applyBorder="1" applyAlignment="1">
      <alignment horizontal="center"/>
    </xf>
    <xf numFmtId="0" fontId="35" fillId="33" borderId="70" xfId="0" applyFont="1" applyFill="1" applyBorder="1"/>
    <xf numFmtId="0" fontId="37" fillId="0" borderId="71" xfId="0" applyFont="1" applyBorder="1" applyAlignment="1">
      <alignment horizontal="left" vertical="center"/>
    </xf>
    <xf numFmtId="0" fontId="35" fillId="33" borderId="82" xfId="0" applyFont="1" applyFill="1" applyBorder="1" applyAlignment="1">
      <alignment horizontal="center"/>
    </xf>
    <xf numFmtId="0" fontId="35" fillId="33" borderId="71" xfId="0" applyFont="1" applyFill="1" applyBorder="1" applyAlignment="1">
      <alignment horizontal="center"/>
    </xf>
    <xf numFmtId="0" fontId="62" fillId="33" borderId="82" xfId="0" applyFont="1" applyFill="1" applyBorder="1" applyAlignment="1">
      <alignment horizontal="center" vertical="center"/>
    </xf>
    <xf numFmtId="0" fontId="35" fillId="33" borderId="83" xfId="0" applyFont="1" applyFill="1" applyBorder="1"/>
    <xf numFmtId="0" fontId="39" fillId="0" borderId="0" xfId="0" quotePrefix="1" applyFont="1" applyAlignment="1">
      <alignment vertical="center"/>
    </xf>
    <xf numFmtId="0" fontId="55" fillId="0" borderId="91" xfId="0" applyFont="1" applyBorder="1" applyAlignment="1">
      <alignment horizontal="center"/>
    </xf>
    <xf numFmtId="0" fontId="55" fillId="0" borderId="82" xfId="0" applyFont="1" applyBorder="1"/>
    <xf numFmtId="0" fontId="55" fillId="0" borderId="71" xfId="0" applyFont="1" applyBorder="1"/>
    <xf numFmtId="0" fontId="55" fillId="0" borderId="90" xfId="0" applyFont="1" applyBorder="1"/>
    <xf numFmtId="3" fontId="58" fillId="0" borderId="90" xfId="0" applyNumberFormat="1" applyFont="1" applyBorder="1"/>
    <xf numFmtId="0" fontId="56" fillId="33" borderId="86" xfId="0" quotePrefix="1" applyFont="1" applyFill="1" applyBorder="1" applyAlignment="1">
      <alignment horizontal="left" vertical="center"/>
    </xf>
    <xf numFmtId="166" fontId="59" fillId="33" borderId="71" xfId="0" applyNumberFormat="1" applyFont="1" applyFill="1" applyBorder="1" applyAlignment="1">
      <alignment vertical="center"/>
    </xf>
    <xf numFmtId="167" fontId="58" fillId="0" borderId="71" xfId="43" applyNumberFormat="1" applyFont="1" applyBorder="1"/>
    <xf numFmtId="0" fontId="55" fillId="33" borderId="98" xfId="0" applyFont="1" applyFill="1" applyBorder="1" applyAlignment="1">
      <alignment horizontal="center"/>
    </xf>
    <xf numFmtId="0" fontId="55" fillId="33" borderId="99" xfId="0" applyFont="1" applyFill="1" applyBorder="1"/>
    <xf numFmtId="3" fontId="55" fillId="33" borderId="95" xfId="0" applyNumberFormat="1" applyFont="1" applyFill="1" applyBorder="1"/>
    <xf numFmtId="167" fontId="44" fillId="33" borderId="71" xfId="0" applyNumberFormat="1" applyFont="1" applyFill="1" applyBorder="1" applyAlignment="1">
      <alignment vertical="center"/>
    </xf>
    <xf numFmtId="167" fontId="35" fillId="33" borderId="93" xfId="51" applyNumberFormat="1" applyFont="1" applyFill="1" applyBorder="1"/>
    <xf numFmtId="3" fontId="82" fillId="33" borderId="90" xfId="0" applyNumberFormat="1" applyFont="1" applyFill="1" applyBorder="1"/>
    <xf numFmtId="0" fontId="56" fillId="33" borderId="89" xfId="0" applyFont="1" applyFill="1" applyBorder="1" applyAlignment="1">
      <alignment horizontal="center" vertical="center"/>
    </xf>
    <xf numFmtId="166" fontId="1" fillId="33" borderId="89" xfId="43" applyFont="1" applyFill="1" applyBorder="1"/>
    <xf numFmtId="3" fontId="55" fillId="33" borderId="55" xfId="0" applyNumberFormat="1" applyFont="1" applyFill="1" applyBorder="1"/>
    <xf numFmtId="3" fontId="82" fillId="33" borderId="55" xfId="0" applyNumberFormat="1" applyFont="1" applyFill="1" applyBorder="1"/>
    <xf numFmtId="0" fontId="55" fillId="33" borderId="47" xfId="0" applyFont="1" applyFill="1" applyBorder="1" applyAlignment="1">
      <alignment horizontal="right"/>
    </xf>
    <xf numFmtId="0" fontId="55" fillId="33" borderId="48" xfId="0" applyFont="1" applyFill="1" applyBorder="1" applyAlignment="1">
      <alignment horizontal="center"/>
    </xf>
    <xf numFmtId="166" fontId="55" fillId="33" borderId="48" xfId="43" applyFont="1" applyFill="1" applyBorder="1" applyAlignment="1">
      <alignment horizontal="center"/>
    </xf>
    <xf numFmtId="3" fontId="82" fillId="33" borderId="49" xfId="0" applyNumberFormat="1" applyFont="1" applyFill="1" applyBorder="1"/>
    <xf numFmtId="0" fontId="35" fillId="0" borderId="57" xfId="0" applyFont="1" applyBorder="1" applyAlignment="1">
      <alignment horizontal="center"/>
    </xf>
    <xf numFmtId="39" fontId="34" fillId="0" borderId="58" xfId="0" applyNumberFormat="1" applyFont="1" applyBorder="1"/>
    <xf numFmtId="0" fontId="34" fillId="0" borderId="58" xfId="0" applyFont="1" applyBorder="1"/>
    <xf numFmtId="39" fontId="35" fillId="0" borderId="58" xfId="0" applyNumberFormat="1" applyFont="1" applyBorder="1"/>
    <xf numFmtId="0" fontId="36" fillId="0" borderId="58" xfId="0" applyFont="1" applyBorder="1" applyAlignment="1">
      <alignment horizontal="left"/>
    </xf>
    <xf numFmtId="0" fontId="35" fillId="0" borderId="58" xfId="0" applyFont="1" applyBorder="1"/>
    <xf numFmtId="39" fontId="35" fillId="0" borderId="58" xfId="0" applyNumberFormat="1" applyFont="1" applyBorder="1" applyAlignment="1">
      <alignment horizontal="center"/>
    </xf>
    <xf numFmtId="166" fontId="35" fillId="0" borderId="58" xfId="43" applyFont="1" applyBorder="1" applyProtection="1"/>
    <xf numFmtId="0" fontId="35" fillId="0" borderId="58" xfId="0" applyFont="1" applyBorder="1" applyAlignment="1">
      <alignment horizontal="center"/>
    </xf>
    <xf numFmtId="0" fontId="36" fillId="0" borderId="58" xfId="0" applyFont="1" applyBorder="1"/>
    <xf numFmtId="37" fontId="35" fillId="0" borderId="101" xfId="0" applyNumberFormat="1" applyFont="1" applyBorder="1"/>
    <xf numFmtId="173" fontId="27" fillId="0" borderId="0" xfId="0" applyNumberFormat="1" applyFont="1" applyAlignment="1">
      <alignment vertical="center"/>
    </xf>
    <xf numFmtId="166" fontId="35" fillId="0" borderId="72" xfId="70" applyFont="1" applyFill="1" applyBorder="1" applyProtection="1"/>
    <xf numFmtId="166" fontId="35" fillId="0" borderId="70" xfId="70" applyFont="1" applyFill="1" applyBorder="1" applyProtection="1"/>
    <xf numFmtId="166" fontId="35" fillId="0" borderId="72" xfId="70" applyFont="1" applyFill="1" applyBorder="1" applyAlignment="1" applyProtection="1"/>
    <xf numFmtId="169" fontId="35" fillId="0" borderId="72" xfId="70" applyNumberFormat="1" applyFont="1" applyFill="1" applyBorder="1" applyProtection="1"/>
    <xf numFmtId="0" fontId="85" fillId="0" borderId="0" xfId="0" applyFont="1" applyAlignment="1">
      <alignment vertical="center"/>
    </xf>
    <xf numFmtId="0" fontId="35" fillId="0" borderId="70" xfId="0" applyFont="1" applyBorder="1" applyAlignment="1">
      <alignment horizontal="center"/>
    </xf>
    <xf numFmtId="37" fontId="35" fillId="0" borderId="75" xfId="0" applyNumberFormat="1" applyFont="1" applyBorder="1"/>
    <xf numFmtId="37" fontId="35" fillId="0" borderId="72" xfId="0" applyNumberFormat="1" applyFont="1" applyBorder="1"/>
    <xf numFmtId="166" fontId="35" fillId="0" borderId="77" xfId="70" applyFont="1" applyFill="1" applyBorder="1" applyProtection="1"/>
    <xf numFmtId="166" fontId="35" fillId="0" borderId="78" xfId="70" applyFont="1" applyFill="1" applyBorder="1" applyProtection="1"/>
    <xf numFmtId="166" fontId="39" fillId="0" borderId="76" xfId="70" applyFont="1" applyFill="1" applyBorder="1" applyProtection="1"/>
    <xf numFmtId="0" fontId="76" fillId="0" borderId="0" xfId="0" applyFont="1" applyAlignment="1">
      <alignment wrapText="1"/>
    </xf>
    <xf numFmtId="167" fontId="76" fillId="0" borderId="0" xfId="43" applyNumberFormat="1" applyFont="1" applyAlignment="1">
      <alignment wrapText="1"/>
    </xf>
    <xf numFmtId="0" fontId="77" fillId="0" borderId="0" xfId="0" applyFont="1" applyAlignment="1">
      <alignment wrapText="1"/>
    </xf>
    <xf numFmtId="167" fontId="77" fillId="0" borderId="0" xfId="43" applyNumberFormat="1" applyFont="1" applyAlignment="1">
      <alignment wrapText="1"/>
    </xf>
    <xf numFmtId="167" fontId="77" fillId="35" borderId="0" xfId="43" applyNumberFormat="1" applyFont="1" applyFill="1" applyAlignment="1">
      <alignment wrapText="1"/>
    </xf>
    <xf numFmtId="0" fontId="0" fillId="0" borderId="0" xfId="0" applyAlignment="1">
      <alignment wrapText="1"/>
    </xf>
    <xf numFmtId="0" fontId="86" fillId="0" borderId="0" xfId="0" applyFont="1" applyAlignment="1">
      <alignment wrapText="1"/>
    </xf>
    <xf numFmtId="167" fontId="16" fillId="0" borderId="0" xfId="43" applyNumberFormat="1" applyFont="1"/>
    <xf numFmtId="167" fontId="0" fillId="0" borderId="0" xfId="43" applyNumberFormat="1" applyFont="1"/>
    <xf numFmtId="0" fontId="87" fillId="0" borderId="0" xfId="0" applyFont="1"/>
    <xf numFmtId="0" fontId="88" fillId="0" borderId="0" xfId="0" applyFont="1" applyAlignment="1">
      <alignment vertical="center"/>
    </xf>
    <xf numFmtId="0" fontId="88" fillId="0" borderId="0" xfId="0" applyFont="1"/>
    <xf numFmtId="0" fontId="89" fillId="0" borderId="0" xfId="0" applyFont="1"/>
    <xf numFmtId="0" fontId="90" fillId="0" borderId="0" xfId="0" applyFont="1" applyAlignment="1">
      <alignment vertical="center"/>
    </xf>
    <xf numFmtId="0" fontId="91" fillId="0" borderId="0" xfId="0" applyFont="1"/>
    <xf numFmtId="0" fontId="92" fillId="0" borderId="0" xfId="0" applyFont="1" applyAlignment="1">
      <alignment horizontal="left" vertical="center"/>
    </xf>
    <xf numFmtId="0" fontId="78" fillId="0" borderId="0" xfId="0" applyFont="1"/>
    <xf numFmtId="0" fontId="93" fillId="0" borderId="0" xfId="0" applyFont="1"/>
    <xf numFmtId="0" fontId="88" fillId="0" borderId="0" xfId="0" applyFont="1" applyAlignment="1">
      <alignment horizontal="center"/>
    </xf>
    <xf numFmtId="0" fontId="94" fillId="0" borderId="21" xfId="0" applyFont="1" applyBorder="1" applyAlignment="1">
      <alignment horizontal="center" vertical="center"/>
    </xf>
    <xf numFmtId="0" fontId="94" fillId="0" borderId="102" xfId="0" applyFont="1" applyBorder="1" applyAlignment="1">
      <alignment vertical="center"/>
    </xf>
    <xf numFmtId="0" fontId="94" fillId="0" borderId="103" xfId="0" applyFont="1" applyBorder="1" applyAlignment="1">
      <alignment vertical="center"/>
    </xf>
    <xf numFmtId="0" fontId="94" fillId="0" borderId="58" xfId="0" applyFont="1" applyBorder="1" applyAlignment="1">
      <alignment horizontal="center" vertical="center"/>
    </xf>
    <xf numFmtId="0" fontId="79" fillId="0" borderId="0" xfId="0" applyFont="1"/>
    <xf numFmtId="0" fontId="88" fillId="0" borderId="104" xfId="0" applyFont="1" applyBorder="1" applyAlignment="1">
      <alignment horizontal="center"/>
    </xf>
    <xf numFmtId="0" fontId="88" fillId="0" borderId="105" xfId="0" applyFont="1" applyBorder="1"/>
    <xf numFmtId="0" fontId="88" fillId="0" borderId="106" xfId="0" applyFont="1" applyBorder="1"/>
    <xf numFmtId="167" fontId="88" fillId="0" borderId="107" xfId="43" applyNumberFormat="1" applyFont="1" applyBorder="1" applyProtection="1"/>
    <xf numFmtId="167" fontId="88" fillId="0" borderId="104" xfId="43" applyNumberFormat="1" applyFont="1" applyBorder="1" applyProtection="1"/>
    <xf numFmtId="0" fontId="88" fillId="0" borderId="100" xfId="0" applyFont="1" applyBorder="1" applyAlignment="1">
      <alignment horizontal="center"/>
    </xf>
    <xf numFmtId="0" fontId="88" fillId="0" borderId="108" xfId="0" applyFont="1" applyBorder="1"/>
    <xf numFmtId="0" fontId="88" fillId="0" borderId="109" xfId="0" applyFont="1" applyBorder="1"/>
    <xf numFmtId="0" fontId="88" fillId="0" borderId="110" xfId="0" applyFont="1" applyBorder="1"/>
    <xf numFmtId="167" fontId="88" fillId="0" borderId="100" xfId="43" applyNumberFormat="1" applyFont="1" applyBorder="1" applyProtection="1"/>
    <xf numFmtId="10" fontId="78" fillId="0" borderId="0" xfId="108" applyNumberFormat="1" applyFont="1"/>
    <xf numFmtId="167" fontId="78" fillId="0" borderId="0" xfId="108" applyNumberFormat="1" applyFont="1"/>
    <xf numFmtId="39" fontId="88" fillId="0" borderId="100" xfId="0" applyNumberFormat="1" applyFont="1" applyBorder="1" applyAlignment="1">
      <alignment horizontal="center"/>
    </xf>
    <xf numFmtId="0" fontId="88" fillId="0" borderId="109" xfId="0" applyFont="1" applyBorder="1" applyAlignment="1">
      <alignment horizontal="left" indent="1"/>
    </xf>
    <xf numFmtId="167" fontId="88" fillId="0" borderId="100" xfId="51" applyNumberFormat="1" applyFont="1" applyBorder="1" applyProtection="1"/>
    <xf numFmtId="167" fontId="91" fillId="0" borderId="0" xfId="0" applyNumberFormat="1" applyFont="1"/>
    <xf numFmtId="0" fontId="88" fillId="0" borderId="111" xfId="0" applyFont="1" applyBorder="1" applyAlignment="1">
      <alignment horizontal="center"/>
    </xf>
    <xf numFmtId="0" fontId="88" fillId="0" borderId="112" xfId="0" applyFont="1" applyBorder="1"/>
    <xf numFmtId="0" fontId="88" fillId="0" borderId="113" xfId="0" applyFont="1" applyBorder="1"/>
    <xf numFmtId="0" fontId="88" fillId="0" borderId="114" xfId="0" applyFont="1" applyBorder="1"/>
    <xf numFmtId="167" fontId="88" fillId="0" borderId="114" xfId="43" applyNumberFormat="1" applyFont="1" applyBorder="1" applyProtection="1"/>
    <xf numFmtId="0" fontId="88" fillId="0" borderId="34" xfId="0" applyFont="1" applyBorder="1" applyAlignment="1">
      <alignment horizontal="center"/>
    </xf>
    <xf numFmtId="0" fontId="88" fillId="0" borderId="115" xfId="0" applyFont="1" applyBorder="1"/>
    <xf numFmtId="0" fontId="88" fillId="0" borderId="116" xfId="0" applyFont="1" applyBorder="1" applyAlignment="1">
      <alignment horizontal="right"/>
    </xf>
    <xf numFmtId="0" fontId="88" fillId="0" borderId="117" xfId="0" applyFont="1" applyBorder="1" applyAlignment="1">
      <alignment horizontal="right"/>
    </xf>
    <xf numFmtId="167" fontId="88" fillId="0" borderId="117" xfId="43" applyNumberFormat="1" applyFont="1" applyBorder="1" applyProtection="1"/>
    <xf numFmtId="0" fontId="88" fillId="0" borderId="68" xfId="0" applyFont="1" applyBorder="1" applyAlignment="1">
      <alignment horizontal="center"/>
    </xf>
    <xf numFmtId="0" fontId="88" fillId="0" borderId="118" xfId="0" applyFont="1" applyBorder="1"/>
    <xf numFmtId="0" fontId="88" fillId="0" borderId="0" xfId="0" applyFont="1" applyAlignment="1">
      <alignment horizontal="right"/>
    </xf>
    <xf numFmtId="0" fontId="88" fillId="0" borderId="25" xfId="0" applyFont="1" applyBorder="1" applyAlignment="1">
      <alignment horizontal="right"/>
    </xf>
    <xf numFmtId="167" fontId="88" fillId="0" borderId="119" xfId="43" applyNumberFormat="1" applyFont="1" applyBorder="1" applyProtection="1"/>
    <xf numFmtId="167" fontId="88" fillId="0" borderId="25" xfId="43" applyNumberFormat="1" applyFont="1" applyBorder="1" applyProtection="1"/>
    <xf numFmtId="167" fontId="95" fillId="0" borderId="25" xfId="43" applyNumberFormat="1" applyFont="1" applyBorder="1" applyProtection="1"/>
    <xf numFmtId="0" fontId="88" fillId="0" borderId="36" xfId="0" applyFont="1" applyBorder="1" applyAlignment="1">
      <alignment horizontal="center"/>
    </xf>
    <xf numFmtId="0" fontId="88" fillId="0" borderId="120" xfId="0" applyFont="1" applyBorder="1"/>
    <xf numFmtId="0" fontId="88" fillId="0" borderId="121" xfId="0" applyFont="1" applyBorder="1" applyAlignment="1">
      <alignment horizontal="right"/>
    </xf>
    <xf numFmtId="0" fontId="88" fillId="0" borderId="122" xfId="0" applyFont="1" applyBorder="1" applyAlignment="1">
      <alignment horizontal="right"/>
    </xf>
    <xf numFmtId="167" fontId="95" fillId="0" borderId="122" xfId="43" applyNumberFormat="1" applyFont="1" applyBorder="1" applyProtection="1"/>
    <xf numFmtId="167" fontId="88" fillId="0" borderId="0" xfId="43" applyNumberFormat="1" applyFont="1" applyBorder="1" applyProtection="1"/>
    <xf numFmtId="0" fontId="88" fillId="33" borderId="0" xfId="0" applyFont="1" applyFill="1"/>
    <xf numFmtId="0" fontId="88" fillId="33" borderId="0" xfId="0" applyFont="1" applyFill="1" applyAlignment="1">
      <alignment horizontal="left"/>
    </xf>
    <xf numFmtId="167" fontId="88" fillId="0" borderId="0" xfId="43" applyNumberFormat="1" applyFont="1"/>
    <xf numFmtId="0" fontId="88" fillId="0" borderId="0" xfId="0" applyFont="1" applyAlignment="1">
      <alignment horizontal="left" vertical="justify" wrapText="1"/>
    </xf>
    <xf numFmtId="4" fontId="84" fillId="33" borderId="0" xfId="0" applyNumberFormat="1" applyFont="1" applyFill="1" applyAlignment="1">
      <alignment vertical="center"/>
    </xf>
    <xf numFmtId="6" fontId="95" fillId="33" borderId="0" xfId="0" applyNumberFormat="1" applyFont="1" applyFill="1" applyAlignment="1">
      <alignment horizontal="left"/>
    </xf>
    <xf numFmtId="0" fontId="88" fillId="0" borderId="0" xfId="0" quotePrefix="1" applyFont="1" applyAlignment="1">
      <alignment horizontal="left" vertical="justify" wrapText="1"/>
    </xf>
    <xf numFmtId="3" fontId="96" fillId="33" borderId="0" xfId="0" applyNumberFormat="1" applyFont="1" applyFill="1" applyAlignment="1">
      <alignment horizontal="left"/>
    </xf>
    <xf numFmtId="0" fontId="97" fillId="33" borderId="0" xfId="0" applyFont="1" applyFill="1" applyAlignment="1">
      <alignment horizontal="left"/>
    </xf>
    <xf numFmtId="0" fontId="88" fillId="33" borderId="0" xfId="0" quotePrefix="1" applyFont="1" applyFill="1" applyAlignment="1">
      <alignment horizontal="left" vertical="justify" wrapText="1"/>
    </xf>
    <xf numFmtId="0" fontId="98" fillId="33" borderId="0" xfId="0" applyFont="1" applyFill="1" applyAlignment="1">
      <alignment horizontal="left"/>
    </xf>
    <xf numFmtId="0" fontId="91" fillId="0" borderId="0" xfId="0" quotePrefix="1" applyFont="1" applyAlignment="1">
      <alignment horizontal="left" vertical="justify" wrapText="1"/>
    </xf>
    <xf numFmtId="0" fontId="99" fillId="0" borderId="0" xfId="0" applyFont="1"/>
    <xf numFmtId="41" fontId="76" fillId="0" borderId="0" xfId="105" applyFont="1" applyAlignment="1">
      <alignment wrapText="1"/>
    </xf>
    <xf numFmtId="167" fontId="78" fillId="0" borderId="0" xfId="0" applyNumberFormat="1" applyFont="1"/>
    <xf numFmtId="0" fontId="14" fillId="0" borderId="0" xfId="0" applyFont="1"/>
    <xf numFmtId="41" fontId="76" fillId="0" borderId="0" xfId="105" applyFont="1" applyFill="1" applyAlignment="1">
      <alignment wrapText="1"/>
    </xf>
    <xf numFmtId="167" fontId="76" fillId="0" borderId="0" xfId="43" applyNumberFormat="1" applyFont="1" applyFill="1" applyAlignment="1">
      <alignment wrapText="1"/>
    </xf>
    <xf numFmtId="2" fontId="76" fillId="0" borderId="0" xfId="0" applyNumberFormat="1" applyFont="1" applyAlignment="1">
      <alignment wrapText="1"/>
    </xf>
    <xf numFmtId="3" fontId="76" fillId="0" borderId="0" xfId="0" applyNumberFormat="1" applyFont="1" applyAlignment="1">
      <alignment wrapText="1"/>
    </xf>
    <xf numFmtId="166" fontId="77" fillId="35" borderId="0" xfId="43" applyFont="1" applyFill="1" applyAlignment="1">
      <alignment wrapText="1"/>
    </xf>
    <xf numFmtId="167" fontId="0" fillId="0" borderId="0" xfId="0" applyNumberFormat="1"/>
    <xf numFmtId="0" fontId="34" fillId="0" borderId="57" xfId="0" applyFont="1" applyBorder="1" applyAlignment="1">
      <alignment horizontal="center"/>
    </xf>
    <xf numFmtId="166" fontId="35" fillId="0" borderId="72" xfId="43" applyFont="1" applyFill="1" applyBorder="1" applyProtection="1"/>
    <xf numFmtId="0" fontId="86" fillId="0" borderId="0" xfId="109" applyFont="1" applyAlignment="1">
      <alignment vertical="center" wrapText="1"/>
    </xf>
    <xf numFmtId="167" fontId="1" fillId="0" borderId="0" xfId="43" applyNumberFormat="1" applyFont="1" applyBorder="1"/>
    <xf numFmtId="167" fontId="77" fillId="0" borderId="0" xfId="43" applyNumberFormat="1" applyFont="1" applyFill="1" applyAlignment="1">
      <alignment wrapText="1"/>
    </xf>
    <xf numFmtId="0" fontId="101" fillId="0" borderId="0" xfId="109" applyFont="1" applyAlignment="1">
      <alignment vertical="center"/>
    </xf>
    <xf numFmtId="4" fontId="76" fillId="0" borderId="0" xfId="109" applyNumberFormat="1" applyFont="1" applyAlignment="1">
      <alignment horizontal="right" vertical="center" wrapText="1"/>
    </xf>
    <xf numFmtId="166" fontId="76" fillId="0" borderId="0" xfId="43" applyFont="1" applyAlignment="1">
      <alignment wrapText="1"/>
    </xf>
    <xf numFmtId="2" fontId="76" fillId="0" borderId="0" xfId="105" applyNumberFormat="1" applyFont="1" applyAlignment="1">
      <alignment wrapText="1"/>
    </xf>
    <xf numFmtId="2" fontId="76" fillId="0" borderId="0" xfId="105" applyNumberFormat="1" applyFont="1" applyFill="1" applyAlignment="1">
      <alignment wrapText="1"/>
    </xf>
    <xf numFmtId="2" fontId="77" fillId="0" borderId="0" xfId="0" applyNumberFormat="1" applyFont="1" applyAlignment="1">
      <alignment wrapText="1"/>
    </xf>
    <xf numFmtId="2" fontId="0" fillId="0" borderId="0" xfId="0" applyNumberFormat="1"/>
    <xf numFmtId="0" fontId="35" fillId="33" borderId="57" xfId="0" applyFont="1" applyFill="1" applyBorder="1" applyAlignment="1">
      <alignment horizontal="center"/>
    </xf>
    <xf numFmtId="0" fontId="39" fillId="0" borderId="123" xfId="0" applyFont="1" applyBorder="1"/>
    <xf numFmtId="168" fontId="35" fillId="0" borderId="123" xfId="0" applyNumberFormat="1" applyFont="1" applyBorder="1"/>
    <xf numFmtId="0" fontId="35" fillId="0" borderId="21" xfId="0" applyFont="1" applyBorder="1"/>
    <xf numFmtId="0" fontId="102" fillId="0" borderId="21" xfId="0" applyFont="1" applyBorder="1"/>
    <xf numFmtId="39" fontId="34" fillId="0" borderId="58" xfId="0" applyNumberFormat="1" applyFont="1" applyBorder="1" applyAlignment="1">
      <alignment horizontal="center"/>
    </xf>
    <xf numFmtId="37" fontId="0" fillId="0" borderId="0" xfId="0" applyNumberFormat="1"/>
    <xf numFmtId="166" fontId="35" fillId="0" borderId="58" xfId="51" applyFont="1" applyFill="1" applyBorder="1" applyProtection="1"/>
    <xf numFmtId="0" fontId="35" fillId="0" borderId="124" xfId="0" applyFont="1" applyBorder="1"/>
    <xf numFmtId="0" fontId="34" fillId="0" borderId="124" xfId="0" applyFont="1" applyBorder="1" applyAlignment="1">
      <alignment horizontal="center"/>
    </xf>
    <xf numFmtId="166" fontId="35" fillId="0" borderId="124" xfId="51" applyFont="1" applyFill="1" applyBorder="1" applyProtection="1"/>
    <xf numFmtId="0" fontId="35" fillId="0" borderId="58" xfId="0" applyFont="1" applyBorder="1" applyAlignment="1">
      <alignment horizontal="right"/>
    </xf>
    <xf numFmtId="37" fontId="39" fillId="0" borderId="11" xfId="0" applyNumberFormat="1" applyFont="1" applyBorder="1"/>
    <xf numFmtId="0" fontId="77" fillId="0" borderId="0" xfId="109" applyFont="1" applyAlignment="1">
      <alignment horizontal="left" vertical="center" wrapText="1"/>
    </xf>
    <xf numFmtId="0" fontId="103" fillId="0" borderId="0" xfId="0" applyFont="1"/>
    <xf numFmtId="41" fontId="76" fillId="0" borderId="0" xfId="105" applyFont="1" applyAlignment="1">
      <alignment horizontal="left" vertical="center" wrapText="1"/>
    </xf>
    <xf numFmtId="0" fontId="76" fillId="0" borderId="0" xfId="109" applyFont="1" applyAlignment="1">
      <alignment horizontal="left" vertical="center" wrapText="1"/>
    </xf>
    <xf numFmtId="0" fontId="76" fillId="0" borderId="0" xfId="109" quotePrefix="1" applyFont="1" applyAlignment="1">
      <alignment horizontal="left" vertical="center" wrapText="1"/>
    </xf>
    <xf numFmtId="0" fontId="76" fillId="0" borderId="0" xfId="109" applyFont="1" applyAlignment="1">
      <alignment horizontal="right" vertical="center" wrapText="1"/>
    </xf>
    <xf numFmtId="1" fontId="76" fillId="0" borderId="0" xfId="0" applyNumberFormat="1" applyFont="1" applyAlignment="1">
      <alignment wrapText="1"/>
    </xf>
    <xf numFmtId="0" fontId="16" fillId="0" borderId="0" xfId="0" applyFont="1"/>
    <xf numFmtId="174" fontId="76" fillId="0" borderId="0" xfId="105" applyNumberFormat="1" applyFont="1" applyFill="1" applyAlignment="1">
      <alignment wrapText="1"/>
    </xf>
    <xf numFmtId="0" fontId="14" fillId="0" borderId="0" xfId="0" quotePrefix="1" applyFont="1"/>
    <xf numFmtId="0" fontId="104" fillId="0" borderId="0" xfId="109" applyFont="1" applyAlignment="1">
      <alignment vertical="center"/>
    </xf>
    <xf numFmtId="41" fontId="101" fillId="0" borderId="0" xfId="105" applyFont="1" applyFill="1" applyAlignment="1">
      <alignment wrapText="1"/>
    </xf>
    <xf numFmtId="2" fontId="101" fillId="0" borderId="0" xfId="0" applyNumberFormat="1" applyFont="1" applyAlignment="1">
      <alignment wrapText="1"/>
    </xf>
    <xf numFmtId="42" fontId="0" fillId="0" borderId="0" xfId="110" applyFont="1"/>
    <xf numFmtId="0" fontId="101" fillId="0" borderId="0" xfId="0" applyFont="1" applyAlignment="1">
      <alignment wrapText="1"/>
    </xf>
    <xf numFmtId="1" fontId="101" fillId="0" borderId="0" xfId="0" applyNumberFormat="1" applyFont="1" applyAlignment="1">
      <alignment wrapText="1"/>
    </xf>
    <xf numFmtId="3" fontId="58" fillId="0" borderId="71" xfId="0" applyNumberFormat="1" applyFont="1" applyBorder="1"/>
    <xf numFmtId="0" fontId="88" fillId="0" borderId="0" xfId="0" applyFont="1" applyAlignment="1">
      <alignment horizontal="left"/>
    </xf>
    <xf numFmtId="166" fontId="78" fillId="0" borderId="0" xfId="43" applyFont="1"/>
    <xf numFmtId="167" fontId="104" fillId="0" borderId="0" xfId="43" applyNumberFormat="1" applyFont="1" applyFill="1" applyAlignment="1">
      <alignment wrapText="1"/>
    </xf>
    <xf numFmtId="167" fontId="104" fillId="0" borderId="0" xfId="43" applyNumberFormat="1" applyFont="1" applyAlignment="1">
      <alignment wrapText="1"/>
    </xf>
    <xf numFmtId="41" fontId="0" fillId="0" borderId="0" xfId="105" applyFont="1"/>
    <xf numFmtId="41" fontId="101" fillId="0" borderId="0" xfId="105" applyFont="1" applyAlignment="1">
      <alignment vertical="center"/>
    </xf>
    <xf numFmtId="41" fontId="103" fillId="0" borderId="0" xfId="105" applyFont="1"/>
    <xf numFmtId="174" fontId="0" fillId="0" borderId="0" xfId="105" applyNumberFormat="1" applyFont="1"/>
    <xf numFmtId="174" fontId="14" fillId="0" borderId="0" xfId="105" applyNumberFormat="1" applyFont="1"/>
    <xf numFmtId="174" fontId="101" fillId="0" borderId="0" xfId="105" applyNumberFormat="1" applyFont="1" applyAlignment="1">
      <alignment vertical="center"/>
    </xf>
    <xf numFmtId="174" fontId="103" fillId="0" borderId="0" xfId="105" applyNumberFormat="1" applyFont="1"/>
    <xf numFmtId="42" fontId="27" fillId="0" borderId="0" xfId="110" applyFont="1" applyAlignment="1">
      <alignment vertical="center"/>
    </xf>
    <xf numFmtId="4" fontId="76" fillId="0" borderId="0" xfId="109" applyNumberFormat="1" applyFont="1" applyAlignment="1">
      <alignment horizontal="right" wrapText="1"/>
    </xf>
    <xf numFmtId="37" fontId="102" fillId="0" borderId="75" xfId="0" applyNumberFormat="1" applyFont="1" applyBorder="1"/>
    <xf numFmtId="2" fontId="104" fillId="0" borderId="0" xfId="0" applyNumberFormat="1" applyFont="1" applyAlignment="1">
      <alignment wrapText="1"/>
    </xf>
    <xf numFmtId="0" fontId="104" fillId="0" borderId="0" xfId="0" applyFont="1" applyAlignment="1">
      <alignment wrapText="1"/>
    </xf>
    <xf numFmtId="0" fontId="86" fillId="35" borderId="0" xfId="109" applyFont="1" applyFill="1" applyAlignment="1">
      <alignment vertical="center" wrapText="1"/>
    </xf>
    <xf numFmtId="2" fontId="76" fillId="0" borderId="0" xfId="109" applyNumberFormat="1" applyFont="1" applyAlignment="1">
      <alignment horizontal="right" vertical="center" wrapText="1"/>
    </xf>
    <xf numFmtId="167" fontId="76" fillId="35" borderId="0" xfId="43" applyNumberFormat="1" applyFont="1" applyFill="1" applyAlignment="1">
      <alignment wrapText="1"/>
    </xf>
    <xf numFmtId="0" fontId="88" fillId="35" borderId="0" xfId="0" applyFont="1" applyFill="1" applyAlignment="1">
      <alignment horizontal="left" vertical="justify" wrapText="1"/>
    </xf>
    <xf numFmtId="41" fontId="76" fillId="0" borderId="0" xfId="0" applyNumberFormat="1" applyFont="1" applyAlignment="1">
      <alignment wrapText="1"/>
    </xf>
    <xf numFmtId="2" fontId="104" fillId="36" borderId="0" xfId="0" applyNumberFormat="1" applyFont="1" applyFill="1" applyAlignment="1">
      <alignment wrapText="1"/>
    </xf>
    <xf numFmtId="166" fontId="0" fillId="0" borderId="0" xfId="43" applyFont="1"/>
    <xf numFmtId="166" fontId="14" fillId="0" borderId="0" xfId="43" applyFont="1"/>
    <xf numFmtId="166" fontId="101" fillId="0" borderId="0" xfId="43" applyFont="1" applyAlignment="1">
      <alignment vertical="center"/>
    </xf>
    <xf numFmtId="166" fontId="103" fillId="0" borderId="0" xfId="43" applyFont="1"/>
    <xf numFmtId="37" fontId="102" fillId="0" borderId="18" xfId="0" applyNumberFormat="1" applyFont="1" applyBorder="1"/>
    <xf numFmtId="37" fontId="102" fillId="33" borderId="18" xfId="0" applyNumberFormat="1" applyFont="1" applyFill="1" applyBorder="1"/>
    <xf numFmtId="166" fontId="102" fillId="0" borderId="58" xfId="43" applyFont="1" applyBorder="1" applyProtection="1"/>
    <xf numFmtId="166" fontId="102" fillId="0" borderId="18" xfId="43" applyFont="1" applyBorder="1" applyProtection="1"/>
    <xf numFmtId="39" fontId="102" fillId="0" borderId="18" xfId="0" applyNumberFormat="1" applyFont="1" applyBorder="1"/>
    <xf numFmtId="37" fontId="102" fillId="33" borderId="58" xfId="0" applyNumberFormat="1" applyFont="1" applyFill="1" applyBorder="1"/>
    <xf numFmtId="37" fontId="105" fillId="0" borderId="14" xfId="0" applyNumberFormat="1" applyFont="1" applyBorder="1"/>
    <xf numFmtId="37" fontId="105" fillId="0" borderId="15" xfId="0" applyNumberFormat="1" applyFont="1" applyBorder="1"/>
    <xf numFmtId="37" fontId="105" fillId="0" borderId="16" xfId="0" applyNumberFormat="1" applyFont="1" applyBorder="1"/>
    <xf numFmtId="37" fontId="105" fillId="0" borderId="13" xfId="0" applyNumberFormat="1" applyFont="1" applyBorder="1"/>
    <xf numFmtId="0" fontId="76" fillId="35" borderId="0" xfId="0" applyFont="1" applyFill="1" applyAlignment="1">
      <alignment wrapText="1"/>
    </xf>
    <xf numFmtId="167" fontId="106" fillId="0" borderId="71" xfId="43" applyNumberFormat="1" applyFont="1" applyBorder="1"/>
    <xf numFmtId="167" fontId="95" fillId="35" borderId="25" xfId="43" applyNumberFormat="1" applyFont="1" applyFill="1" applyBorder="1" applyProtection="1"/>
    <xf numFmtId="166" fontId="16" fillId="0" borderId="0" xfId="0" applyNumberFormat="1" applyFont="1" applyFill="1"/>
    <xf numFmtId="0" fontId="99" fillId="0" borderId="0" xfId="0" quotePrefix="1" applyFont="1" applyAlignment="1">
      <alignment horizontal="left" vertical="justify" wrapText="1"/>
    </xf>
    <xf numFmtId="0" fontId="91" fillId="0" borderId="0" xfId="0" quotePrefix="1" applyFont="1" applyAlignment="1">
      <alignment horizontal="left" vertical="justify" wrapText="1"/>
    </xf>
    <xf numFmtId="39" fontId="35" fillId="0" borderId="34" xfId="0" applyNumberFormat="1" applyFont="1" applyBorder="1" applyAlignment="1">
      <alignment horizontal="center" vertical="center"/>
    </xf>
    <xf numFmtId="39" fontId="35" fillId="0" borderId="36" xfId="0" applyNumberFormat="1" applyFont="1" applyBorder="1" applyAlignment="1">
      <alignment horizontal="center" vertical="center"/>
    </xf>
    <xf numFmtId="37" fontId="35" fillId="0" borderId="34" xfId="0" applyNumberFormat="1" applyFont="1" applyBorder="1" applyAlignment="1">
      <alignment horizontal="right" vertical="center"/>
    </xf>
    <xf numFmtId="37" fontId="35" fillId="0" borderId="36" xfId="0" applyNumberFormat="1" applyFont="1" applyBorder="1" applyAlignment="1">
      <alignment horizontal="right" vertical="center"/>
    </xf>
    <xf numFmtId="37" fontId="34" fillId="0" borderId="35" xfId="0" applyNumberFormat="1" applyFont="1" applyBorder="1" applyAlignment="1">
      <alignment horizontal="right" vertical="center"/>
    </xf>
    <xf numFmtId="37" fontId="34" fillId="0" borderId="12" xfId="0" applyNumberFormat="1" applyFont="1" applyBorder="1" applyAlignment="1">
      <alignment horizontal="right" vertical="center"/>
    </xf>
    <xf numFmtId="3" fontId="48" fillId="0" borderId="0" xfId="0" quotePrefix="1" applyNumberFormat="1" applyFont="1" applyAlignment="1">
      <alignment horizontal="right" vertical="center"/>
    </xf>
    <xf numFmtId="3" fontId="48" fillId="0" borderId="0" xfId="0" applyNumberFormat="1" applyFont="1" applyAlignment="1">
      <alignment horizontal="right" vertical="center"/>
    </xf>
    <xf numFmtId="0" fontId="47" fillId="0" borderId="0" xfId="0" applyFont="1" applyAlignment="1">
      <alignment horizontal="left" vertical="center"/>
    </xf>
    <xf numFmtId="0" fontId="41" fillId="34" borderId="33" xfId="0" applyFont="1" applyFill="1" applyBorder="1" applyAlignment="1">
      <alignment horizontal="center" vertical="center"/>
    </xf>
    <xf numFmtId="0" fontId="41" fillId="34" borderId="30" xfId="0" applyFont="1" applyFill="1" applyBorder="1" applyAlignment="1">
      <alignment horizontal="center" vertical="center"/>
    </xf>
    <xf numFmtId="0" fontId="41" fillId="34" borderId="32" xfId="0" applyFont="1" applyFill="1" applyBorder="1" applyAlignment="1">
      <alignment horizontal="center" vertical="center"/>
    </xf>
    <xf numFmtId="0" fontId="41" fillId="34" borderId="29" xfId="0" applyFont="1" applyFill="1" applyBorder="1" applyAlignment="1">
      <alignment horizontal="center" vertical="center"/>
    </xf>
    <xf numFmtId="39" fontId="41" fillId="34" borderId="32" xfId="0" applyNumberFormat="1" applyFont="1" applyFill="1" applyBorder="1" applyAlignment="1">
      <alignment horizontal="center" vertical="center"/>
    </xf>
    <xf numFmtId="39" fontId="41" fillId="34" borderId="29" xfId="0" applyNumberFormat="1" applyFont="1" applyFill="1" applyBorder="1" applyAlignment="1">
      <alignment horizontal="center" vertical="center"/>
    </xf>
    <xf numFmtId="3" fontId="48" fillId="0" borderId="96" xfId="0" quotePrefix="1" applyNumberFormat="1" applyFont="1" applyBorder="1" applyAlignment="1">
      <alignment horizontal="right" vertical="center"/>
    </xf>
    <xf numFmtId="3" fontId="48" fillId="0" borderId="96" xfId="0" applyNumberFormat="1" applyFont="1" applyBorder="1" applyAlignment="1">
      <alignment horizontal="right" vertical="center"/>
    </xf>
    <xf numFmtId="0" fontId="67" fillId="34" borderId="59" xfId="0" applyFont="1" applyFill="1" applyBorder="1" applyAlignment="1">
      <alignment horizontal="center" vertical="center"/>
    </xf>
    <xf numFmtId="0" fontId="67" fillId="34" borderId="63" xfId="0" applyFont="1" applyFill="1" applyBorder="1" applyAlignment="1">
      <alignment horizontal="center" vertical="center"/>
    </xf>
    <xf numFmtId="0" fontId="67" fillId="34" borderId="60" xfId="0" applyFont="1" applyFill="1" applyBorder="1" applyAlignment="1">
      <alignment horizontal="center" vertical="center"/>
    </xf>
    <xf numFmtId="0" fontId="67" fillId="34" borderId="64" xfId="0" applyFont="1" applyFill="1" applyBorder="1" applyAlignment="1">
      <alignment horizontal="center" vertical="center"/>
    </xf>
    <xf numFmtId="39" fontId="67" fillId="34" borderId="60" xfId="0" applyNumberFormat="1" applyFont="1" applyFill="1" applyBorder="1" applyAlignment="1">
      <alignment horizontal="center" vertical="center"/>
    </xf>
    <xf numFmtId="39" fontId="67" fillId="34" borderId="64" xfId="0" applyNumberFormat="1" applyFont="1" applyFill="1" applyBorder="1" applyAlignment="1">
      <alignment horizontal="center" vertical="center"/>
    </xf>
    <xf numFmtId="0" fontId="53" fillId="0" borderId="0" xfId="0" applyFont="1" applyAlignment="1">
      <alignment horizontal="left"/>
    </xf>
    <xf numFmtId="0" fontId="52" fillId="0" borderId="97" xfId="0" applyFont="1" applyBorder="1" applyAlignment="1">
      <alignment horizontal="left" vertical="center"/>
    </xf>
  </cellXfs>
  <cellStyles count="11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Comma [0]" xfId="105" builtinId="6"/>
    <cellStyle name="Comma [0] 16" xfId="46" xr:uid="{00000000-0005-0000-0000-00001D000000}"/>
    <cellStyle name="Comma [0] 2" xfId="47" xr:uid="{00000000-0005-0000-0000-00001E000000}"/>
    <cellStyle name="Comma [0] 2 2" xfId="48" xr:uid="{00000000-0005-0000-0000-00001F000000}"/>
    <cellStyle name="Comma [0] 2 2 2" xfId="72" xr:uid="{00000000-0005-0000-0000-000020000000}"/>
    <cellStyle name="Comma [0] 2 3" xfId="73" xr:uid="{00000000-0005-0000-0000-000021000000}"/>
    <cellStyle name="Comma [0] 3" xfId="49" xr:uid="{00000000-0005-0000-0000-000022000000}"/>
    <cellStyle name="Comma [0] 3 2" xfId="74" xr:uid="{00000000-0005-0000-0000-000023000000}"/>
    <cellStyle name="Comma [0] 4" xfId="50" xr:uid="{00000000-0005-0000-0000-000024000000}"/>
    <cellStyle name="Comma [0] 4 2" xfId="75" xr:uid="{00000000-0005-0000-0000-000025000000}"/>
    <cellStyle name="Comma [0] 5" xfId="76" xr:uid="{00000000-0005-0000-0000-000026000000}"/>
    <cellStyle name="Comma 10" xfId="77" xr:uid="{00000000-0005-0000-0000-000027000000}"/>
    <cellStyle name="Comma 11" xfId="78" xr:uid="{00000000-0005-0000-0000-000028000000}"/>
    <cellStyle name="Comma 112" xfId="106" xr:uid="{00000000-0005-0000-0000-000029000000}"/>
    <cellStyle name="Comma 12" xfId="79" xr:uid="{00000000-0005-0000-0000-00002A000000}"/>
    <cellStyle name="Comma 13" xfId="80" xr:uid="{00000000-0005-0000-0000-00002B000000}"/>
    <cellStyle name="Comma 14" xfId="71" xr:uid="{00000000-0005-0000-0000-00002C000000}"/>
    <cellStyle name="Comma 15 2" xfId="51" xr:uid="{00000000-0005-0000-0000-00002D000000}"/>
    <cellStyle name="Comma 2" xfId="45" xr:uid="{00000000-0005-0000-0000-00002E000000}"/>
    <cellStyle name="Comma 2 10 2 2" xfId="81" xr:uid="{00000000-0005-0000-0000-00002F000000}"/>
    <cellStyle name="Comma 2 18 2" xfId="82" xr:uid="{00000000-0005-0000-0000-000030000000}"/>
    <cellStyle name="Comma 2 2" xfId="52" xr:uid="{00000000-0005-0000-0000-000031000000}"/>
    <cellStyle name="Comma 2 2 2" xfId="83" xr:uid="{00000000-0005-0000-0000-000032000000}"/>
    <cellStyle name="Comma 2 2 2 18 2" xfId="84" xr:uid="{00000000-0005-0000-0000-000033000000}"/>
    <cellStyle name="Comma 2 3" xfId="70" xr:uid="{00000000-0005-0000-0000-000034000000}"/>
    <cellStyle name="Comma 3" xfId="53" xr:uid="{00000000-0005-0000-0000-000035000000}"/>
    <cellStyle name="Comma 4" xfId="54" xr:uid="{00000000-0005-0000-0000-000036000000}"/>
    <cellStyle name="Comma 4 2" xfId="55" xr:uid="{00000000-0005-0000-0000-000037000000}"/>
    <cellStyle name="Comma 4 2 2" xfId="85" xr:uid="{00000000-0005-0000-0000-000038000000}"/>
    <cellStyle name="Comma 4 3 2 4" xfId="86" xr:uid="{00000000-0005-0000-0000-000039000000}"/>
    <cellStyle name="Comma 49" xfId="87" xr:uid="{00000000-0005-0000-0000-00003A000000}"/>
    <cellStyle name="Comma 5" xfId="56" xr:uid="{00000000-0005-0000-0000-00003B000000}"/>
    <cellStyle name="Comma 5 2" xfId="88" xr:uid="{00000000-0005-0000-0000-00003C000000}"/>
    <cellStyle name="Comma 5 5" xfId="103" xr:uid="{00000000-0005-0000-0000-00003D000000}"/>
    <cellStyle name="Comma 54" xfId="57" xr:uid="{00000000-0005-0000-0000-00003E000000}"/>
    <cellStyle name="Comma 6" xfId="69" xr:uid="{00000000-0005-0000-0000-00003F000000}"/>
    <cellStyle name="Comma 7" xfId="89" xr:uid="{00000000-0005-0000-0000-000040000000}"/>
    <cellStyle name="Comma 8" xfId="90" xr:uid="{00000000-0005-0000-0000-000041000000}"/>
    <cellStyle name="Comma 9" xfId="91" xr:uid="{00000000-0005-0000-0000-000042000000}"/>
    <cellStyle name="Currency [0]" xfId="110" builtinId="7"/>
    <cellStyle name="Currency [0] 2" xfId="92" xr:uid="{00000000-0005-0000-0000-000044000000}"/>
    <cellStyle name="Currency [0] 3" xfId="93" xr:uid="{00000000-0005-0000-0000-000045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- Style1" xfId="107" xr:uid="{00000000-0005-0000-0000-000050000000}"/>
    <cellStyle name="Normal 10 2" xfId="94" xr:uid="{00000000-0005-0000-0000-000051000000}"/>
    <cellStyle name="Normal 11 2 2" xfId="95" xr:uid="{00000000-0005-0000-0000-000052000000}"/>
    <cellStyle name="Normal 11 3 2" xfId="96" xr:uid="{00000000-0005-0000-0000-000053000000}"/>
    <cellStyle name="Normal 15 14" xfId="97" xr:uid="{00000000-0005-0000-0000-000054000000}"/>
    <cellStyle name="Normal 18" xfId="104" xr:uid="{00000000-0005-0000-0000-000055000000}"/>
    <cellStyle name="Normal 2" xfId="44" xr:uid="{00000000-0005-0000-0000-000056000000}"/>
    <cellStyle name="Normal 2 2" xfId="58" xr:uid="{00000000-0005-0000-0000-000057000000}"/>
    <cellStyle name="Normal 2 2 2" xfId="98" xr:uid="{00000000-0005-0000-0000-000058000000}"/>
    <cellStyle name="Normal 2 20 2 2" xfId="99" xr:uid="{00000000-0005-0000-0000-000059000000}"/>
    <cellStyle name="Normal 2 3" xfId="67" xr:uid="{00000000-0005-0000-0000-00005A000000}"/>
    <cellStyle name="Normal 26" xfId="59" xr:uid="{00000000-0005-0000-0000-00005B000000}"/>
    <cellStyle name="Normal 3" xfId="60" xr:uid="{00000000-0005-0000-0000-00005C000000}"/>
    <cellStyle name="Normal 3 2" xfId="61" xr:uid="{00000000-0005-0000-0000-00005D000000}"/>
    <cellStyle name="Normal 4" xfId="62" xr:uid="{00000000-0005-0000-0000-00005E000000}"/>
    <cellStyle name="Normal 5" xfId="68" xr:uid="{00000000-0005-0000-0000-00005F000000}"/>
    <cellStyle name="Normal 5 2" xfId="63" xr:uid="{00000000-0005-0000-0000-000060000000}"/>
    <cellStyle name="Normal 5 34 2" xfId="100" xr:uid="{00000000-0005-0000-0000-000061000000}"/>
    <cellStyle name="Normal 6" xfId="109" xr:uid="{00000000-0005-0000-0000-000062000000}"/>
    <cellStyle name="Normal_Victoria" xfId="42" xr:uid="{00000000-0005-0000-0000-000063000000}"/>
    <cellStyle name="Note" xfId="15" builtinId="10" customBuiltin="1"/>
    <cellStyle name="Output" xfId="10" builtinId="21" customBuiltin="1"/>
    <cellStyle name="Percent" xfId="108" builtinId="5"/>
    <cellStyle name="Percent 2" xfId="64" xr:uid="{00000000-0005-0000-0000-000067000000}"/>
    <cellStyle name="Percent 3" xfId="65" xr:uid="{00000000-0005-0000-0000-000068000000}"/>
    <cellStyle name="Percent 3 2" xfId="101" xr:uid="{00000000-0005-0000-0000-000069000000}"/>
    <cellStyle name="Percent 6" xfId="66" xr:uid="{00000000-0005-0000-0000-00006A000000}"/>
    <cellStyle name="Percent 6 2" xfId="102" xr:uid="{00000000-0005-0000-0000-00006B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5.xml"/><Relationship Id="rId21" Type="http://schemas.openxmlformats.org/officeDocument/2006/relationships/externalLink" Target="externalLinks/externalLink9.xml"/><Relationship Id="rId42" Type="http://schemas.openxmlformats.org/officeDocument/2006/relationships/externalLink" Target="externalLinks/externalLink30.xml"/><Relationship Id="rId63" Type="http://schemas.openxmlformats.org/officeDocument/2006/relationships/externalLink" Target="externalLinks/externalLink51.xml"/><Relationship Id="rId84" Type="http://schemas.openxmlformats.org/officeDocument/2006/relationships/externalLink" Target="externalLinks/externalLink72.xml"/><Relationship Id="rId16" Type="http://schemas.openxmlformats.org/officeDocument/2006/relationships/externalLink" Target="externalLinks/externalLink4.xml"/><Relationship Id="rId107" Type="http://schemas.openxmlformats.org/officeDocument/2006/relationships/externalLink" Target="externalLinks/externalLink95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20.xml"/><Relationship Id="rId37" Type="http://schemas.openxmlformats.org/officeDocument/2006/relationships/externalLink" Target="externalLinks/externalLink25.xml"/><Relationship Id="rId53" Type="http://schemas.openxmlformats.org/officeDocument/2006/relationships/externalLink" Target="externalLinks/externalLink41.xml"/><Relationship Id="rId58" Type="http://schemas.openxmlformats.org/officeDocument/2006/relationships/externalLink" Target="externalLinks/externalLink46.xml"/><Relationship Id="rId74" Type="http://schemas.openxmlformats.org/officeDocument/2006/relationships/externalLink" Target="externalLinks/externalLink62.xml"/><Relationship Id="rId79" Type="http://schemas.openxmlformats.org/officeDocument/2006/relationships/externalLink" Target="externalLinks/externalLink67.xml"/><Relationship Id="rId102" Type="http://schemas.openxmlformats.org/officeDocument/2006/relationships/externalLink" Target="externalLinks/externalLink90.xml"/><Relationship Id="rId123" Type="http://schemas.openxmlformats.org/officeDocument/2006/relationships/externalLink" Target="externalLinks/externalLink111.xml"/><Relationship Id="rId128" Type="http://schemas.openxmlformats.org/officeDocument/2006/relationships/externalLink" Target="externalLinks/externalLink116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8.xml"/><Relationship Id="rId95" Type="http://schemas.openxmlformats.org/officeDocument/2006/relationships/externalLink" Target="externalLinks/externalLink83.xml"/><Relationship Id="rId22" Type="http://schemas.openxmlformats.org/officeDocument/2006/relationships/externalLink" Target="externalLinks/externalLink10.xml"/><Relationship Id="rId27" Type="http://schemas.openxmlformats.org/officeDocument/2006/relationships/externalLink" Target="externalLinks/externalLink15.xml"/><Relationship Id="rId43" Type="http://schemas.openxmlformats.org/officeDocument/2006/relationships/externalLink" Target="externalLinks/externalLink31.xml"/><Relationship Id="rId48" Type="http://schemas.openxmlformats.org/officeDocument/2006/relationships/externalLink" Target="externalLinks/externalLink36.xml"/><Relationship Id="rId64" Type="http://schemas.openxmlformats.org/officeDocument/2006/relationships/externalLink" Target="externalLinks/externalLink52.xml"/><Relationship Id="rId69" Type="http://schemas.openxmlformats.org/officeDocument/2006/relationships/externalLink" Target="externalLinks/externalLink57.xml"/><Relationship Id="rId113" Type="http://schemas.openxmlformats.org/officeDocument/2006/relationships/externalLink" Target="externalLinks/externalLink101.xml"/><Relationship Id="rId118" Type="http://schemas.openxmlformats.org/officeDocument/2006/relationships/externalLink" Target="externalLinks/externalLink106.xml"/><Relationship Id="rId134" Type="http://schemas.openxmlformats.org/officeDocument/2006/relationships/calcChain" Target="calcChain.xml"/><Relationship Id="rId80" Type="http://schemas.openxmlformats.org/officeDocument/2006/relationships/externalLink" Target="externalLinks/externalLink68.xml"/><Relationship Id="rId85" Type="http://schemas.openxmlformats.org/officeDocument/2006/relationships/externalLink" Target="externalLinks/externalLink7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33" Type="http://schemas.openxmlformats.org/officeDocument/2006/relationships/externalLink" Target="externalLinks/externalLink21.xml"/><Relationship Id="rId38" Type="http://schemas.openxmlformats.org/officeDocument/2006/relationships/externalLink" Target="externalLinks/externalLink26.xml"/><Relationship Id="rId59" Type="http://schemas.openxmlformats.org/officeDocument/2006/relationships/externalLink" Target="externalLinks/externalLink47.xml"/><Relationship Id="rId103" Type="http://schemas.openxmlformats.org/officeDocument/2006/relationships/externalLink" Target="externalLinks/externalLink91.xml"/><Relationship Id="rId108" Type="http://schemas.openxmlformats.org/officeDocument/2006/relationships/externalLink" Target="externalLinks/externalLink96.xml"/><Relationship Id="rId124" Type="http://schemas.openxmlformats.org/officeDocument/2006/relationships/externalLink" Target="externalLinks/externalLink112.xml"/><Relationship Id="rId129" Type="http://schemas.openxmlformats.org/officeDocument/2006/relationships/externalLink" Target="externalLinks/externalLink117.xml"/><Relationship Id="rId54" Type="http://schemas.openxmlformats.org/officeDocument/2006/relationships/externalLink" Target="externalLinks/externalLink42.xml"/><Relationship Id="rId70" Type="http://schemas.openxmlformats.org/officeDocument/2006/relationships/externalLink" Target="externalLinks/externalLink58.xml"/><Relationship Id="rId75" Type="http://schemas.openxmlformats.org/officeDocument/2006/relationships/externalLink" Target="externalLinks/externalLink63.xml"/><Relationship Id="rId91" Type="http://schemas.openxmlformats.org/officeDocument/2006/relationships/externalLink" Target="externalLinks/externalLink79.xml"/><Relationship Id="rId96" Type="http://schemas.openxmlformats.org/officeDocument/2006/relationships/externalLink" Target="externalLinks/externalLink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1.xml"/><Relationship Id="rId28" Type="http://schemas.openxmlformats.org/officeDocument/2006/relationships/externalLink" Target="externalLinks/externalLink16.xml"/><Relationship Id="rId49" Type="http://schemas.openxmlformats.org/officeDocument/2006/relationships/externalLink" Target="externalLinks/externalLink37.xml"/><Relationship Id="rId114" Type="http://schemas.openxmlformats.org/officeDocument/2006/relationships/externalLink" Target="externalLinks/externalLink102.xml"/><Relationship Id="rId119" Type="http://schemas.openxmlformats.org/officeDocument/2006/relationships/externalLink" Target="externalLinks/externalLink107.xml"/><Relationship Id="rId44" Type="http://schemas.openxmlformats.org/officeDocument/2006/relationships/externalLink" Target="externalLinks/externalLink32.xml"/><Relationship Id="rId60" Type="http://schemas.openxmlformats.org/officeDocument/2006/relationships/externalLink" Target="externalLinks/externalLink48.xml"/><Relationship Id="rId65" Type="http://schemas.openxmlformats.org/officeDocument/2006/relationships/externalLink" Target="externalLinks/externalLink53.xml"/><Relationship Id="rId81" Type="http://schemas.openxmlformats.org/officeDocument/2006/relationships/externalLink" Target="externalLinks/externalLink69.xml"/><Relationship Id="rId86" Type="http://schemas.openxmlformats.org/officeDocument/2006/relationships/externalLink" Target="externalLinks/externalLink74.xml"/><Relationship Id="rId130" Type="http://schemas.openxmlformats.org/officeDocument/2006/relationships/externalLink" Target="externalLinks/externalLink11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39" Type="http://schemas.openxmlformats.org/officeDocument/2006/relationships/externalLink" Target="externalLinks/externalLink27.xml"/><Relationship Id="rId109" Type="http://schemas.openxmlformats.org/officeDocument/2006/relationships/externalLink" Target="externalLinks/externalLink97.xml"/><Relationship Id="rId34" Type="http://schemas.openxmlformats.org/officeDocument/2006/relationships/externalLink" Target="externalLinks/externalLink22.xml"/><Relationship Id="rId50" Type="http://schemas.openxmlformats.org/officeDocument/2006/relationships/externalLink" Target="externalLinks/externalLink38.xml"/><Relationship Id="rId55" Type="http://schemas.openxmlformats.org/officeDocument/2006/relationships/externalLink" Target="externalLinks/externalLink43.xml"/><Relationship Id="rId76" Type="http://schemas.openxmlformats.org/officeDocument/2006/relationships/externalLink" Target="externalLinks/externalLink64.xml"/><Relationship Id="rId97" Type="http://schemas.openxmlformats.org/officeDocument/2006/relationships/externalLink" Target="externalLinks/externalLink85.xml"/><Relationship Id="rId104" Type="http://schemas.openxmlformats.org/officeDocument/2006/relationships/externalLink" Target="externalLinks/externalLink92.xml"/><Relationship Id="rId120" Type="http://schemas.openxmlformats.org/officeDocument/2006/relationships/externalLink" Target="externalLinks/externalLink108.xml"/><Relationship Id="rId125" Type="http://schemas.openxmlformats.org/officeDocument/2006/relationships/externalLink" Target="externalLinks/externalLink11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9.xml"/><Relationship Id="rId92" Type="http://schemas.openxmlformats.org/officeDocument/2006/relationships/externalLink" Target="externalLinks/externalLink8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7.xml"/><Relationship Id="rId24" Type="http://schemas.openxmlformats.org/officeDocument/2006/relationships/externalLink" Target="externalLinks/externalLink12.xml"/><Relationship Id="rId40" Type="http://schemas.openxmlformats.org/officeDocument/2006/relationships/externalLink" Target="externalLinks/externalLink28.xml"/><Relationship Id="rId45" Type="http://schemas.openxmlformats.org/officeDocument/2006/relationships/externalLink" Target="externalLinks/externalLink33.xml"/><Relationship Id="rId66" Type="http://schemas.openxmlformats.org/officeDocument/2006/relationships/externalLink" Target="externalLinks/externalLink54.xml"/><Relationship Id="rId87" Type="http://schemas.openxmlformats.org/officeDocument/2006/relationships/externalLink" Target="externalLinks/externalLink75.xml"/><Relationship Id="rId110" Type="http://schemas.openxmlformats.org/officeDocument/2006/relationships/externalLink" Target="externalLinks/externalLink98.xml"/><Relationship Id="rId115" Type="http://schemas.openxmlformats.org/officeDocument/2006/relationships/externalLink" Target="externalLinks/externalLink103.xml"/><Relationship Id="rId131" Type="http://schemas.openxmlformats.org/officeDocument/2006/relationships/theme" Target="theme/theme1.xml"/><Relationship Id="rId61" Type="http://schemas.openxmlformats.org/officeDocument/2006/relationships/externalLink" Target="externalLinks/externalLink49.xml"/><Relationship Id="rId82" Type="http://schemas.openxmlformats.org/officeDocument/2006/relationships/externalLink" Target="externalLinks/externalLink70.xml"/><Relationship Id="rId1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2.xml"/><Relationship Id="rId30" Type="http://schemas.openxmlformats.org/officeDocument/2006/relationships/externalLink" Target="externalLinks/externalLink18.xml"/><Relationship Id="rId35" Type="http://schemas.openxmlformats.org/officeDocument/2006/relationships/externalLink" Target="externalLinks/externalLink23.xml"/><Relationship Id="rId56" Type="http://schemas.openxmlformats.org/officeDocument/2006/relationships/externalLink" Target="externalLinks/externalLink44.xml"/><Relationship Id="rId77" Type="http://schemas.openxmlformats.org/officeDocument/2006/relationships/externalLink" Target="externalLinks/externalLink65.xml"/><Relationship Id="rId100" Type="http://schemas.openxmlformats.org/officeDocument/2006/relationships/externalLink" Target="externalLinks/externalLink88.xml"/><Relationship Id="rId105" Type="http://schemas.openxmlformats.org/officeDocument/2006/relationships/externalLink" Target="externalLinks/externalLink93.xml"/><Relationship Id="rId126" Type="http://schemas.openxmlformats.org/officeDocument/2006/relationships/externalLink" Target="externalLinks/externalLink11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9.xml"/><Relationship Id="rId72" Type="http://schemas.openxmlformats.org/officeDocument/2006/relationships/externalLink" Target="externalLinks/externalLink60.xml"/><Relationship Id="rId93" Type="http://schemas.openxmlformats.org/officeDocument/2006/relationships/externalLink" Target="externalLinks/externalLink81.xml"/><Relationship Id="rId98" Type="http://schemas.openxmlformats.org/officeDocument/2006/relationships/externalLink" Target="externalLinks/externalLink86.xml"/><Relationship Id="rId121" Type="http://schemas.openxmlformats.org/officeDocument/2006/relationships/externalLink" Target="externalLinks/externalLink109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3.xml"/><Relationship Id="rId46" Type="http://schemas.openxmlformats.org/officeDocument/2006/relationships/externalLink" Target="externalLinks/externalLink34.xml"/><Relationship Id="rId67" Type="http://schemas.openxmlformats.org/officeDocument/2006/relationships/externalLink" Target="externalLinks/externalLink55.xml"/><Relationship Id="rId116" Type="http://schemas.openxmlformats.org/officeDocument/2006/relationships/externalLink" Target="externalLinks/externalLink104.xml"/><Relationship Id="rId20" Type="http://schemas.openxmlformats.org/officeDocument/2006/relationships/externalLink" Target="externalLinks/externalLink8.xml"/><Relationship Id="rId41" Type="http://schemas.openxmlformats.org/officeDocument/2006/relationships/externalLink" Target="externalLinks/externalLink29.xml"/><Relationship Id="rId62" Type="http://schemas.openxmlformats.org/officeDocument/2006/relationships/externalLink" Target="externalLinks/externalLink50.xml"/><Relationship Id="rId83" Type="http://schemas.openxmlformats.org/officeDocument/2006/relationships/externalLink" Target="externalLinks/externalLink71.xml"/><Relationship Id="rId88" Type="http://schemas.openxmlformats.org/officeDocument/2006/relationships/externalLink" Target="externalLinks/externalLink76.xml"/><Relationship Id="rId111" Type="http://schemas.openxmlformats.org/officeDocument/2006/relationships/externalLink" Target="externalLinks/externalLink99.xml"/><Relationship Id="rId132" Type="http://schemas.openxmlformats.org/officeDocument/2006/relationships/styles" Target="styles.xml"/><Relationship Id="rId15" Type="http://schemas.openxmlformats.org/officeDocument/2006/relationships/externalLink" Target="externalLinks/externalLink3.xml"/><Relationship Id="rId36" Type="http://schemas.openxmlformats.org/officeDocument/2006/relationships/externalLink" Target="externalLinks/externalLink24.xml"/><Relationship Id="rId57" Type="http://schemas.openxmlformats.org/officeDocument/2006/relationships/externalLink" Target="externalLinks/externalLink45.xml"/><Relationship Id="rId106" Type="http://schemas.openxmlformats.org/officeDocument/2006/relationships/externalLink" Target="externalLinks/externalLink94.xml"/><Relationship Id="rId127" Type="http://schemas.openxmlformats.org/officeDocument/2006/relationships/externalLink" Target="externalLinks/externalLink115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9.xml"/><Relationship Id="rId52" Type="http://schemas.openxmlformats.org/officeDocument/2006/relationships/externalLink" Target="externalLinks/externalLink40.xml"/><Relationship Id="rId73" Type="http://schemas.openxmlformats.org/officeDocument/2006/relationships/externalLink" Target="externalLinks/externalLink61.xml"/><Relationship Id="rId78" Type="http://schemas.openxmlformats.org/officeDocument/2006/relationships/externalLink" Target="externalLinks/externalLink66.xml"/><Relationship Id="rId94" Type="http://schemas.openxmlformats.org/officeDocument/2006/relationships/externalLink" Target="externalLinks/externalLink82.xml"/><Relationship Id="rId99" Type="http://schemas.openxmlformats.org/officeDocument/2006/relationships/externalLink" Target="externalLinks/externalLink87.xml"/><Relationship Id="rId101" Type="http://schemas.openxmlformats.org/officeDocument/2006/relationships/externalLink" Target="externalLinks/externalLink89.xml"/><Relationship Id="rId122" Type="http://schemas.openxmlformats.org/officeDocument/2006/relationships/externalLink" Target="externalLinks/externalLink1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35.xml"/><Relationship Id="rId68" Type="http://schemas.openxmlformats.org/officeDocument/2006/relationships/externalLink" Target="externalLinks/externalLink56.xml"/><Relationship Id="rId89" Type="http://schemas.openxmlformats.org/officeDocument/2006/relationships/externalLink" Target="externalLinks/externalLink77.xml"/><Relationship Id="rId112" Type="http://schemas.openxmlformats.org/officeDocument/2006/relationships/externalLink" Target="externalLinks/externalLink100.xml"/><Relationship Id="rId13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IMA\PROYEK%20SIPIL\SENJATA\ANALISA%20HARSAT%20BINA%20MARGA%202008\02%20-%20SOFTWARE\AHS%20SPEC%20DES%2020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%202009\Gelanggang%20Olahraga%20Sabang%20Merauke%20(tahap%20I)%20SABANG\RAB%20Gelanggang%20Olahraga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PJ\RAB_Bina%20Marga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EFRAD\DATA%20CAMPURAN\SURAT-SURAT\Project%202010\Kontrak%20Pipa%20Jurong%20Ara\CV.%20BARIQ\master%20penawaran\jakir1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TENDER2X\RusunYogyaSolo\aNALISAyogyasolo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ocuments%20and%20Settings\user\My%20Documents\LAP%20HARGA%20SAT\ANL%20HARGA%20SATUAN\EXCEL-PAHS\PANDUAN%20BQ\EE%20FO%20Pamanukan\3-DIV3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DIKUMPULKAN%20SEMUA%20FILE\HARDISK%20BUDI\Tender\D.I%20%20JEURAM\DI.%20jeuram-2(KG)Revisi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RAP\ALISA-RAP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ocuments%20and%20Settings\TOSHIBA\Desktop\pen-colek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INUN\ANALISA%20GEDUNG%202013\CAIXA%20&amp;%20HUSNI\CONSULTANT%20FILE\ANALISA%20STANDAR%20BINA%20MARGA\BINA%20MARGA%20FILE\OE-EE\6-AGGR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dan%20K%20Bireuen\lhok%20awe\RAB%20KMWC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\P033-3%20Surade%20Tegalbule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Data%20FLASH\256%20MB\KSH%20Bireuen\KSH%20Kuta%20Cot\4-BASIC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ounna%20Fayshal\My%20Box\My%20Document\Pounna%20Fayshal\Recy%20NT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JETTY\CHAI\pt.%20jasa%20adek%20edit\pengaman%20tebing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2-angg-3\palangkaraya\My%20Documents\TEKNIK\TENDER2\JATIM\DATABASE\KUFPEC\CF-CS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umah%20Sekolah%20Terbakar\MASTER%20RAB%20SEKOLAH%20TERBAKAR%20DIMENSI%2004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ikmenjur\rab%20smk%20blang%20pidie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16072005\EMA\Ema\TENDER\PENAWARAN-IRIGASI\D.I.%20MANGGENG\DI.%20Meuredu%20Paket%20I-1\DI.%20Meuredu%20Paket%20I-1%202okt03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2008\Penawaran\Jalan%20Glp.%20Tiga\My%20Documents\Porda%20Revisi\PORDA%20(Baro%20Raya)\Jalan%20masuk%20lap%20tenis%20baro%20raya.xl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Hermadi\Desktop\hermadi\Bola%20Kali\My%20Documents\EE%20%20SD%20AIR%20PINANG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Mursal\EXEL%20RAB\B.Ar-Puskesmas%20LT.2\RS%20Jiwa\Pembangunan%20RSJ%20Tahap%20I\Perhit%20Bes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User\My%20Documents\BQ%20rUSU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ATA%20PEUSAHAAN\TAHUN%202012\KABUPATEN%20BIREUEN\WAGGAS\DINAS%20KESEHATAN\Eri%20%20Mitra%20%20Kampus%20Penawaran\Garot\RAB.%20CV.%20MONITA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OLTEKKES\WM%20ISLAMIC\RAB%20ISLAMIC%20CENTER%20W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SETUI\5-ALA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\DATA%20PEUSAHAAN\TAHUN%202012\KABUPATEN%20BIREUEN\KONSULTAN\DINAS%20PENDIDIKAN\EE%20PAGAR%20ASKIYA\REVISI\Eri%20%20Mitra%20%20Kampus%20Penawaran\Garot\RAB.%20CV.%20MONIT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%20%20BARU\BQ%20%20%20PROYEK2\CITRALAND%20%20SURABAYA\BANG%202006\PEN%202006\HAR-II-I\CEMEMEH%20A..H\PENAWARAN\oe-2004\Penawaran%202004\BANG-01%20B\pen-01b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AP\ALISA-RAP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ET%20ULIM%20KSH%20F%20-%2034\PAKET%20KSH%20F%20-%203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HS%20Struktur%20Jalan%20Blangpidie%20-%20Bts.%20Kota%20Tapaktu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~1.R\LOCALS~1\Temp\Eri%20%20Mitra%20%20Kampus%20Penawaran\Garot\RAB.%20CV.%20MONIT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dr%20PU\FIKRI_POENYA\pen-01b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PBN\Seksi%20VIII%20Pe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PBN\TENDER\OE%20Dumagi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BOQ%20JALAN%20BMCK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RAP\ALISA-RAP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APBA%202008\MASTER%20DATA%20LELANG%202008\MASTER%20-%20OE%202008%20(Blm%20Pasti)\OE-ECR3%20New%20tgl%2028Nop\3-DIV7a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PAKET%20ULIM%20KSH%20F%20-%2034\PAKET%20KSH%20F%20-%20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ceh%20Utara\PROGRES%20EXPOSE%20S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R\LOCALS~1\Temp\Rar$DI44.125\rab--PAKET%20IV%20-%20CARDIA%20R.PERDAN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opy%20of%20Jembatan%20Laguna%20PT.%20Pontia%20(DUA)%2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_PROJECT\A.%20PROJECT\BALMON%20KLASS%20II%20NAD\PROJECT%20PAGAR%20BALMON\Data%20Rocky\TERMINAL%20CALANG\PT.%20KUMALA%20RAY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EFRAD\DATA%20CAMPURAN\SURAT-SURAT\WVI\Bangunan\Volume\Volume%20Jeni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Tender\P033-3%20Surade%20Tegalbuleud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TENDER\SRRP\Rab-Karo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U%20ACEH%20UTARA\BOQ%20JALAN%20SP%20KERAMAT-B.RAYA%20MANCANG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INAS%20PU\JALAN%202009\FD-I.ONES\BEPE%20FILE'S\MASTER%20ANALISA-IONES\ANALISA%202005%20ASLI\6-AGGR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dr%20PU\FIKRI_POENYA\Pen-Bang-halo2-sakorindo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cdoc\kaltim\My_RAB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PERENCANAAN\Rab%20PLPK\DURP-TAPAKTUAN-200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perkerasan%20jalanmmmlllllllmm\JETTY\CHAI\pt.%20jasa%20adek%20edit\pengaman%20tebin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\MAMAN\mita%20peng\PT.HARMACO\penawaran%20uploa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Putra\Sigli\FILE%20DARI%20KONTRAKTOR\Pengawasan%20BRR\Kantor%20Pos%20Sigli\Rab%20Pos%20sigli%20baru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OE%202007\PENINGKATAN%20KAB.%20ROHUL\38-DIV101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ANK-J4Y9K81H06\Copy%20Dokumen%20LG\RERE\LELANG\OE%20LBT%202005\OE-LBT%2003A%202005\3-DIV1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%20E%20R%20I\DIK%20PORA\SEKOLAH%20TERBAKAR\Rehab%20SMUN%20Meukek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H%20E%20R%20I\DIK%20PORA\SEKOLAH%20TERBAKAR\Rehab%20SMUN%20Bakong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ZULFAN\zulfan\Irigasi\TENDER\JLN%20MALIKUSSALEH\RAB%20JLN%20MALIKUSSALEH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du\dadu%20D\LAPORAN%20CIANJUR\Laporan%20progress\Laporan%20Bulan-1\Data%20Laptop\FILE%20(G)\Proyek%202008\2008%20Bapusda\LEBEL%201\rAB%20&amp;%20bQ\Rab%20PaMdK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Iwan%20File\BQ-PT.%20Prhs%20Gas%20Negar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RAB-2008\DISPENDA%20JABAR\Data\Tim-Swakelola\RAB\ANALISA-JADI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Hartono%20W\Tender\Emerald\Marcelia\Pakis%20Marceli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ENAWARN%20ASLI%20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%20Muhammad\MHD%20(Rab%20Kon%20Penawaran)\Pak%20Muhammad\RAB%20EE%201%20%20IGD%20RSU%20Sigli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S%20E%20T%20D%20A%20K%20A%20B\BAGIAN%20UMUM\KANTOR%20CAMAT%20(ASEL)\2%200%200%204\Rencana\RAB%20KTR%20CMT%20400%20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DIKUMPULKAN%20SEMUA%20FILE\HARDISK%20BUDI\Tender\BANDA%20ACEH%202005\DI%20PANTEE%20LHONG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Kuliah%20Adventiaaaa\AHS\Ahsp%202016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hril\disk2%20(d)%20punya%20syahril\Data%20Mursal\EXEL%20RAB\B.Ar-Puskesmas%20LT.2\RS%20Jiwa\Pembangunan%20RSJ%20Tahap%20I\Perhit%20Besi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ahril\disk2%20(d)%20punya%20syahril\Data%20Mursal\EXEL%20RAB\B.Ar-Puskesmas%20LT.2\RS%20Jiwa\Pembangunan%20RSJ%20Tahap%20I\drive%20D%20Ganessa\GANESSA\DATA%20MASING-MASING\MURSALIN\Perhitungan%20Volume\RAB_Kimpraswi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ARZUKI\PENAWARAN%20PROYEK\Penawaran%202007\Paket%20Aceh%20Utara\Irigasi%20Kr.Pase%20Kn\Penwr.D.I.%20Pase%20Kn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MY%20FILES\Wilayah%20IV\Boss\HPS%20LABUHAN%20HAJI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%20A%20B\TVRI\D_HANGGAR\Copy%20of%20BQ%201%20Hanggar%20Ok%20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EFRAD\DATA%20CAMPURAN\SURAT-SURAT\WVI\Bangunan\Volume\Volume%20Jen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NVT%20BANG%20NAD\BANG%202011\PANITIA%202011\OE%20STA.%20MAHMUDSYAH\HPS%20WILAYAH%20II%20FINAL\HPS-ALAIDIMAHMUDSYAH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DIKUMPULKAN%20SEMUA%20FILE\HARDISK%20BUDI\Tender\BANDA%20ACEH%202005\DI%20PANTEE%20LHONG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TOSHIBA\Desktop\pen-colek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PAKET%20ULIM%20KSH%20F%20-%2034\PAKET%20KSH%20F%20-%2034%20multi%20revisi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Backup%20data%20des%2007\Backup%20Flash%20%2018%20Agustus%202007\Penawaran%202\Data%203\Backup%20Flash\Penawaran%20Irigasi%20DUTA%20ARUN\master%20ALAT%20BERAT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Tender\P033-3%20Surade%20Tegalbuleud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Konsultan2001\Steiger\Excel\ATAN\Sukirno\data\Sabri\Sabri\SD%20MI\Acun\Bukit%20Abas%20021\Budhi%20Guna%20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rab-samsat-babel-final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NEW_DATA\AKOE\gdg.Keu.NAD\RAB_GKN_NAD_final\RAB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Tender\LG%20-%2003B\JALAN-LG-03B-REVISI%202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Perhitungan%20bobo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PS%20WILAYAH%20II%20FINAL\HPS-ALAIDIMAHMUDSYAH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BBI%20PALAWIJA%20Tuah%20Alam\Penawaran%20BBI%20Tuah%20Alam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PAHS2006\Copy%20of%20PAHS2006%20R2%20draft(MIS)new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16072005\EMA\Ema\TENDER\PENAWARAN-IRIGASI\D.I.%20MANGGENG\DI.%20Meuredu%20Paket%20I-1\DI.%20Meuredu%20Paket%20I-1%202okt0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Hermadi\Desktop\hermadi\Bola%20Kali\kajari\New%20Folder\RAB%20Tebing%20Kr.%20Kluet%20II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PENTING\Penawaran%202006\Abadi\DATA%20PENTING\Penawaran%202006\Fauzan\JARING\ADi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INAS%20KES.%20HEWAN%20&amp;%20TERNAK\MUNIR,ST\hias\TANAMAN%20HIAS\RAB%20hias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ILE%20RAB%20&amp;%20PENAWARAN\A%20PENAWARAN%20JALAN\Divisi%2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yek%20perkerasan%20jalanmmmlllllllmm\surya\SSSS\5-ALAT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TA%20-%202004\DIK%20PORA\DATA%20MASUK%20MARET%2004\SMU%203%20LK\My%20Documents\2000\DURP\Rambong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Yoez\Aceh%202\BQ-LG%2001%20A%20PANITIA-PST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My%20Documents\YENNY\DAK%202004\JOB%202003\My%20Documents\terminal%20grong-grong\Porda%20Revisi\PORDA%20(Baro%20Raya)\Jalan%20masuk%20lap%20tenis%20baro%20raya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TENDER%202008\PAKET%20OTSUS%20+%20REGULER%20+%20MIGAS\OWNER'S%20ESTIMATE\OE%20PADANG%20TIJI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AKET%206%20-%20ULEE%20LHEUE%203750-8200\3-DIV7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ata%204\TENDER%20IRIGASI\Tender\LG%20-%2003B\JALAN-LG-03B-REVISI%202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a-o2\f\PROYEK%20BAL\CRS_TK\BQ%20TK%20YKA_new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IPTA%20KARYA%20ACEH\KEGIATAN%20TAHUN%202019\PERHITUNGAN%20BPJS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oelkerja\RAB%20Coll\Rab%20UGD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My%20Documents\YUSRI\RUMAH%20mesin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urya\SSSS\5-ALAT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nts%20and%20Settings\Acer\My%20Documents\DATA\My%20Documents\YUSRI\RUMAH%20mesin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\administrator\TA%202006\Penawaran\harga%20basic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DATA%20PENDUKUNG%200\THOMS@FW%20BANDA%20ACEH\PROGRESS%20REPORT\MONTHLY%20REPORT\1-SUPARMAN\Package-I-ADHY%20KARYA\Data-130106\Documents%20and%20Settings\Toshiba\My%20Documents\RAHMAD%20H\JICS\2-BID-JICS%200708%2024%20oct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FLASS%20OM%20ADEK\ZULHAQ%20(F)\multi%20putra%20inti\RAB%20jalan%20revisi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Data%204\TENDER%20IRIGASI\DIKUMPULKAN%20SEMUA%20FILE\HARDISK%20BUDI\Tender\D.I%20%20JEURAM\DI.%20jeuram-2(KG)Revisi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%20U%20F%20F%20I%20L\TA%20-%202002\ANALISA%202002\ANALISA%202002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DOCUME~1\USE~1.R\LOCALS~1\Temp\Data\Mast.Anl.Bangunan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nder\Softcopy\Fulerton\Recital\Pakis-T%20Recital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Perc-RAB%20Usulan%202005\Wilayah%20-%20II\Rab%20Kr.%20Tiro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NAS%20BPBD\FINAL%20PEMADAM\RAB%20PAKET%20PEMADAM%20(REVISI_FINAL)\A\Delima\MUNIR,ST\hias\TANAMAN%20HIAS\RAB%20hi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>
        <row r="19">
          <cell r="G19">
            <v>1353030000</v>
          </cell>
        </row>
        <row r="37">
          <cell r="G37">
            <v>19883254.907401443</v>
          </cell>
        </row>
        <row r="60">
          <cell r="G60">
            <v>2814678.728536048</v>
          </cell>
        </row>
        <row r="73">
          <cell r="G73">
            <v>1805173.5808807041</v>
          </cell>
        </row>
        <row r="86">
          <cell r="G86">
            <v>2155514.8537545586</v>
          </cell>
        </row>
        <row r="124">
          <cell r="G124">
            <v>26754834.324554987</v>
          </cell>
        </row>
        <row r="225">
          <cell r="G225">
            <v>318147649.39314324</v>
          </cell>
        </row>
        <row r="275">
          <cell r="G275">
            <v>40905140.635936216</v>
          </cell>
        </row>
        <row r="301">
          <cell r="G301">
            <v>4672264.4242790667</v>
          </cell>
        </row>
        <row r="312">
          <cell r="G312">
            <v>216004878.56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>
        <row r="8">
          <cell r="F8">
            <v>4532.3142857142857</v>
          </cell>
        </row>
        <row r="9">
          <cell r="F9">
            <v>5963.5714285714284</v>
          </cell>
        </row>
        <row r="10">
          <cell r="F10">
            <v>7156.2857142857147</v>
          </cell>
        </row>
        <row r="70">
          <cell r="F70">
            <v>5500</v>
          </cell>
        </row>
        <row r="71">
          <cell r="F71">
            <v>1250000</v>
          </cell>
        </row>
        <row r="90">
          <cell r="F90">
            <v>973593.01274346234</v>
          </cell>
        </row>
        <row r="91">
          <cell r="F91">
            <v>8500</v>
          </cell>
        </row>
        <row r="98">
          <cell r="F98">
            <v>110200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Informasi"/>
      <sheetName val="Peta Quarry"/>
      <sheetName val="Mobilisasi"/>
      <sheetName val="Perhitungan Mobilisasi Alat"/>
      <sheetName val="Lalu Lintas"/>
      <sheetName val="Jembatan Sementara"/>
      <sheetName val="BOQ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9">
          <cell r="G19">
            <v>8480000</v>
          </cell>
        </row>
        <row r="37">
          <cell r="G37">
            <v>19883254.907401443</v>
          </cell>
        </row>
        <row r="86">
          <cell r="G86">
            <v>2155514.8537545586</v>
          </cell>
        </row>
        <row r="124">
          <cell r="G124">
            <v>26754834.324554987</v>
          </cell>
        </row>
        <row r="225">
          <cell r="G225">
            <v>318147649.39314324</v>
          </cell>
        </row>
        <row r="275">
          <cell r="G275">
            <v>40905140.635936216</v>
          </cell>
        </row>
        <row r="301">
          <cell r="G301">
            <v>4672264.4242790667</v>
          </cell>
        </row>
        <row r="312">
          <cell r="G312">
            <v>216004878.56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8">
          <cell r="F8">
            <v>4532.3142857142857</v>
          </cell>
        </row>
        <row r="9">
          <cell r="F9">
            <v>5963.5714285714284</v>
          </cell>
        </row>
        <row r="10">
          <cell r="F10">
            <v>7156.2857142857147</v>
          </cell>
        </row>
        <row r="53">
          <cell r="F53">
            <v>210171.86073869557</v>
          </cell>
        </row>
        <row r="54">
          <cell r="F54">
            <v>210171.86073869557</v>
          </cell>
        </row>
        <row r="60">
          <cell r="F60">
            <v>6400</v>
          </cell>
        </row>
        <row r="61">
          <cell r="F61">
            <v>1650</v>
          </cell>
        </row>
        <row r="67">
          <cell r="F67">
            <v>140000</v>
          </cell>
        </row>
        <row r="70">
          <cell r="F70">
            <v>5500</v>
          </cell>
        </row>
        <row r="71">
          <cell r="F71">
            <v>1250000</v>
          </cell>
        </row>
        <row r="78">
          <cell r="F78">
            <v>245166.35687497546</v>
          </cell>
        </row>
        <row r="79">
          <cell r="F79">
            <v>226389.8792236358</v>
          </cell>
        </row>
        <row r="85">
          <cell r="F85">
            <v>12000</v>
          </cell>
        </row>
        <row r="90">
          <cell r="F90">
            <v>973593.01274346234</v>
          </cell>
        </row>
        <row r="91">
          <cell r="F91">
            <v>8500</v>
          </cell>
        </row>
        <row r="98">
          <cell r="F98">
            <v>110200</v>
          </cell>
        </row>
        <row r="101">
          <cell r="F101">
            <v>638182.22457581107</v>
          </cell>
        </row>
        <row r="102">
          <cell r="F102">
            <v>11000</v>
          </cell>
        </row>
      </sheetData>
      <sheetData sheetId="27" refreshError="1"/>
      <sheetData sheetId="28" refreshError="1"/>
      <sheetData sheetId="29" refreshError="1">
        <row r="9">
          <cell r="AW9">
            <v>869616.53891640902</v>
          </cell>
        </row>
        <row r="12">
          <cell r="AW12">
            <v>111049.38270398851</v>
          </cell>
        </row>
        <row r="13">
          <cell r="AW13">
            <v>133800.43704318939</v>
          </cell>
        </row>
        <row r="14">
          <cell r="AW14">
            <v>543727.91278538224</v>
          </cell>
        </row>
        <row r="15">
          <cell r="AW15">
            <v>164696.38269006539</v>
          </cell>
        </row>
        <row r="16">
          <cell r="AW16">
            <v>337926.6423559105</v>
          </cell>
        </row>
        <row r="17">
          <cell r="AW17">
            <v>383252.00767367752</v>
          </cell>
        </row>
        <row r="18">
          <cell r="AW18">
            <v>330875.07599656604</v>
          </cell>
        </row>
        <row r="20">
          <cell r="AW20">
            <v>343794.00391593983</v>
          </cell>
        </row>
        <row r="22">
          <cell r="AW22">
            <v>266795.62207187875</v>
          </cell>
        </row>
        <row r="23">
          <cell r="AW23">
            <v>162603.45236983357</v>
          </cell>
        </row>
        <row r="24">
          <cell r="AW24">
            <v>401348.47929273802</v>
          </cell>
        </row>
        <row r="30">
          <cell r="AW30">
            <v>161074.00271095007</v>
          </cell>
        </row>
        <row r="34">
          <cell r="AW34">
            <v>1032079.1901457378</v>
          </cell>
        </row>
        <row r="36">
          <cell r="AW36">
            <v>367471.4576303364</v>
          </cell>
        </row>
        <row r="38">
          <cell r="AW38">
            <v>359970.50961916702</v>
          </cell>
        </row>
      </sheetData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(2)"/>
      <sheetName val="RAB TUGU"/>
      <sheetName val="Cover"/>
      <sheetName val="Rekap"/>
      <sheetName val="Rab"/>
      <sheetName val="Jbt"/>
      <sheetName val="Jbt2"/>
      <sheetName val="An. HS"/>
      <sheetName val="BOW"/>
      <sheetName val="Upah&amp;Bhn "/>
      <sheetName val="Anl Tkn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M11">
            <v>19900</v>
          </cell>
        </row>
        <row r="25">
          <cell r="M25">
            <v>76000</v>
          </cell>
        </row>
        <row r="28">
          <cell r="M28">
            <v>6000</v>
          </cell>
        </row>
        <row r="29">
          <cell r="M29">
            <v>1900</v>
          </cell>
        </row>
        <row r="45">
          <cell r="M45">
            <v>79400</v>
          </cell>
        </row>
        <row r="80">
          <cell r="L80">
            <v>45000</v>
          </cell>
        </row>
        <row r="81">
          <cell r="L81">
            <v>50000</v>
          </cell>
        </row>
        <row r="85">
          <cell r="L85">
            <v>60000</v>
          </cell>
        </row>
        <row r="86">
          <cell r="L86">
            <v>50000</v>
          </cell>
        </row>
        <row r="88">
          <cell r="L88">
            <v>50000</v>
          </cell>
        </row>
        <row r="89">
          <cell r="L89">
            <v>40000</v>
          </cell>
        </row>
        <row r="91">
          <cell r="L91">
            <v>30000</v>
          </cell>
        </row>
        <row r="92">
          <cell r="L92">
            <v>32500</v>
          </cell>
        </row>
        <row r="93">
          <cell r="L93">
            <v>35000</v>
          </cell>
        </row>
      </sheetData>
      <sheetData sheetId="1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BQ"/>
      <sheetName val="Daftar Analisa"/>
      <sheetName val="Upah"/>
      <sheetName val="KURVA S"/>
      <sheetName val="Satuan"/>
      <sheetName val="Upah (2)"/>
      <sheetName val="Sheet1"/>
      <sheetName val="TOR"/>
      <sheetName val="srt tawar"/>
      <sheetName val="KULIT"/>
    </sheetNames>
    <sheetDataSet>
      <sheetData sheetId="0"/>
      <sheetData sheetId="1"/>
      <sheetData sheetId="2"/>
      <sheetData sheetId="3">
        <row r="10">
          <cell r="M10">
            <v>132090</v>
          </cell>
        </row>
        <row r="12">
          <cell r="M12">
            <v>148750</v>
          </cell>
        </row>
        <row r="13">
          <cell r="M13">
            <v>106250</v>
          </cell>
        </row>
        <row r="14">
          <cell r="M14">
            <v>129200</v>
          </cell>
        </row>
        <row r="15">
          <cell r="M15">
            <v>129200</v>
          </cell>
        </row>
        <row r="16">
          <cell r="M16">
            <v>129200</v>
          </cell>
        </row>
        <row r="17">
          <cell r="M17">
            <v>148750</v>
          </cell>
        </row>
        <row r="18">
          <cell r="M18">
            <v>148750</v>
          </cell>
        </row>
        <row r="19">
          <cell r="M19">
            <v>148750</v>
          </cell>
        </row>
        <row r="20">
          <cell r="M20">
            <v>148750</v>
          </cell>
        </row>
        <row r="21">
          <cell r="M21">
            <v>114750</v>
          </cell>
        </row>
        <row r="22">
          <cell r="M22">
            <v>136000</v>
          </cell>
        </row>
        <row r="23">
          <cell r="M23">
            <v>74375</v>
          </cell>
        </row>
        <row r="25">
          <cell r="M25">
            <v>17000</v>
          </cell>
        </row>
        <row r="26">
          <cell r="M26">
            <v>63750</v>
          </cell>
        </row>
        <row r="29">
          <cell r="M29">
            <v>722500</v>
          </cell>
        </row>
        <row r="30">
          <cell r="M30">
            <v>39100</v>
          </cell>
        </row>
        <row r="31">
          <cell r="M31">
            <v>731000</v>
          </cell>
        </row>
        <row r="32">
          <cell r="M32">
            <v>31025</v>
          </cell>
        </row>
        <row r="33">
          <cell r="M33">
            <v>14110</v>
          </cell>
        </row>
        <row r="34">
          <cell r="M34">
            <v>1657500</v>
          </cell>
        </row>
        <row r="35">
          <cell r="M35">
            <v>21250</v>
          </cell>
        </row>
        <row r="36">
          <cell r="M36">
            <v>19125</v>
          </cell>
        </row>
        <row r="37">
          <cell r="M37">
            <v>16150</v>
          </cell>
        </row>
        <row r="38">
          <cell r="M38">
            <v>140250</v>
          </cell>
        </row>
        <row r="42">
          <cell r="M42">
            <v>19550</v>
          </cell>
        </row>
        <row r="43">
          <cell r="M43">
            <v>19635</v>
          </cell>
        </row>
        <row r="44">
          <cell r="M44">
            <v>11772.5</v>
          </cell>
        </row>
        <row r="47">
          <cell r="M47">
            <v>2082500</v>
          </cell>
        </row>
        <row r="48">
          <cell r="M48">
            <v>2762500</v>
          </cell>
        </row>
        <row r="83">
          <cell r="L83">
            <v>50000</v>
          </cell>
        </row>
        <row r="84">
          <cell r="L84">
            <v>60000</v>
          </cell>
        </row>
        <row r="85">
          <cell r="L85">
            <v>55000</v>
          </cell>
        </row>
        <row r="88">
          <cell r="L88">
            <v>35000</v>
          </cell>
        </row>
        <row r="91">
          <cell r="L91">
            <v>45000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YogyadanSolo"/>
      <sheetName val="har-sat"/>
      <sheetName val="dashboard"/>
    </sheetNames>
    <sheetDataSet>
      <sheetData sheetId="0"/>
      <sheetData sheetId="1">
        <row r="3">
          <cell r="K3">
            <v>0.1</v>
          </cell>
        </row>
      </sheetData>
      <sheetData sheetId="2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"/>
      <sheetName val="Additional"/>
      <sheetName val="Gal_Cold Milling"/>
      <sheetName val="Gal_Jack Hammer"/>
    </sheetNames>
    <sheetDataSet>
      <sheetData sheetId="0" refreshError="1">
        <row r="841">
          <cell r="T841" t="str">
            <v>Analisa EI-322</v>
          </cell>
        </row>
        <row r="843">
          <cell r="L843" t="str">
            <v>FORMULIR STANDAR UNTUK</v>
          </cell>
        </row>
        <row r="844">
          <cell r="L844" t="str">
            <v>PEREKAMAN ANALISA MASING-MASING HARGA SATUAN</v>
          </cell>
        </row>
        <row r="845">
          <cell r="L845" t="str">
            <v/>
          </cell>
        </row>
        <row r="848">
          <cell r="L848" t="str">
            <v>PROYEK</v>
          </cell>
          <cell r="O848" t="str">
            <v>: Proyek Pembangunan Jalan Pantai Utara  Jawa Barat</v>
          </cell>
        </row>
        <row r="849">
          <cell r="L849" t="str">
            <v>No. PAKET KONTRAK</v>
          </cell>
          <cell r="O849" t="str">
            <v xml:space="preserve">: </v>
          </cell>
        </row>
        <row r="850">
          <cell r="L850" t="str">
            <v>NAMA PAKET</v>
          </cell>
          <cell r="O850" t="str">
            <v>:  Flyover  Pamanukan</v>
          </cell>
        </row>
        <row r="851">
          <cell r="L851" t="str">
            <v>PROP / KAB / KODYA</v>
          </cell>
          <cell r="O851" t="str">
            <v>: Jawa Barat</v>
          </cell>
        </row>
        <row r="852">
          <cell r="L852" t="str">
            <v>ITEM PEMBAYARAN NO.</v>
          </cell>
          <cell r="O852" t="str">
            <v>:  3.2 (2)</v>
          </cell>
          <cell r="R852" t="str">
            <v>PERKIRAAN VOL. PEK.</v>
          </cell>
          <cell r="T852" t="str">
            <v>:</v>
          </cell>
          <cell r="U852">
            <v>6571.2013500000003</v>
          </cell>
        </row>
        <row r="853">
          <cell r="L853" t="str">
            <v>JENIS PEKERJAAN</v>
          </cell>
          <cell r="O853" t="str">
            <v>:  Timbunan Pilihan</v>
          </cell>
          <cell r="R853" t="str">
            <v>TOTAL HARGA (Rp.)</v>
          </cell>
          <cell r="T853" t="str">
            <v>:</v>
          </cell>
          <cell r="U853">
            <v>359628773.19481355</v>
          </cell>
        </row>
        <row r="854">
          <cell r="L854" t="str">
            <v>SATUAN PEMBAYARAN</v>
          </cell>
          <cell r="O854" t="str">
            <v>:  M3</v>
          </cell>
          <cell r="R854" t="str">
            <v>% THD. BIAYA PROYEK</v>
          </cell>
          <cell r="T854" t="str">
            <v>:</v>
          </cell>
          <cell r="U854">
            <v>0.70465720727372594</v>
          </cell>
        </row>
        <row r="857">
          <cell r="Q857" t="str">
            <v>PERKIRAAN</v>
          </cell>
          <cell r="R857" t="str">
            <v>HARGA</v>
          </cell>
          <cell r="S857" t="str">
            <v>JUMLAH</v>
          </cell>
        </row>
        <row r="858">
          <cell r="L858" t="str">
            <v>NO.</v>
          </cell>
          <cell r="N858" t="str">
            <v>KOMPONEN</v>
          </cell>
          <cell r="P858" t="str">
            <v>SATUAN</v>
          </cell>
          <cell r="Q858" t="str">
            <v>KUANTITAS</v>
          </cell>
          <cell r="R858" t="str">
            <v>SATUAN</v>
          </cell>
          <cell r="S858" t="str">
            <v>HARGA</v>
          </cell>
        </row>
        <row r="859">
          <cell r="R859" t="str">
            <v>(Rp.)</v>
          </cell>
          <cell r="S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O864" t="str">
            <v>(L01)</v>
          </cell>
          <cell r="P864" t="str">
            <v>Jam</v>
          </cell>
          <cell r="Q864">
            <v>7.1396697902721989E-2</v>
          </cell>
          <cell r="R864">
            <v>2750</v>
          </cell>
          <cell r="U864">
            <v>196.34091923248548</v>
          </cell>
        </row>
        <row r="865">
          <cell r="L865" t="str">
            <v>2.</v>
          </cell>
          <cell r="N865" t="str">
            <v>Mandor</v>
          </cell>
          <cell r="O865" t="str">
            <v>(L03)</v>
          </cell>
          <cell r="P865" t="str">
            <v>Jam</v>
          </cell>
          <cell r="Q865">
            <v>1.7849174475680497E-2</v>
          </cell>
          <cell r="R865">
            <v>4000</v>
          </cell>
          <cell r="U865">
            <v>71.396697902721996</v>
          </cell>
        </row>
        <row r="868">
          <cell r="Q868" t="str">
            <v xml:space="preserve">JUMLAH HARGA TENAGA   </v>
          </cell>
          <cell r="U868">
            <v>267.73761713520747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Bahan pilihan   (M09)</v>
          </cell>
          <cell r="O872" t="str">
            <v>(M09)</v>
          </cell>
          <cell r="P872" t="str">
            <v>M3</v>
          </cell>
          <cell r="Q872">
            <v>1.2</v>
          </cell>
          <cell r="R872">
            <v>21000</v>
          </cell>
          <cell r="U872">
            <v>25200</v>
          </cell>
        </row>
        <row r="878">
          <cell r="Q878" t="str">
            <v xml:space="preserve">JUMLAH HARGA BAHAN   </v>
          </cell>
          <cell r="U878">
            <v>25200</v>
          </cell>
        </row>
        <row r="880">
          <cell r="L880" t="str">
            <v>C.</v>
          </cell>
          <cell r="N880" t="str">
            <v>PERALATAN</v>
          </cell>
        </row>
        <row r="881">
          <cell r="L881" t="str">
            <v>1.</v>
          </cell>
          <cell r="N881" t="str">
            <v>Wheel  Loader</v>
          </cell>
          <cell r="O881" t="str">
            <v>(E15)</v>
          </cell>
          <cell r="P881" t="str">
            <v>Jam</v>
          </cell>
          <cell r="Q881">
            <v>1.7849174475680497E-2</v>
          </cell>
          <cell r="R881">
            <v>181182.97084330328</v>
          </cell>
          <cell r="U881">
            <v>3233.9664586042527</v>
          </cell>
        </row>
        <row r="882">
          <cell r="L882" t="str">
            <v>2.</v>
          </cell>
          <cell r="N882" t="str">
            <v>Dump Truck</v>
          </cell>
          <cell r="O882" t="str">
            <v>(E08)</v>
          </cell>
          <cell r="P882" t="str">
            <v>Jam</v>
          </cell>
          <cell r="Q882">
            <v>0.16265060240963855</v>
          </cell>
          <cell r="R882">
            <v>90902.327191025077</v>
          </cell>
          <cell r="U882">
            <v>14785.318278058296</v>
          </cell>
        </row>
        <row r="883">
          <cell r="L883" t="str">
            <v>3.</v>
          </cell>
          <cell r="N883" t="str">
            <v>Motor Grader</v>
          </cell>
          <cell r="O883" t="str">
            <v>(E13)</v>
          </cell>
          <cell r="P883" t="str">
            <v>Jam</v>
          </cell>
          <cell r="Q883">
            <v>1.5618027666220438E-2</v>
          </cell>
          <cell r="R883">
            <v>249349.23784774702</v>
          </cell>
          <cell r="U883">
            <v>3894.3432952570934</v>
          </cell>
        </row>
        <row r="884">
          <cell r="L884" t="str">
            <v>3.</v>
          </cell>
          <cell r="N884" t="str">
            <v>Vibro Roller</v>
          </cell>
          <cell r="O884" t="str">
            <v>(E19)</v>
          </cell>
          <cell r="P884" t="str">
            <v>Jam</v>
          </cell>
          <cell r="Q884">
            <v>1.6064257028112448E-2</v>
          </cell>
          <cell r="R884">
            <v>105030.97519263501</v>
          </cell>
          <cell r="U884">
            <v>1687.2445814077912</v>
          </cell>
        </row>
        <row r="885">
          <cell r="L885" t="str">
            <v>4.</v>
          </cell>
          <cell r="N885" t="str">
            <v>Water Tanker</v>
          </cell>
          <cell r="O885" t="str">
            <v>(E23)</v>
          </cell>
          <cell r="P885" t="str">
            <v>Jam</v>
          </cell>
          <cell r="Q885">
            <v>7.0281124497991983E-3</v>
          </cell>
          <cell r="R885">
            <v>85958.879632794691</v>
          </cell>
          <cell r="U885">
            <v>604.12867211803507</v>
          </cell>
        </row>
        <row r="886">
          <cell r="L886" t="str">
            <v>5.</v>
          </cell>
          <cell r="N886" t="str">
            <v>Alat  Bantu</v>
          </cell>
          <cell r="P886" t="str">
            <v>Ls</v>
          </cell>
          <cell r="Q886">
            <v>1</v>
          </cell>
          <cell r="R886">
            <v>80</v>
          </cell>
          <cell r="U886">
            <v>80</v>
          </cell>
        </row>
        <row r="890">
          <cell r="Q890" t="str">
            <v xml:space="preserve">JUMLAH HARGA PERALATAN   </v>
          </cell>
          <cell r="U890">
            <v>24285.001285445473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U892">
            <v>49752.738902580677</v>
          </cell>
        </row>
        <row r="893">
          <cell r="L893" t="str">
            <v>E.</v>
          </cell>
          <cell r="N893" t="str">
            <v>OVERHEAD &amp; PROFIT</v>
          </cell>
          <cell r="P893">
            <v>10</v>
          </cell>
          <cell r="Q893" t="str">
            <v>%  x  D</v>
          </cell>
          <cell r="U893">
            <v>4975.2738902580677</v>
          </cell>
        </row>
        <row r="894">
          <cell r="L894" t="str">
            <v>F.</v>
          </cell>
          <cell r="N894" t="str">
            <v>HARGA SATUAN PEKERJAAN  ( D + E )</v>
          </cell>
          <cell r="U894">
            <v>54728.012792838745</v>
          </cell>
        </row>
        <row r="895">
          <cell r="L895" t="str">
            <v>Note: 1</v>
          </cell>
          <cell r="N895" t="str">
            <v>SATUAN dapat berdasarkan atas jam operasi untuk Tenaga Kerja dan Peralatan, volume dan/atau ukuran</v>
          </cell>
        </row>
        <row r="896">
          <cell r="N896" t="str">
            <v>berat untuk bahan-bahan.</v>
          </cell>
        </row>
        <row r="897">
          <cell r="L897">
            <v>2</v>
          </cell>
          <cell r="N897" t="str">
            <v>Kuantitas satuan adalah kuantitas setiap komponen untuk menyelesaikan satu satuan pekerjaan dari nomor</v>
          </cell>
        </row>
        <row r="898">
          <cell r="N898" t="str">
            <v>mata pembayaran.</v>
          </cell>
        </row>
        <row r="899">
          <cell r="L899">
            <v>3</v>
          </cell>
          <cell r="N899" t="str">
            <v>Biaya satuan untuk peralatan sudah termasuk bahan bakar, bahan habis dipakai dan operator.</v>
          </cell>
        </row>
        <row r="900">
          <cell r="L900">
            <v>4</v>
          </cell>
          <cell r="N900" t="str">
            <v>Biaya satuan sudah termasuk pengeluaran untuk seluruh pajak yang berkaitan (tetapi tidak termasuk PPN</v>
          </cell>
        </row>
        <row r="901">
          <cell r="N901" t="str">
            <v>yang dibayar dari kontrak) dan biaya-biaya lainnya.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)"/>
      <sheetName val="Analisa (ok)"/>
      <sheetName val="Rekap"/>
      <sheetName val="Kuan&amp;Harga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/>
      <sheetData sheetId="1"/>
      <sheetData sheetId="2"/>
      <sheetData sheetId="3">
        <row r="39">
          <cell r="I39">
            <v>6000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</sheetNames>
    <sheetDataSet>
      <sheetData sheetId="0" refreshError="1">
        <row r="13">
          <cell r="I13" t="str">
            <v>%</v>
          </cell>
        </row>
        <row r="14">
          <cell r="I14" t="str">
            <v>%</v>
          </cell>
        </row>
        <row r="15">
          <cell r="I15" t="str">
            <v>%</v>
          </cell>
        </row>
        <row r="16">
          <cell r="I16" t="str">
            <v>%</v>
          </cell>
        </row>
        <row r="17">
          <cell r="I17" t="str">
            <v>Ton/M3</v>
          </cell>
        </row>
        <row r="18">
          <cell r="I18" t="str">
            <v>Ton/M3</v>
          </cell>
        </row>
        <row r="19">
          <cell r="I19" t="str">
            <v>Ton/M3</v>
          </cell>
        </row>
        <row r="20">
          <cell r="I20" t="str">
            <v>Rp./M3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ekap"/>
      <sheetName val="V.rkb"/>
      <sheetName val="rkb2"/>
      <sheetName val="v3rkb"/>
      <sheetName val="3rkb"/>
      <sheetName val="v.lab"/>
      <sheetName val="lab"/>
      <sheetName val="V.budi"/>
      <sheetName val="budi"/>
      <sheetName val="V.mus"/>
      <sheetName val="mus"/>
      <sheetName val="vr.g"/>
      <sheetName val="r.g betul"/>
      <sheetName val="3 rumah guru"/>
      <sheetName val="v.asrama"/>
      <sheetName val="asrama"/>
      <sheetName val="v.mck"/>
      <sheetName val="rabmck"/>
      <sheetName val="non standar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86">
          <cell r="E86">
            <v>70000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jadwal"/>
      <sheetName val="jadwal Alat"/>
    </sheetNames>
    <sheetDataSet>
      <sheetData sheetId="0">
        <row r="14">
          <cell r="F14">
            <v>8500</v>
          </cell>
        </row>
        <row r="16">
          <cell r="F16">
            <v>7000</v>
          </cell>
        </row>
        <row r="18">
          <cell r="F18">
            <v>7800</v>
          </cell>
        </row>
        <row r="20">
          <cell r="F20">
            <v>7000</v>
          </cell>
        </row>
        <row r="22">
          <cell r="F22">
            <v>7000</v>
          </cell>
        </row>
        <row r="24">
          <cell r="F24">
            <v>6400</v>
          </cell>
        </row>
        <row r="26">
          <cell r="F26">
            <v>7000</v>
          </cell>
        </row>
        <row r="43">
          <cell r="A43" t="str">
            <v>DAFTAR</v>
          </cell>
        </row>
        <row r="44">
          <cell r="A44" t="str">
            <v>HARGA DASAR SATUAN BAHAN</v>
          </cell>
        </row>
        <row r="46">
          <cell r="F46" t="str">
            <v>HARGA</v>
          </cell>
        </row>
        <row r="47">
          <cell r="A47" t="str">
            <v>No.</v>
          </cell>
          <cell r="B47" t="str">
            <v>U R A I A N</v>
          </cell>
          <cell r="D47" t="str">
            <v>KODE</v>
          </cell>
          <cell r="E47" t="str">
            <v>SATUAN</v>
          </cell>
          <cell r="F47" t="str">
            <v>SATUAN</v>
          </cell>
          <cell r="G47" t="str">
            <v>KETERANGAN</v>
          </cell>
        </row>
        <row r="48">
          <cell r="F48" t="str">
            <v>( Rp.)</v>
          </cell>
        </row>
        <row r="50">
          <cell r="A50" t="str">
            <v>1.</v>
          </cell>
          <cell r="C50" t="str">
            <v>P a s i r</v>
          </cell>
          <cell r="D50" t="str">
            <v>M01</v>
          </cell>
          <cell r="E50" t="str">
            <v>M3</v>
          </cell>
          <cell r="F50">
            <v>65000</v>
          </cell>
        </row>
        <row r="52">
          <cell r="A52" t="str">
            <v>2.</v>
          </cell>
          <cell r="C52" t="str">
            <v>Batu Kali</v>
          </cell>
          <cell r="D52" t="str">
            <v>M02</v>
          </cell>
          <cell r="E52" t="str">
            <v>M3</v>
          </cell>
          <cell r="F52">
            <v>65000</v>
          </cell>
        </row>
        <row r="54">
          <cell r="A54" t="str">
            <v>3.</v>
          </cell>
          <cell r="C54" t="str">
            <v>Agregat Kasar</v>
          </cell>
          <cell r="D54" t="str">
            <v>M03</v>
          </cell>
          <cell r="E54" t="str">
            <v>M3</v>
          </cell>
          <cell r="F54">
            <v>108860.47762478486</v>
          </cell>
        </row>
        <row r="56">
          <cell r="A56" t="str">
            <v>4.</v>
          </cell>
          <cell r="C56" t="str">
            <v>Agregat Halus</v>
          </cell>
          <cell r="D56" t="str">
            <v>M04</v>
          </cell>
          <cell r="E56" t="str">
            <v>M3</v>
          </cell>
          <cell r="F56">
            <v>108421.71543316121</v>
          </cell>
        </row>
        <row r="58">
          <cell r="A58" t="str">
            <v>5.</v>
          </cell>
          <cell r="C58" t="str">
            <v>F i l l e r</v>
          </cell>
          <cell r="D58" t="str">
            <v>M05</v>
          </cell>
          <cell r="E58" t="str">
            <v>Kg</v>
          </cell>
          <cell r="F58">
            <v>800</v>
          </cell>
        </row>
        <row r="60">
          <cell r="A60" t="str">
            <v>6.</v>
          </cell>
          <cell r="C60" t="str">
            <v>Batu Belah / Kerakal</v>
          </cell>
          <cell r="D60" t="str">
            <v>M06</v>
          </cell>
          <cell r="E60" t="str">
            <v>M3</v>
          </cell>
          <cell r="F60">
            <v>65000</v>
          </cell>
        </row>
        <row r="62">
          <cell r="A62" t="str">
            <v>7.</v>
          </cell>
          <cell r="C62" t="str">
            <v>G r a v e l</v>
          </cell>
          <cell r="D62" t="str">
            <v>M07</v>
          </cell>
          <cell r="E62" t="str">
            <v>M3</v>
          </cell>
          <cell r="F62">
            <v>65000</v>
          </cell>
        </row>
        <row r="64">
          <cell r="A64" t="str">
            <v>8.</v>
          </cell>
          <cell r="C64" t="str">
            <v>Bahan Tanah Timbunan</v>
          </cell>
          <cell r="D64" t="str">
            <v>M08</v>
          </cell>
          <cell r="E64" t="str">
            <v>M3</v>
          </cell>
          <cell r="F64">
            <v>5000</v>
          </cell>
        </row>
        <row r="66">
          <cell r="A66" t="str">
            <v>9.</v>
          </cell>
          <cell r="C66" t="str">
            <v>Bahan Pilihan</v>
          </cell>
          <cell r="D66" t="str">
            <v>M09</v>
          </cell>
          <cell r="E66" t="str">
            <v>M3</v>
          </cell>
          <cell r="F66">
            <v>20000</v>
          </cell>
        </row>
        <row r="68">
          <cell r="A68" t="str">
            <v>10.</v>
          </cell>
          <cell r="C68" t="str">
            <v>Aspal Cement</v>
          </cell>
          <cell r="D68" t="str">
            <v>M10</v>
          </cell>
          <cell r="E68" t="str">
            <v>KG</v>
          </cell>
          <cell r="F68">
            <v>5000</v>
          </cell>
        </row>
        <row r="70">
          <cell r="A70" t="str">
            <v>11.</v>
          </cell>
          <cell r="C70" t="str">
            <v>Kerosen / Minyak Tanah</v>
          </cell>
          <cell r="D70" t="str">
            <v>M11</v>
          </cell>
          <cell r="E70" t="str">
            <v>LITER</v>
          </cell>
          <cell r="F70">
            <v>2800</v>
          </cell>
        </row>
        <row r="72">
          <cell r="A72" t="str">
            <v>12.</v>
          </cell>
          <cell r="C72" t="str">
            <v>Semen / PC  (50kg)</v>
          </cell>
          <cell r="D72" t="str">
            <v>M12</v>
          </cell>
          <cell r="E72" t="str">
            <v>Zak</v>
          </cell>
          <cell r="F72">
            <v>33750</v>
          </cell>
        </row>
        <row r="73">
          <cell r="D73" t="str">
            <v>M12</v>
          </cell>
          <cell r="E73" t="str">
            <v>Kg</v>
          </cell>
          <cell r="F73">
            <v>675</v>
          </cell>
        </row>
        <row r="74">
          <cell r="A74" t="str">
            <v>13.</v>
          </cell>
          <cell r="C74" t="str">
            <v>Besi Beton</v>
          </cell>
          <cell r="D74" t="str">
            <v>M13</v>
          </cell>
          <cell r="E74" t="str">
            <v>Kg</v>
          </cell>
          <cell r="F74">
            <v>3500</v>
          </cell>
        </row>
        <row r="76">
          <cell r="A76" t="str">
            <v>14.</v>
          </cell>
          <cell r="C76" t="str">
            <v>Kawat Beton</v>
          </cell>
          <cell r="D76" t="str">
            <v>M14</v>
          </cell>
          <cell r="E76" t="str">
            <v>Kg</v>
          </cell>
          <cell r="F76">
            <v>5000</v>
          </cell>
        </row>
        <row r="78">
          <cell r="A78" t="str">
            <v>15.</v>
          </cell>
          <cell r="C78" t="str">
            <v>Kawat Bronjong Dia 4 mm</v>
          </cell>
          <cell r="D78" t="str">
            <v>M15</v>
          </cell>
          <cell r="E78" t="str">
            <v>Kg</v>
          </cell>
          <cell r="F78">
            <v>14025</v>
          </cell>
        </row>
        <row r="80">
          <cell r="A80" t="str">
            <v>16.</v>
          </cell>
          <cell r="C80" t="str">
            <v>S i r t u</v>
          </cell>
          <cell r="D80" t="str">
            <v>M16</v>
          </cell>
          <cell r="E80" t="str">
            <v>M3</v>
          </cell>
          <cell r="F80">
            <v>55000</v>
          </cell>
        </row>
        <row r="82">
          <cell r="A82" t="str">
            <v>17.</v>
          </cell>
          <cell r="C82" t="str">
            <v>Cat Marka (Non Thermoplas)</v>
          </cell>
          <cell r="D82" t="str">
            <v>M17a</v>
          </cell>
          <cell r="E82" t="str">
            <v>Kg</v>
          </cell>
          <cell r="F82">
            <v>35000</v>
          </cell>
        </row>
        <row r="83">
          <cell r="C83" t="str">
            <v>Cat Marka (Thermoplastic)</v>
          </cell>
          <cell r="D83" t="str">
            <v>M17b</v>
          </cell>
          <cell r="E83" t="str">
            <v>Kg</v>
          </cell>
          <cell r="F83">
            <v>45000</v>
          </cell>
        </row>
        <row r="84">
          <cell r="A84" t="str">
            <v>17.</v>
          </cell>
          <cell r="C84" t="str">
            <v>P a k u</v>
          </cell>
          <cell r="D84" t="str">
            <v>M18</v>
          </cell>
          <cell r="E84" t="str">
            <v>Kg</v>
          </cell>
          <cell r="F84">
            <v>8000</v>
          </cell>
        </row>
        <row r="86">
          <cell r="G86" t="str">
            <v xml:space="preserve">Berlanjut ke halaman berikut  </v>
          </cell>
        </row>
        <row r="87">
          <cell r="A87" t="str">
            <v>DAFTAR</v>
          </cell>
        </row>
        <row r="88">
          <cell r="A88" t="str">
            <v>HARGA DASAR SATUAN BAHAN</v>
          </cell>
        </row>
        <row r="89">
          <cell r="G89" t="str">
            <v xml:space="preserve">Lanjutan </v>
          </cell>
        </row>
        <row r="90">
          <cell r="F90" t="str">
            <v>HARGA</v>
          </cell>
        </row>
        <row r="91">
          <cell r="A91" t="str">
            <v>No.</v>
          </cell>
          <cell r="B91" t="str">
            <v>U R A I A N</v>
          </cell>
          <cell r="D91" t="str">
            <v>KODE</v>
          </cell>
          <cell r="E91" t="str">
            <v>SATUAN</v>
          </cell>
          <cell r="F91" t="str">
            <v>SATUAN</v>
          </cell>
          <cell r="G91" t="str">
            <v>KETERANGAN</v>
          </cell>
        </row>
        <row r="92">
          <cell r="F92" t="str">
            <v>( Rp.)</v>
          </cell>
        </row>
        <row r="95">
          <cell r="A95" t="str">
            <v>18.</v>
          </cell>
          <cell r="C95" t="str">
            <v>Kayu Perancah</v>
          </cell>
          <cell r="D95" t="str">
            <v>M19</v>
          </cell>
          <cell r="E95" t="str">
            <v>M3</v>
          </cell>
          <cell r="F95">
            <v>1200000</v>
          </cell>
        </row>
        <row r="97">
          <cell r="A97" t="str">
            <v>19.</v>
          </cell>
          <cell r="C97" t="str">
            <v>B e n s i n</v>
          </cell>
          <cell r="D97" t="str">
            <v>M20</v>
          </cell>
          <cell r="E97" t="str">
            <v>LITER</v>
          </cell>
          <cell r="F97">
            <v>4500</v>
          </cell>
        </row>
        <row r="99">
          <cell r="A99" t="str">
            <v>20.</v>
          </cell>
          <cell r="C99" t="str">
            <v>S o l a r</v>
          </cell>
          <cell r="D99" t="str">
            <v>M21</v>
          </cell>
          <cell r="E99" t="str">
            <v>LITER</v>
          </cell>
          <cell r="F99">
            <v>4300</v>
          </cell>
        </row>
        <row r="101">
          <cell r="A101" t="str">
            <v>21.</v>
          </cell>
          <cell r="C101" t="str">
            <v>Minyak Pelumas / Olie</v>
          </cell>
          <cell r="D101" t="str">
            <v>M22</v>
          </cell>
          <cell r="E101" t="str">
            <v>LITER</v>
          </cell>
          <cell r="F101">
            <v>25000</v>
          </cell>
        </row>
        <row r="103">
          <cell r="A103" t="str">
            <v>23.</v>
          </cell>
          <cell r="C103" t="str">
            <v>Plastik Filter</v>
          </cell>
          <cell r="D103" t="str">
            <v>M23</v>
          </cell>
          <cell r="E103" t="str">
            <v>M2</v>
          </cell>
          <cell r="F103">
            <v>12500</v>
          </cell>
        </row>
        <row r="105">
          <cell r="A105" t="str">
            <v>24.</v>
          </cell>
          <cell r="C105" t="str">
            <v>Pipa Galvanis Dia. 3"</v>
          </cell>
          <cell r="D105" t="str">
            <v>M24</v>
          </cell>
          <cell r="E105" t="str">
            <v>Batang</v>
          </cell>
          <cell r="F105">
            <v>150000</v>
          </cell>
        </row>
        <row r="107">
          <cell r="A107" t="str">
            <v>25.</v>
          </cell>
          <cell r="C107" t="str">
            <v>Pipa Porus</v>
          </cell>
          <cell r="D107" t="str">
            <v>M25</v>
          </cell>
          <cell r="E107" t="str">
            <v>M'</v>
          </cell>
          <cell r="F107">
            <v>25000</v>
          </cell>
        </row>
        <row r="109">
          <cell r="A109" t="str">
            <v>22.</v>
          </cell>
          <cell r="C109" t="str">
            <v>Bahan Agr.Base Kelas A</v>
          </cell>
          <cell r="D109" t="str">
            <v>M26</v>
          </cell>
          <cell r="E109" t="str">
            <v>M3</v>
          </cell>
          <cell r="F109">
            <v>114913.03463855424</v>
          </cell>
        </row>
        <row r="111">
          <cell r="A111" t="str">
            <v>23.</v>
          </cell>
          <cell r="C111" t="str">
            <v>Bahan Agr.Base Kelas B</v>
          </cell>
          <cell r="D111" t="str">
            <v>M27</v>
          </cell>
          <cell r="E111" t="str">
            <v>M3</v>
          </cell>
          <cell r="F111">
            <v>90785.510255306945</v>
          </cell>
        </row>
        <row r="113">
          <cell r="A113" t="str">
            <v>24.</v>
          </cell>
          <cell r="C113" t="str">
            <v>Bahan Agr.Base Kelas C</v>
          </cell>
          <cell r="D113" t="str">
            <v>M28</v>
          </cell>
          <cell r="E113" t="str">
            <v>M3</v>
          </cell>
          <cell r="F113">
            <v>97447.757816982208</v>
          </cell>
        </row>
        <row r="115">
          <cell r="A115" t="str">
            <v>25.</v>
          </cell>
          <cell r="C115" t="str">
            <v>Bahan Agr.Base Kelas C2</v>
          </cell>
          <cell r="D115" t="str">
            <v>M29</v>
          </cell>
          <cell r="E115" t="str">
            <v>M3</v>
          </cell>
          <cell r="F115" t="str">
            <v xml:space="preserve">-  </v>
          </cell>
        </row>
        <row r="117">
          <cell r="A117" t="str">
            <v>30.</v>
          </cell>
          <cell r="C117" t="str">
            <v>Geotextile</v>
          </cell>
          <cell r="D117" t="str">
            <v>M30</v>
          </cell>
          <cell r="E117" t="str">
            <v>M2</v>
          </cell>
          <cell r="F117">
            <v>25000</v>
          </cell>
        </row>
        <row r="119">
          <cell r="A119" t="str">
            <v>31.</v>
          </cell>
          <cell r="C119" t="str">
            <v>Aspal Emulsi</v>
          </cell>
          <cell r="D119" t="str">
            <v>M31</v>
          </cell>
          <cell r="E119" t="str">
            <v>Kg</v>
          </cell>
          <cell r="F119">
            <v>5000</v>
          </cell>
        </row>
        <row r="121">
          <cell r="A121" t="str">
            <v>32.</v>
          </cell>
          <cell r="C121" t="str">
            <v>Gebalan Rumput</v>
          </cell>
          <cell r="D121" t="str">
            <v>M32</v>
          </cell>
          <cell r="E121" t="str">
            <v>M2</v>
          </cell>
          <cell r="F121">
            <v>10000</v>
          </cell>
        </row>
        <row r="123">
          <cell r="A123" t="str">
            <v>33.</v>
          </cell>
          <cell r="C123" t="str">
            <v>Thinner</v>
          </cell>
          <cell r="D123" t="str">
            <v>M33</v>
          </cell>
          <cell r="E123" t="str">
            <v>LITER</v>
          </cell>
          <cell r="F123">
            <v>15000</v>
          </cell>
        </row>
        <row r="125">
          <cell r="A125" t="str">
            <v>34.</v>
          </cell>
          <cell r="C125" t="str">
            <v>Glass Bead</v>
          </cell>
          <cell r="D125" t="str">
            <v>M34</v>
          </cell>
          <cell r="E125" t="str">
            <v>Kg</v>
          </cell>
          <cell r="F125">
            <v>35000</v>
          </cell>
        </row>
        <row r="127">
          <cell r="A127" t="str">
            <v>35.</v>
          </cell>
          <cell r="C127" t="str">
            <v>Pelat Rambu (Eng. Grade)</v>
          </cell>
          <cell r="D127" t="str">
            <v>M35a</v>
          </cell>
          <cell r="E127" t="str">
            <v>BH</v>
          </cell>
          <cell r="F127">
            <v>200000</v>
          </cell>
        </row>
        <row r="128">
          <cell r="C128" t="str">
            <v>Pelat Rambu (High I. Grade)</v>
          </cell>
          <cell r="D128" t="str">
            <v>M35b</v>
          </cell>
          <cell r="E128" t="str">
            <v>BH</v>
          </cell>
          <cell r="F128">
            <v>250000</v>
          </cell>
        </row>
        <row r="129">
          <cell r="A129" t="str">
            <v>36.</v>
          </cell>
          <cell r="C129" t="str">
            <v>Rel Pengaman</v>
          </cell>
          <cell r="D129" t="str">
            <v>M36</v>
          </cell>
          <cell r="E129" t="str">
            <v>M'</v>
          </cell>
          <cell r="F129">
            <v>100000</v>
          </cell>
        </row>
        <row r="131">
          <cell r="G131" t="str">
            <v xml:space="preserve">Berlanjut ke halaman berikut  </v>
          </cell>
        </row>
        <row r="132">
          <cell r="A132" t="str">
            <v>DAFTAR</v>
          </cell>
        </row>
        <row r="133">
          <cell r="A133" t="str">
            <v>HARGA DASAR SATUAN BAHAN</v>
          </cell>
        </row>
        <row r="134">
          <cell r="G134" t="str">
            <v xml:space="preserve">Lanjutan </v>
          </cell>
        </row>
        <row r="135">
          <cell r="F135" t="str">
            <v>HARGA</v>
          </cell>
        </row>
        <row r="136">
          <cell r="A136" t="str">
            <v>No.</v>
          </cell>
          <cell r="B136" t="str">
            <v>U R A I A N</v>
          </cell>
          <cell r="D136" t="str">
            <v>KODE</v>
          </cell>
          <cell r="E136" t="str">
            <v>SATUAN</v>
          </cell>
          <cell r="F136" t="str">
            <v>SATUAN</v>
          </cell>
          <cell r="G136" t="str">
            <v>KETERANGAN</v>
          </cell>
        </row>
        <row r="137">
          <cell r="F137" t="str">
            <v>( Rp.)</v>
          </cell>
        </row>
        <row r="139">
          <cell r="A139" t="str">
            <v>37.</v>
          </cell>
          <cell r="C139" t="str">
            <v>Beton K-250</v>
          </cell>
          <cell r="D139" t="str">
            <v>M37</v>
          </cell>
          <cell r="E139" t="str">
            <v>M3</v>
          </cell>
          <cell r="F139">
            <v>516022.33979099779</v>
          </cell>
          <cell r="G139" t="str">
            <v xml:space="preserve"> Lokasi Pekerjaan</v>
          </cell>
        </row>
        <row r="141">
          <cell r="A141" t="str">
            <v>38.</v>
          </cell>
          <cell r="C141" t="str">
            <v>Beton K-225</v>
          </cell>
          <cell r="D141" t="str">
            <v>M38</v>
          </cell>
          <cell r="E141" t="str">
            <v>M3</v>
          </cell>
          <cell r="F141">
            <v>508078.10576868069</v>
          </cell>
          <cell r="G141" t="str">
            <v xml:space="preserve"> Lokasi Pekerjaan</v>
          </cell>
        </row>
        <row r="143">
          <cell r="A143" t="str">
            <v>39.</v>
          </cell>
          <cell r="C143" t="str">
            <v>Baja Tulangan (Polos) U24</v>
          </cell>
          <cell r="D143" t="str">
            <v>M39a</v>
          </cell>
          <cell r="E143" t="str">
            <v>Kg</v>
          </cell>
          <cell r="F143">
            <v>3500</v>
          </cell>
          <cell r="G143" t="str">
            <v xml:space="preserve"> Lokasi Pekerjaan</v>
          </cell>
        </row>
        <row r="144">
          <cell r="C144" t="str">
            <v>Baja Tulangan (Ulir) D32</v>
          </cell>
          <cell r="D144" t="str">
            <v>M39b</v>
          </cell>
          <cell r="E144" t="str">
            <v>Kg</v>
          </cell>
          <cell r="F144">
            <v>8000</v>
          </cell>
          <cell r="G144" t="str">
            <v xml:space="preserve"> Lokasi Pekerjaan</v>
          </cell>
        </row>
        <row r="145">
          <cell r="A145" t="str">
            <v>40.</v>
          </cell>
          <cell r="C145" t="str">
            <v>Kapur</v>
          </cell>
          <cell r="D145" t="str">
            <v>M40</v>
          </cell>
          <cell r="E145" t="str">
            <v>M3</v>
          </cell>
          <cell r="F145">
            <v>150000</v>
          </cell>
          <cell r="G145" t="str">
            <v xml:space="preserve"> Hasil Proses</v>
          </cell>
        </row>
        <row r="147">
          <cell r="A147" t="str">
            <v>41.</v>
          </cell>
          <cell r="C147" t="str">
            <v>Chipping</v>
          </cell>
          <cell r="D147" t="str">
            <v>M41</v>
          </cell>
          <cell r="E147" t="str">
            <v>M3</v>
          </cell>
          <cell r="F147">
            <v>108860.47762478486</v>
          </cell>
          <cell r="G147" t="str">
            <v xml:space="preserve"> Base Camp</v>
          </cell>
        </row>
        <row r="148">
          <cell r="E148" t="str">
            <v>Kg</v>
          </cell>
          <cell r="F148">
            <v>57.757044580212686</v>
          </cell>
          <cell r="G148" t="str">
            <v xml:space="preserve"> Base Camp</v>
          </cell>
        </row>
        <row r="150">
          <cell r="A150" t="str">
            <v>42.</v>
          </cell>
          <cell r="C150" t="str">
            <v>Cat</v>
          </cell>
          <cell r="D150" t="str">
            <v>M42</v>
          </cell>
          <cell r="E150" t="str">
            <v>Kg</v>
          </cell>
          <cell r="F150">
            <v>35000</v>
          </cell>
          <cell r="G150" t="str">
            <v xml:space="preserve"> Base Camp</v>
          </cell>
        </row>
        <row r="152">
          <cell r="A152" t="str">
            <v>43.</v>
          </cell>
          <cell r="C152" t="str">
            <v>Pemantul Cahaya (Reflector)</v>
          </cell>
          <cell r="D152" t="str">
            <v>M43</v>
          </cell>
          <cell r="E152" t="str">
            <v>Bh.</v>
          </cell>
          <cell r="F152">
            <v>7500</v>
          </cell>
          <cell r="G152" t="str">
            <v xml:space="preserve"> Base Camp</v>
          </cell>
        </row>
        <row r="154">
          <cell r="A154" t="str">
            <v>26.</v>
          </cell>
          <cell r="C154" t="str">
            <v>Pasir Urug</v>
          </cell>
          <cell r="D154" t="str">
            <v>M44</v>
          </cell>
          <cell r="E154" t="str">
            <v>M3</v>
          </cell>
          <cell r="F154">
            <v>50000</v>
          </cell>
        </row>
        <row r="156">
          <cell r="A156" t="str">
            <v>45.</v>
          </cell>
          <cell r="C156" t="str">
            <v>Arbocell</v>
          </cell>
          <cell r="D156" t="str">
            <v>M45</v>
          </cell>
          <cell r="E156" t="str">
            <v>Kg.</v>
          </cell>
          <cell r="F156">
            <v>50000</v>
          </cell>
          <cell r="G156" t="str">
            <v xml:space="preserve"> Base Camp</v>
          </cell>
        </row>
        <row r="158">
          <cell r="A158" t="str">
            <v>46.</v>
          </cell>
          <cell r="C158" t="str">
            <v>Baja Bergelombang</v>
          </cell>
          <cell r="D158" t="str">
            <v>M46</v>
          </cell>
          <cell r="E158" t="str">
            <v>Kg</v>
          </cell>
          <cell r="F158">
            <v>15000</v>
          </cell>
          <cell r="G158" t="str">
            <v xml:space="preserve"> Lokasi Pekerjaan</v>
          </cell>
        </row>
        <row r="160">
          <cell r="A160" t="str">
            <v>47.</v>
          </cell>
          <cell r="C160" t="str">
            <v>Beton K-125</v>
          </cell>
          <cell r="D160" t="str">
            <v>M47</v>
          </cell>
          <cell r="E160" t="str">
            <v>M3</v>
          </cell>
          <cell r="F160">
            <v>387327.97342644387</v>
          </cell>
          <cell r="G160" t="str">
            <v xml:space="preserve"> Lokasi Pekerjaan</v>
          </cell>
        </row>
        <row r="162">
          <cell r="A162" t="str">
            <v>48.</v>
          </cell>
          <cell r="C162" t="str">
            <v>Baja Struktur</v>
          </cell>
          <cell r="D162" t="str">
            <v>M48</v>
          </cell>
          <cell r="E162" t="str">
            <v>Kg</v>
          </cell>
          <cell r="F162">
            <v>25000</v>
          </cell>
          <cell r="G162" t="str">
            <v xml:space="preserve"> Pelabuhan terdekat</v>
          </cell>
        </row>
        <row r="164">
          <cell r="A164" t="str">
            <v>49.</v>
          </cell>
          <cell r="C164" t="str">
            <v>Tiang Pancang Baja</v>
          </cell>
          <cell r="D164" t="str">
            <v>M49</v>
          </cell>
          <cell r="E164" t="str">
            <v>M'</v>
          </cell>
          <cell r="F164">
            <v>31391.610562329832</v>
          </cell>
          <cell r="G164" t="str">
            <v xml:space="preserve"> Lokasi Pekerjaan</v>
          </cell>
        </row>
        <row r="166">
          <cell r="A166" t="str">
            <v>50.</v>
          </cell>
          <cell r="C166" t="str">
            <v>T. Pancang Beton Pratekan</v>
          </cell>
          <cell r="D166" t="str">
            <v>M50</v>
          </cell>
          <cell r="E166" t="str">
            <v>M3</v>
          </cell>
          <cell r="F166">
            <v>567624573.77009761</v>
          </cell>
          <cell r="G166" t="str">
            <v xml:space="preserve"> Pelabuhan terdekat</v>
          </cell>
        </row>
        <row r="168">
          <cell r="A168" t="str">
            <v>51.</v>
          </cell>
          <cell r="C168" t="str">
            <v>Kawat Las</v>
          </cell>
          <cell r="D168" t="str">
            <v>M51</v>
          </cell>
          <cell r="E168" t="str">
            <v>Dos</v>
          </cell>
          <cell r="F168">
            <v>75000</v>
          </cell>
          <cell r="G168" t="str">
            <v xml:space="preserve"> Lokasi Pekerjaan</v>
          </cell>
        </row>
        <row r="170">
          <cell r="A170" t="str">
            <v>52.</v>
          </cell>
          <cell r="C170" t="str">
            <v>Pipa Baja</v>
          </cell>
          <cell r="D170" t="str">
            <v>M52</v>
          </cell>
          <cell r="E170" t="str">
            <v>Kg</v>
          </cell>
          <cell r="F170">
            <v>15000</v>
          </cell>
          <cell r="G170" t="str">
            <v xml:space="preserve"> Pelabuhan terdekat</v>
          </cell>
        </row>
        <row r="172">
          <cell r="A172" t="str">
            <v>53.</v>
          </cell>
          <cell r="C172" t="str">
            <v>Minyak Fluks</v>
          </cell>
          <cell r="D172" t="str">
            <v>M53</v>
          </cell>
          <cell r="E172" t="str">
            <v>Liter</v>
          </cell>
          <cell r="F172">
            <v>1500</v>
          </cell>
          <cell r="G172" t="str">
            <v xml:space="preserve"> Base Camp</v>
          </cell>
        </row>
        <row r="175">
          <cell r="G175" t="str">
            <v xml:space="preserve">Berlanjut ke halaman berikut  </v>
          </cell>
        </row>
        <row r="185">
          <cell r="F185">
            <v>550000</v>
          </cell>
        </row>
      </sheetData>
      <sheetData sheetId="1" refreshError="1"/>
      <sheetData sheetId="2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L mc "/>
      <sheetName val="Galian Sal mc Tot"/>
      <sheetName val="Galian Biasa mc 02"/>
      <sheetName val="Galian Biasa mc 03"/>
      <sheetName val="Galian Biasa mc 04"/>
      <sheetName val="Galian Biasa mc 05"/>
      <sheetName val="04"/>
      <sheetName val=" 05"/>
      <sheetName val="Rekap Sal"/>
      <sheetName val="Galian Sal FINAL (A)"/>
      <sheetName val="Galian Sal 02"/>
      <sheetName val="Galian Sal 03"/>
      <sheetName val="Galian Sal 04"/>
      <sheetName val="Galian Sal 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ESTIMASI VOLUME</v>
          </cell>
        </row>
        <row r="3">
          <cell r="D3" t="str">
            <v>KEGIATAN PENUNJANG PENANGANAN JALAN PERKOTAAN</v>
          </cell>
        </row>
        <row r="4">
          <cell r="D4" t="str">
            <v>NO. PAKET</v>
          </cell>
          <cell r="H4" t="str">
            <v xml:space="preserve">DINAS PRASARANA WILAYAH PROVINSI </v>
          </cell>
          <cell r="L4" t="str">
            <v>PEMBANGUNAN JALAN AKSES</v>
          </cell>
        </row>
        <row r="5">
          <cell r="D5" t="str">
            <v>PWK - 02 D</v>
          </cell>
          <cell r="H5" t="str">
            <v>NANGGROE ACEH DARUSSALAM</v>
          </cell>
          <cell r="L5" t="str">
            <v>NEW TOWN BANDA ACEH</v>
          </cell>
        </row>
        <row r="6">
          <cell r="D6" t="str">
            <v>KONSULTAN</v>
          </cell>
          <cell r="J6" t="str">
            <v>KONTRAKTOR</v>
          </cell>
        </row>
        <row r="7">
          <cell r="D7" t="str">
            <v>PT. BINA CIPTA PERDANA JO. PT ITBA CONSULTAN</v>
          </cell>
          <cell r="J7" t="str">
            <v>PT. ADHI KARYA (PERSERO)Tbk.</v>
          </cell>
        </row>
        <row r="8">
          <cell r="D8" t="str">
            <v>Nomor Mata Pembayaran</v>
          </cell>
          <cell r="J8" t="str">
            <v>Uraian</v>
          </cell>
        </row>
        <row r="9">
          <cell r="D9" t="str">
            <v>2.1</v>
          </cell>
          <cell r="J9" t="str">
            <v>Galian untuk Selokan, Srainase dan Saluran Air</v>
          </cell>
        </row>
        <row r="10">
          <cell r="D10" t="str">
            <v>Lokasi :</v>
          </cell>
          <cell r="G10" t="str">
            <v>Kanan dan kiri Jalan</v>
          </cell>
        </row>
        <row r="14">
          <cell r="F14" t="str">
            <v>REKAPITULASI VOLUME GALIAN SALURAN</v>
          </cell>
        </row>
        <row r="16">
          <cell r="F16" t="str">
            <v>No</v>
          </cell>
          <cell r="G16" t="str">
            <v>Uraian</v>
          </cell>
          <cell r="J16" t="str">
            <v>Volume (m3)</v>
          </cell>
          <cell r="L16" t="str">
            <v>Keterangan</v>
          </cell>
        </row>
        <row r="19">
          <cell r="F19">
            <v>1</v>
          </cell>
          <cell r="H19" t="str">
            <v>Galian Saluran pada Kanan Jalan</v>
          </cell>
          <cell r="J19">
            <v>345.33000000000004</v>
          </cell>
          <cell r="L19" t="str">
            <v>Arah Kanan</v>
          </cell>
        </row>
        <row r="21">
          <cell r="F21">
            <v>2</v>
          </cell>
          <cell r="H21" t="str">
            <v>Galian Saluran pada Jln. Masuk Dekranas</v>
          </cell>
          <cell r="J21">
            <v>30.720000000000002</v>
          </cell>
          <cell r="L21" t="str">
            <v>Arah Kiri</v>
          </cell>
        </row>
        <row r="23">
          <cell r="F23">
            <v>3</v>
          </cell>
          <cell r="H23" t="str">
            <v>Galian Saluran pada Jln. Masuk Dekranas</v>
          </cell>
          <cell r="J23">
            <v>30.720000000000002</v>
          </cell>
          <cell r="L23" t="str">
            <v>Arah Kanan</v>
          </cell>
        </row>
        <row r="29">
          <cell r="H29" t="str">
            <v>Total Volume Galian Saluran</v>
          </cell>
          <cell r="J29">
            <v>406.7700000000001</v>
          </cell>
        </row>
        <row r="37">
          <cell r="D37" t="str">
            <v>KONTRAKTOR</v>
          </cell>
          <cell r="I37" t="str">
            <v>KONSULTAN SUPERVISI</v>
          </cell>
          <cell r="L37" t="str">
            <v>DINAS PRASWIL</v>
          </cell>
        </row>
        <row r="46">
          <cell r="D46" t="str">
            <v>General Superitendent</v>
          </cell>
          <cell r="I46" t="str">
            <v>Chief Inspector</v>
          </cell>
          <cell r="L46" t="str">
            <v>Pengawas Lapangan</v>
          </cell>
        </row>
        <row r="48">
          <cell r="D48" t="str">
            <v>ESTIMASI VOLUME MC. NO. 01</v>
          </cell>
        </row>
        <row r="49">
          <cell r="D49" t="str">
            <v>KEGIATAN PENUNJANG PENANGANAN JALAN PERKOTAAN</v>
          </cell>
        </row>
        <row r="50">
          <cell r="D50" t="str">
            <v>NO. PAKET</v>
          </cell>
          <cell r="H50" t="str">
            <v xml:space="preserve">DINAS PRASARANA WILAYAH PROVINSI </v>
          </cell>
          <cell r="L50" t="str">
            <v>PEMBANGUNAN JALAN AKSES</v>
          </cell>
        </row>
        <row r="51">
          <cell r="D51" t="str">
            <v>PWK - 02 D</v>
          </cell>
          <cell r="H51" t="str">
            <v>NANGGROE ACEH DARUSSALAM</v>
          </cell>
          <cell r="L51" t="str">
            <v>TAMAN SRI RATU SAFIATUDDIN</v>
          </cell>
        </row>
        <row r="52">
          <cell r="D52" t="str">
            <v>KONSULTAN</v>
          </cell>
          <cell r="J52" t="str">
            <v>KONTRAKTOR</v>
          </cell>
        </row>
        <row r="53">
          <cell r="D53" t="str">
            <v>PT. BINA CIPTA PERDANA JO. PT ITBA CONSULTAN</v>
          </cell>
          <cell r="J53" t="str">
            <v>PT. ADHI KARYA (PERSERO)Tbk.</v>
          </cell>
        </row>
        <row r="54">
          <cell r="D54" t="str">
            <v>Nomor Mata Pembayaran</v>
          </cell>
          <cell r="J54" t="str">
            <v>Uraian</v>
          </cell>
        </row>
        <row r="55">
          <cell r="D55" t="str">
            <v>8.2. (2)</v>
          </cell>
          <cell r="J55" t="str">
            <v xml:space="preserve">Penebangan Pohon </v>
          </cell>
        </row>
        <row r="56">
          <cell r="D56" t="str">
            <v>Lokasi :</v>
          </cell>
          <cell r="G56" t="str">
            <v>Kanan dan kiri Jalan</v>
          </cell>
        </row>
        <row r="60">
          <cell r="F60" t="str">
            <v>REKAPITULASI VOLUME PENEBANGAN POHON</v>
          </cell>
        </row>
        <row r="62">
          <cell r="F62" t="str">
            <v>No</v>
          </cell>
          <cell r="G62" t="str">
            <v>Uraian</v>
          </cell>
          <cell r="J62" t="str">
            <v>Volume (Btg)</v>
          </cell>
          <cell r="L62" t="str">
            <v>Keterangan</v>
          </cell>
        </row>
        <row r="65">
          <cell r="F65">
            <v>1</v>
          </cell>
          <cell r="H65" t="str">
            <v>Penebangan Pohon Diameter 15 s/d 30 cm</v>
          </cell>
          <cell r="J65">
            <v>35</v>
          </cell>
        </row>
        <row r="67">
          <cell r="F67">
            <v>2</v>
          </cell>
          <cell r="H67" t="str">
            <v>Penebangan Pohon Diameter 30 s/d 50 cm</v>
          </cell>
          <cell r="J67">
            <v>15</v>
          </cell>
          <cell r="L67" t="str">
            <v>Saluran Induk</v>
          </cell>
        </row>
        <row r="69">
          <cell r="F69">
            <v>3</v>
          </cell>
          <cell r="H69" t="str">
            <v>Penebangan Pohon Diameter 50 s/d 75 cm</v>
          </cell>
          <cell r="J69">
            <v>5</v>
          </cell>
          <cell r="L69" t="str">
            <v>Arah Kiri</v>
          </cell>
        </row>
        <row r="71">
          <cell r="L71" t="str">
            <v>Arah Kanan</v>
          </cell>
        </row>
        <row r="75">
          <cell r="H75" t="str">
            <v>Total Volume Pasangan Batu dgn Mortar</v>
          </cell>
          <cell r="J75">
            <v>55</v>
          </cell>
        </row>
        <row r="82">
          <cell r="D82" t="str">
            <v>Disetujui Oleh :</v>
          </cell>
          <cell r="I82" t="str">
            <v>Diperiksa Oleh :</v>
          </cell>
          <cell r="L82" t="str">
            <v>Dibuat Oleh :</v>
          </cell>
        </row>
        <row r="83">
          <cell r="D83" t="str">
            <v>Koord. Pengawas Lapangan</v>
          </cell>
          <cell r="I83" t="str">
            <v>Konsultan Supervisi</v>
          </cell>
          <cell r="L83" t="str">
            <v>Penyedia Barang / Jasa</v>
          </cell>
        </row>
        <row r="84">
          <cell r="D84" t="str">
            <v>Kegiatan Pembangunan</v>
          </cell>
          <cell r="I84" t="str">
            <v>PT. BINA CIPTA PERDANA Bekerjasama</v>
          </cell>
          <cell r="L84" t="str">
            <v>PT. ADHI KARYA (PERSERO) Tbk.</v>
          </cell>
        </row>
        <row r="85">
          <cell r="D85" t="str">
            <v>Jalan Akses New Town</v>
          </cell>
          <cell r="I85" t="str">
            <v>PT. ITBA CONSULTANT</v>
          </cell>
          <cell r="L85" t="str">
            <v xml:space="preserve">Cabang I Wil. Sumut &amp; NAD </v>
          </cell>
        </row>
        <row r="92">
          <cell r="D92" t="str">
            <v>YUSRIZAL, ST. MT</v>
          </cell>
          <cell r="I92" t="str">
            <v>Ir. KAMARUZZAMAN</v>
          </cell>
          <cell r="L92" t="str">
            <v>Ir. MARGIANTO</v>
          </cell>
        </row>
        <row r="93">
          <cell r="D93" t="str">
            <v>NIP. 110 053 966</v>
          </cell>
          <cell r="I93" t="str">
            <v>Site Engineer</v>
          </cell>
          <cell r="L93" t="str">
            <v>General Superintendent</v>
          </cell>
        </row>
        <row r="95">
          <cell r="D95" t="str">
            <v>ESTIMASI VOLUME</v>
          </cell>
        </row>
        <row r="96">
          <cell r="D96" t="str">
            <v>KEGIATAN PENUNJANG PENANGANAN JALAN PERKOTAAN</v>
          </cell>
        </row>
        <row r="97">
          <cell r="D97" t="str">
            <v>NO. PAKET</v>
          </cell>
          <cell r="H97" t="str">
            <v xml:space="preserve">DINAS PRASARANA WILAYAH PROVINSI </v>
          </cell>
          <cell r="L97" t="str">
            <v>PEMBANGUNAN JALAN PENGHUBUNG</v>
          </cell>
        </row>
        <row r="98">
          <cell r="D98" t="str">
            <v>PWK - 02 E</v>
          </cell>
          <cell r="H98" t="str">
            <v>NANGGROE ACEH DARUSSALAM</v>
          </cell>
          <cell r="L98" t="str">
            <v>TAMAN SRI RATU SAFIATUDDIN</v>
          </cell>
        </row>
        <row r="99">
          <cell r="D99" t="str">
            <v>KONSULTAN</v>
          </cell>
          <cell r="J99" t="str">
            <v>KONTRAKTOR</v>
          </cell>
        </row>
        <row r="100">
          <cell r="J100" t="str">
            <v>PT. SARJIS AGUNG Jo. PT. AYU LESTARI INDAH</v>
          </cell>
        </row>
        <row r="101">
          <cell r="D101" t="str">
            <v>Nomor Mata Pembayaran</v>
          </cell>
          <cell r="J101" t="str">
            <v>Uraian</v>
          </cell>
        </row>
        <row r="102">
          <cell r="D102" t="str">
            <v>3.1 (1)</v>
          </cell>
          <cell r="J102" t="str">
            <v>Galian Tanah Biasa</v>
          </cell>
        </row>
        <row r="103">
          <cell r="D103" t="str">
            <v>Lokasi :</v>
          </cell>
          <cell r="G103" t="str">
            <v>Kanan dan kiri Jalan</v>
          </cell>
        </row>
        <row r="107">
          <cell r="F107" t="str">
            <v>REKAPITULASI VOLUME GALIAN TANAH BIASA</v>
          </cell>
        </row>
        <row r="109">
          <cell r="F109" t="str">
            <v>No</v>
          </cell>
          <cell r="G109" t="str">
            <v>Uraian</v>
          </cell>
          <cell r="J109" t="str">
            <v>Volume (m3)</v>
          </cell>
          <cell r="L109" t="str">
            <v>Keterangan</v>
          </cell>
        </row>
        <row r="112">
          <cell r="F112">
            <v>1</v>
          </cell>
          <cell r="H112" t="str">
            <v>Sta 0 + 000 s/d Sta 0 + 460 dan</v>
          </cell>
          <cell r="J112">
            <v>6266.1524999999992</v>
          </cell>
          <cell r="L112" t="str">
            <v>Arah Kanan</v>
          </cell>
        </row>
        <row r="113">
          <cell r="H113" t="str">
            <v>Sta 0+000 s/d 0+080 (Jalur Langsung)</v>
          </cell>
        </row>
        <row r="115">
          <cell r="F115">
            <v>2</v>
          </cell>
          <cell r="H115" t="str">
            <v xml:space="preserve">Sta 0 + 000 s/d Sta 0 + 500 </v>
          </cell>
          <cell r="J115">
            <v>2003.4625000000001</v>
          </cell>
          <cell r="L115" t="str">
            <v xml:space="preserve">Arah Kiri </v>
          </cell>
        </row>
        <row r="117">
          <cell r="F117">
            <v>3</v>
          </cell>
          <cell r="H117" t="str">
            <v>Sta 0 + 000 s/d Sta 0 + 040 (Pintu Masuk Dekranas)</v>
          </cell>
        </row>
        <row r="124">
          <cell r="H124" t="str">
            <v>Total Volume Galian Tanah Biasa</v>
          </cell>
          <cell r="J124">
            <v>8269.6149999999998</v>
          </cell>
        </row>
        <row r="128">
          <cell r="F128" t="str">
            <v>Volume Galian Tanah Biasa sampai saat ini :</v>
          </cell>
          <cell r="J128">
            <v>8269.6149999999998</v>
          </cell>
          <cell r="K128" t="str">
            <v>M3</v>
          </cell>
        </row>
        <row r="130">
          <cell r="F130" t="str">
            <v>Volume Galian Tanah Biasa yang dibayar pada MC No. 1 adalah :</v>
          </cell>
          <cell r="J130">
            <v>7969.35</v>
          </cell>
          <cell r="K130" t="str">
            <v>M3</v>
          </cell>
        </row>
        <row r="132">
          <cell r="F132" t="str">
            <v>Volume Galian Tanah Biasa yang dibayar pada MC No. 2 adalah :</v>
          </cell>
          <cell r="J132" t="str">
            <v>mc2</v>
          </cell>
          <cell r="K132" t="str">
            <v>M3</v>
          </cell>
        </row>
        <row r="134">
          <cell r="F134" t="str">
            <v>Sisa Volume Yang belum dibayar :</v>
          </cell>
          <cell r="J134" t="e">
            <v>#VALUE!</v>
          </cell>
          <cell r="K134" t="str">
            <v>M3</v>
          </cell>
        </row>
        <row r="144">
          <cell r="D144" t="str">
            <v>KONTRAKTOR</v>
          </cell>
          <cell r="I144" t="str">
            <v>KONSULTAN SUPERVISI</v>
          </cell>
          <cell r="L144" t="str">
            <v>DINAS PRASWIL</v>
          </cell>
        </row>
        <row r="153">
          <cell r="D153" t="str">
            <v>General Superitendent</v>
          </cell>
          <cell r="I153" t="str">
            <v>Chief Inspector</v>
          </cell>
          <cell r="L153" t="str">
            <v>Pengawas Lapangan</v>
          </cell>
        </row>
        <row r="155">
          <cell r="D155" t="str">
            <v>ESTIMASI VOLUME MC. NO. - 02</v>
          </cell>
        </row>
        <row r="156">
          <cell r="D156" t="str">
            <v>KEGIATAN PENUNJANG PENANGANAN JALAN PERKOTAAN</v>
          </cell>
        </row>
        <row r="157">
          <cell r="D157" t="str">
            <v>NO. PAKET</v>
          </cell>
          <cell r="H157" t="str">
            <v xml:space="preserve">DINAS PRASARANA WILAYAH PROVINSI </v>
          </cell>
          <cell r="L157" t="str">
            <v>PEMBANGUNAN JALAN PENGHUBUNG</v>
          </cell>
        </row>
        <row r="158">
          <cell r="D158" t="str">
            <v>PWK - 02 D</v>
          </cell>
          <cell r="H158" t="str">
            <v>NANGGROE ACEH DARUSSALAM</v>
          </cell>
          <cell r="L158" t="str">
            <v>NEW TOWN BANDA ACEH</v>
          </cell>
        </row>
        <row r="159">
          <cell r="D159" t="str">
            <v>KONSULTAN</v>
          </cell>
          <cell r="J159" t="str">
            <v>KONTRAKTOR</v>
          </cell>
        </row>
        <row r="160">
          <cell r="D160" t="str">
            <v>PT. BINA CIPTA PERDANA JO. PT ITBA CONSULTAN</v>
          </cell>
          <cell r="J160" t="str">
            <v>PT. ADHI KARYA (PERSERO)Tbk.</v>
          </cell>
        </row>
        <row r="161">
          <cell r="D161" t="str">
            <v>Nomor Mata Pembayaran</v>
          </cell>
          <cell r="J161" t="str">
            <v>Uraian</v>
          </cell>
        </row>
        <row r="162">
          <cell r="D162" t="str">
            <v>3.1 (2)</v>
          </cell>
          <cell r="J162" t="str">
            <v>Tanah Timbun Biasa</v>
          </cell>
        </row>
        <row r="163">
          <cell r="D163" t="str">
            <v>Lokasi :</v>
          </cell>
          <cell r="G163" t="str">
            <v>Banda Aceh-Aceh Besar</v>
          </cell>
        </row>
        <row r="167">
          <cell r="F167" t="str">
            <v>REKAPITULASI VOLUME TANAH TIMBUN BIASA</v>
          </cell>
        </row>
        <row r="169">
          <cell r="F169" t="str">
            <v>No</v>
          </cell>
          <cell r="G169" t="str">
            <v>Uraian</v>
          </cell>
          <cell r="J169" t="str">
            <v>Volume (m3)</v>
          </cell>
          <cell r="L169" t="str">
            <v>Keterangan</v>
          </cell>
        </row>
        <row r="172">
          <cell r="F172">
            <v>1</v>
          </cell>
          <cell r="H172" t="str">
            <v xml:space="preserve">Tanah Timbun pada Sta </v>
          </cell>
          <cell r="J172">
            <v>31472.31</v>
          </cell>
          <cell r="L172" t="str">
            <v>Arah Kanan</v>
          </cell>
        </row>
        <row r="185">
          <cell r="H185" t="str">
            <v>Total Volume Tanah Timbun Biasa</v>
          </cell>
          <cell r="J185">
            <v>31472.31</v>
          </cell>
        </row>
        <row r="193">
          <cell r="D193" t="str">
            <v>KONTRAKTOR</v>
          </cell>
          <cell r="I193" t="str">
            <v>KONSULTAN SUPERVISI</v>
          </cell>
          <cell r="L193" t="str">
            <v>DINAS PRASWIL</v>
          </cell>
        </row>
        <row r="202">
          <cell r="D202" t="str">
            <v>General Superitendent</v>
          </cell>
          <cell r="I202" t="str">
            <v>Chief Inspector</v>
          </cell>
          <cell r="L202" t="str">
            <v>Pengawas Lapangan</v>
          </cell>
        </row>
        <row r="204">
          <cell r="D204" t="str">
            <v>ESTIMASI VOLUME</v>
          </cell>
        </row>
        <row r="205">
          <cell r="D205" t="str">
            <v>KEGIATAN PENUNJANG PENANGANAN JALAN PERKOTAAN</v>
          </cell>
        </row>
        <row r="206">
          <cell r="D206" t="str">
            <v>NO. PAKET</v>
          </cell>
          <cell r="H206" t="str">
            <v xml:space="preserve">DINAS PRASARANA WILAYAH PROVINSI </v>
          </cell>
          <cell r="L206" t="str">
            <v>PEMBANGUNAN JALAN PENGHUBUNG</v>
          </cell>
        </row>
        <row r="207">
          <cell r="D207" t="str">
            <v>PWK - 02 E</v>
          </cell>
          <cell r="H207" t="str">
            <v>NANGGROE ACEH DARUSSALAM</v>
          </cell>
          <cell r="L207" t="str">
            <v>TAMAN SRI RATU SAFIATUDDIN</v>
          </cell>
        </row>
        <row r="208">
          <cell r="D208" t="str">
            <v>KONSULTAN</v>
          </cell>
          <cell r="J208" t="str">
            <v>KONTRAKTOR</v>
          </cell>
        </row>
        <row r="209">
          <cell r="J209" t="str">
            <v>PT. SARJIS AGUNG Jo. PT. AYU LESTARI INDAH</v>
          </cell>
        </row>
        <row r="210">
          <cell r="D210" t="str">
            <v>Nomor Mata Pembayaran</v>
          </cell>
          <cell r="J210" t="str">
            <v>Uraian</v>
          </cell>
        </row>
        <row r="211">
          <cell r="D211" t="str">
            <v>3.1 (2) a</v>
          </cell>
          <cell r="J211" t="str">
            <v>Tanah Timbun Biasa</v>
          </cell>
        </row>
        <row r="212">
          <cell r="D212" t="str">
            <v>Lokasi :</v>
          </cell>
          <cell r="G212" t="str">
            <v>Kanan dan kiri Jalan</v>
          </cell>
          <cell r="J212" t="str">
            <v>untuk Median</v>
          </cell>
        </row>
        <row r="216">
          <cell r="F216" t="str">
            <v>REKAPITULASI VOLUME TANAH TIMBUN BIASA UNTUK MEDIAN</v>
          </cell>
        </row>
        <row r="218">
          <cell r="F218" t="str">
            <v>No</v>
          </cell>
          <cell r="G218" t="str">
            <v>Uraian</v>
          </cell>
          <cell r="J218" t="str">
            <v>Volume (m3)</v>
          </cell>
          <cell r="L218" t="str">
            <v>Keterangan</v>
          </cell>
        </row>
        <row r="221">
          <cell r="F221">
            <v>1</v>
          </cell>
          <cell r="H221" t="str">
            <v>Tanah Timbun pada Median</v>
          </cell>
          <cell r="J221">
            <v>163.23840000000004</v>
          </cell>
          <cell r="L221" t="str">
            <v xml:space="preserve">Arah Kiri </v>
          </cell>
        </row>
        <row r="223">
          <cell r="F223">
            <v>2</v>
          </cell>
          <cell r="H223" t="str">
            <v>Tanah Timbun pada Median</v>
          </cell>
          <cell r="J223">
            <v>179.15000000000003</v>
          </cell>
          <cell r="L223" t="str">
            <v xml:space="preserve">Arah Kiri </v>
          </cell>
        </row>
        <row r="225">
          <cell r="F225">
            <v>3</v>
          </cell>
          <cell r="H225" t="str">
            <v>Tanah Timbun pada Median</v>
          </cell>
          <cell r="J225">
            <v>117.2</v>
          </cell>
          <cell r="L225" t="str">
            <v>Arah Tengah</v>
          </cell>
        </row>
        <row r="227">
          <cell r="F227">
            <v>4</v>
          </cell>
          <cell r="H227" t="str">
            <v>Tanah Timbun untuk Median pada Pulau Jalan</v>
          </cell>
          <cell r="J227">
            <v>56.07</v>
          </cell>
          <cell r="L227" t="str">
            <v>Arah Tengah</v>
          </cell>
        </row>
        <row r="234">
          <cell r="H234" t="str">
            <v>Total Volume Tanah Timbun Biasa untuk Median</v>
          </cell>
          <cell r="J234">
            <v>515.65840000000003</v>
          </cell>
        </row>
        <row r="242">
          <cell r="D242" t="str">
            <v>KONTRAKTOR</v>
          </cell>
          <cell r="I242" t="str">
            <v>KONSULTAN SUPERVISI</v>
          </cell>
          <cell r="L242" t="str">
            <v>DINAS PRASWIL</v>
          </cell>
        </row>
        <row r="251">
          <cell r="D251" t="str">
            <v>General Superitendent</v>
          </cell>
          <cell r="I251" t="str">
            <v>Chief Inspector</v>
          </cell>
          <cell r="L251" t="str">
            <v>Pengawas Lapangan</v>
          </cell>
        </row>
        <row r="253">
          <cell r="D253" t="str">
            <v>ESTIMASI VOLUME</v>
          </cell>
        </row>
        <row r="254">
          <cell r="D254" t="str">
            <v>KEGIATAN PENUNJANG PENANGANAN JALAN PERKOTAAN</v>
          </cell>
        </row>
        <row r="255">
          <cell r="D255" t="str">
            <v>NO. PAKET</v>
          </cell>
          <cell r="H255" t="str">
            <v xml:space="preserve">DINAS PRASARANA WILAYAH PROVINSI </v>
          </cell>
          <cell r="L255" t="str">
            <v>PEMBANGUNAN JALAN PENGHUBUNG</v>
          </cell>
        </row>
        <row r="256">
          <cell r="D256" t="str">
            <v>PWK - 02 E</v>
          </cell>
          <cell r="H256" t="str">
            <v>NANGGROE ACEH DARUSSALAM</v>
          </cell>
          <cell r="L256" t="str">
            <v>TAMAN SRI RATU SAFIATUDDIN</v>
          </cell>
        </row>
        <row r="257">
          <cell r="D257" t="str">
            <v>KONSULTAN</v>
          </cell>
          <cell r="J257" t="str">
            <v>KONTRAKTOR</v>
          </cell>
        </row>
        <row r="258">
          <cell r="J258" t="str">
            <v>PT. SARJIS AGUNG Jo. PT. AYU LESTARI INDAH</v>
          </cell>
        </row>
        <row r="259">
          <cell r="D259" t="str">
            <v>Nomor Mata Pembayaran</v>
          </cell>
          <cell r="J259" t="str">
            <v>Uraian</v>
          </cell>
        </row>
        <row r="260">
          <cell r="D260" t="str">
            <v>3.2 (2)</v>
          </cell>
          <cell r="J260" t="str">
            <v>Timbunan Pilihan</v>
          </cell>
        </row>
        <row r="261">
          <cell r="D261" t="str">
            <v>Lokasi :</v>
          </cell>
          <cell r="G261" t="str">
            <v>Kanan dan kiri Jalan</v>
          </cell>
        </row>
        <row r="265">
          <cell r="F265" t="str">
            <v>REKAPITULASI VOLUME TIMBUNAN PILIHAN</v>
          </cell>
        </row>
        <row r="267">
          <cell r="F267" t="str">
            <v>No</v>
          </cell>
          <cell r="G267" t="str">
            <v>Uraian</v>
          </cell>
          <cell r="J267" t="str">
            <v>Volume (m3)</v>
          </cell>
          <cell r="L267" t="str">
            <v>Keterangan</v>
          </cell>
        </row>
        <row r="270">
          <cell r="F270">
            <v>1</v>
          </cell>
          <cell r="H270" t="str">
            <v>Sta 0 + 000 s/d Sta 0 + 460 dan</v>
          </cell>
          <cell r="J270">
            <v>4097.0150000000003</v>
          </cell>
          <cell r="L270" t="str">
            <v>Arah Kanan</v>
          </cell>
        </row>
        <row r="271">
          <cell r="H271" t="str">
            <v>Sta 0+000 s/d 0+080 (Jalur Langsung)</v>
          </cell>
        </row>
        <row r="273">
          <cell r="F273">
            <v>2</v>
          </cell>
          <cell r="H273" t="str">
            <v xml:space="preserve">Sta 0 + 000 s/d Sta 0 + 500 </v>
          </cell>
          <cell r="J273">
            <v>1475.19</v>
          </cell>
          <cell r="L273" t="str">
            <v xml:space="preserve">Arah Kiri </v>
          </cell>
        </row>
        <row r="275">
          <cell r="F275">
            <v>3</v>
          </cell>
          <cell r="H275" t="str">
            <v>Sta 0 + 080 s/d Sta 0 + 290 (Daerah Geotextile)</v>
          </cell>
          <cell r="L275" t="str">
            <v xml:space="preserve">Arah Kiri </v>
          </cell>
        </row>
        <row r="276">
          <cell r="F276">
            <v>3</v>
          </cell>
          <cell r="H276" t="str">
            <v>Sta 0 + 080 s/d Sta 0 + 290 (Daerah Geotextile)</v>
          </cell>
          <cell r="J276">
            <v>1066.3500000000001</v>
          </cell>
          <cell r="L276" t="str">
            <v>Arah Kanan</v>
          </cell>
        </row>
        <row r="277">
          <cell r="F277">
            <v>4</v>
          </cell>
          <cell r="H277" t="str">
            <v>Sta 0 + 000 s/d Sta 0 + 040 (Pintu Masuk Dekranas)</v>
          </cell>
        </row>
        <row r="286">
          <cell r="H286" t="str">
            <v>Total Volume Timbunan Pilihan</v>
          </cell>
          <cell r="J286">
            <v>6638.5550000000003</v>
          </cell>
        </row>
        <row r="291">
          <cell r="F291" t="str">
            <v>Volume Tanah Timbun Pilihan sampai saat ini :</v>
          </cell>
          <cell r="J291">
            <v>6638.5550000000003</v>
          </cell>
          <cell r="L291" t="str">
            <v>M3</v>
          </cell>
        </row>
        <row r="293">
          <cell r="F293" t="str">
            <v>Volume Tanah Timbun Pilihan yang dibayar pada MC No. 1 adalah :</v>
          </cell>
          <cell r="J293">
            <v>5961.07</v>
          </cell>
          <cell r="L293" t="str">
            <v>M3</v>
          </cell>
        </row>
        <row r="308">
          <cell r="D308" t="str">
            <v>KONTRAKTOR</v>
          </cell>
          <cell r="I308" t="str">
            <v>KONSULTAN SUPERVISI</v>
          </cell>
          <cell r="L308" t="str">
            <v>DINAS PRASWIL</v>
          </cell>
        </row>
        <row r="317">
          <cell r="D317" t="str">
            <v>General Superitendent</v>
          </cell>
          <cell r="I317" t="str">
            <v>Chief Inspector</v>
          </cell>
          <cell r="L317" t="str">
            <v>Pengawas Lapangan</v>
          </cell>
        </row>
        <row r="319">
          <cell r="D319" t="str">
            <v>ESTIMASI VOLUME</v>
          </cell>
        </row>
        <row r="320">
          <cell r="D320" t="str">
            <v>KEGIATAN PENUNJANG PENANGANAN JALAN PERKOTAAN</v>
          </cell>
        </row>
        <row r="321">
          <cell r="D321" t="str">
            <v>NO. PAKET</v>
          </cell>
          <cell r="H321" t="str">
            <v xml:space="preserve">DINAS PRASARANA WILAYAH PROVINSI </v>
          </cell>
          <cell r="L321" t="str">
            <v>PEMBANGUNAN JALAN PENGHUBUNG</v>
          </cell>
        </row>
        <row r="322">
          <cell r="D322" t="str">
            <v>PWK - 02 E</v>
          </cell>
          <cell r="H322" t="str">
            <v>NANGGROE ACEH DARUSSALAM</v>
          </cell>
          <cell r="L322" t="str">
            <v>TAMAN SRI RATU SAFIATUDDIN</v>
          </cell>
        </row>
        <row r="323">
          <cell r="D323" t="str">
            <v>KONSULTAN</v>
          </cell>
          <cell r="J323" t="str">
            <v>KONTRAKTOR</v>
          </cell>
        </row>
        <row r="324">
          <cell r="J324" t="str">
            <v>PT. SARJIS AGUNG Jo. PT. AYU LESTARI INDAH</v>
          </cell>
        </row>
        <row r="325">
          <cell r="D325" t="str">
            <v>Nomor Mata Pembayaran</v>
          </cell>
          <cell r="J325" t="str">
            <v>Uraian</v>
          </cell>
        </row>
        <row r="326">
          <cell r="D326" t="str">
            <v>3.3</v>
          </cell>
          <cell r="J326" t="str">
            <v>Penyiapan Badan Jalan</v>
          </cell>
        </row>
        <row r="327">
          <cell r="D327" t="str">
            <v>Lokasi :</v>
          </cell>
          <cell r="G327" t="str">
            <v>Kanan dan kiri Jalan</v>
          </cell>
        </row>
        <row r="331">
          <cell r="F331" t="str">
            <v>REKAPITULASI VOLUME PENYIAPAN BADAN JALAN</v>
          </cell>
        </row>
        <row r="333">
          <cell r="F333" t="str">
            <v>No</v>
          </cell>
          <cell r="G333" t="str">
            <v>Uraian</v>
          </cell>
          <cell r="J333" t="str">
            <v>Volume (m2)</v>
          </cell>
          <cell r="L333" t="str">
            <v>Keterangan</v>
          </cell>
        </row>
        <row r="336">
          <cell r="F336">
            <v>1</v>
          </cell>
          <cell r="H336" t="str">
            <v>Sta 0 + 000 s/d Sta 0 + 040 (Pintu Masuk Dekranas)</v>
          </cell>
          <cell r="J336">
            <v>347.5</v>
          </cell>
          <cell r="L336" t="str">
            <v>Arah Kanan</v>
          </cell>
        </row>
        <row r="342">
          <cell r="H342" t="str">
            <v>Total Volume Penyiapan Badan Jalan</v>
          </cell>
          <cell r="J342">
            <v>347.5</v>
          </cell>
        </row>
        <row r="358">
          <cell r="D358" t="str">
            <v>KONTRAKTOR</v>
          </cell>
          <cell r="I358" t="str">
            <v>KONSULTAN SUPERVISI</v>
          </cell>
          <cell r="L358" t="str">
            <v>DINAS PRASWIL</v>
          </cell>
        </row>
        <row r="367">
          <cell r="D367" t="str">
            <v>General Superitendent</v>
          </cell>
          <cell r="I367" t="str">
            <v>Chief Inspector</v>
          </cell>
          <cell r="L367" t="str">
            <v>Pengawas Lapangan</v>
          </cell>
        </row>
        <row r="369">
          <cell r="D369" t="str">
            <v>ESTIMASI VOLUME</v>
          </cell>
        </row>
        <row r="370">
          <cell r="D370" t="str">
            <v>KEGIATAN PENUNJANG PENANGANAN JALAN PERKOTAAN</v>
          </cell>
        </row>
        <row r="371">
          <cell r="D371" t="str">
            <v>NO. PAKET</v>
          </cell>
          <cell r="H371" t="str">
            <v xml:space="preserve">DINAS PRASARANA WILAYAH PROVINSI </v>
          </cell>
          <cell r="L371" t="str">
            <v>PEMBANGUNAN JALAN PENGHUBUNG</v>
          </cell>
        </row>
        <row r="372">
          <cell r="D372" t="str">
            <v>PWK - 02 E</v>
          </cell>
          <cell r="H372" t="str">
            <v>NANGGROE ACEH DARUSSALAM</v>
          </cell>
          <cell r="L372" t="str">
            <v>TAMAN SRI RATU SAFIATUDDIN</v>
          </cell>
        </row>
        <row r="373">
          <cell r="D373" t="str">
            <v>KONSULTAN</v>
          </cell>
          <cell r="J373" t="str">
            <v>KONTRAKTOR</v>
          </cell>
        </row>
        <row r="374">
          <cell r="J374" t="str">
            <v>PT. SARJIS AGUNG Jo. PT. AYU LESTARI INDAH</v>
          </cell>
        </row>
        <row r="375">
          <cell r="D375" t="str">
            <v>Nomor Mata Pembayaran</v>
          </cell>
          <cell r="J375" t="str">
            <v>Uraian</v>
          </cell>
        </row>
        <row r="376">
          <cell r="D376" t="str">
            <v>5.1 (1)</v>
          </cell>
          <cell r="J376" t="str">
            <v>Lapis Pondasi Agregat Klas A</v>
          </cell>
        </row>
        <row r="377">
          <cell r="D377" t="str">
            <v>Lokasi :</v>
          </cell>
          <cell r="G377" t="str">
            <v>Kanan dan kiri Jalan</v>
          </cell>
        </row>
        <row r="381">
          <cell r="F381" t="str">
            <v>REKAPITULASI VOLUME LAPIS PONDASI AG. KLAS A</v>
          </cell>
        </row>
        <row r="383">
          <cell r="F383" t="str">
            <v>No</v>
          </cell>
          <cell r="G383" t="str">
            <v>Uraian</v>
          </cell>
          <cell r="J383" t="str">
            <v>Volume (m3)</v>
          </cell>
          <cell r="L383" t="str">
            <v>Keterangan</v>
          </cell>
        </row>
        <row r="386">
          <cell r="F386">
            <v>1</v>
          </cell>
          <cell r="H386" t="str">
            <v>Sta 0 + 000 s/d Sta 0 + 460 dan</v>
          </cell>
          <cell r="J386">
            <v>472.57500000000005</v>
          </cell>
          <cell r="L386" t="str">
            <v>Arah Kanan</v>
          </cell>
        </row>
        <row r="387">
          <cell r="H387" t="str">
            <v>Sta 0+000 s/d 0+080 (Jalur Langsung)</v>
          </cell>
        </row>
        <row r="389">
          <cell r="F389">
            <v>2</v>
          </cell>
          <cell r="H389" t="str">
            <v xml:space="preserve">Sta 0 + 000 s/d Sta 0 + 500 </v>
          </cell>
          <cell r="J389">
            <v>228.46250000000001</v>
          </cell>
          <cell r="L389" t="str">
            <v xml:space="preserve">Arah Kiri </v>
          </cell>
        </row>
        <row r="391">
          <cell r="F391">
            <v>3</v>
          </cell>
          <cell r="H391" t="str">
            <v>Sta 0 + 000 s/d Sta 0 + 040 (Pintu Masuk Dekranas)</v>
          </cell>
          <cell r="J391">
            <v>52.124999999999986</v>
          </cell>
        </row>
        <row r="393">
          <cell r="F393">
            <v>4</v>
          </cell>
          <cell r="H393" t="str">
            <v>Daerah Pertigaan (Persimpangan) Dan Bukaan Median</v>
          </cell>
          <cell r="J393">
            <v>52.504499999999986</v>
          </cell>
        </row>
        <row r="398">
          <cell r="H398" t="str">
            <v>Total Volume Lapis Pondasi Aggregat Klas A</v>
          </cell>
          <cell r="J398">
            <v>805.66700000000003</v>
          </cell>
        </row>
        <row r="406">
          <cell r="D406" t="str">
            <v>KONTRAKTOR</v>
          </cell>
          <cell r="I406" t="str">
            <v>KONSULTAN SUPERVISI</v>
          </cell>
          <cell r="L406" t="str">
            <v>DINAS PRASWIL</v>
          </cell>
        </row>
        <row r="415">
          <cell r="D415" t="str">
            <v>General Superitendent</v>
          </cell>
          <cell r="I415" t="str">
            <v>Chief Inspector</v>
          </cell>
          <cell r="L415" t="str">
            <v>Pengawas Lapangan</v>
          </cell>
        </row>
        <row r="417">
          <cell r="D417" t="str">
            <v>ESTIMASI VOLUME</v>
          </cell>
        </row>
        <row r="418">
          <cell r="D418" t="str">
            <v>KEGIATAN PENUNJANG PENANGANAN JALAN PERKOTAAN</v>
          </cell>
        </row>
        <row r="419">
          <cell r="D419" t="str">
            <v>NO. PAKET</v>
          </cell>
          <cell r="H419" t="str">
            <v xml:space="preserve">DINAS PRASARANA WILAYAH PROVINSI </v>
          </cell>
          <cell r="L419" t="str">
            <v>PEMBANGUNAN JALAN PENGHUBUNG</v>
          </cell>
        </row>
        <row r="420">
          <cell r="D420" t="str">
            <v>PWK - 02 E</v>
          </cell>
          <cell r="H420" t="str">
            <v>NANGGROE ACEH DARUSSALAM</v>
          </cell>
          <cell r="L420" t="str">
            <v>TAMAN SRI RATU SAFIATUDDIN</v>
          </cell>
        </row>
        <row r="421">
          <cell r="D421" t="str">
            <v>KONSULTAN</v>
          </cell>
          <cell r="J421" t="str">
            <v>KONTRAKTOR</v>
          </cell>
        </row>
        <row r="422">
          <cell r="J422" t="str">
            <v>PT. SARJIS AGUNG Jo. PT. AYU LESTARI INDAH</v>
          </cell>
        </row>
        <row r="423">
          <cell r="D423" t="str">
            <v>Nomor Mata Pembayaran</v>
          </cell>
          <cell r="J423" t="str">
            <v>Uraian</v>
          </cell>
        </row>
        <row r="424">
          <cell r="D424" t="str">
            <v>5.1 (2)</v>
          </cell>
          <cell r="J424" t="str">
            <v>Lapis Pondasi Agregat Klas B</v>
          </cell>
        </row>
        <row r="425">
          <cell r="D425" t="str">
            <v>Lokasi :</v>
          </cell>
          <cell r="G425" t="str">
            <v>Kanan dan kiri Jalan</v>
          </cell>
        </row>
        <row r="429">
          <cell r="F429" t="str">
            <v>REKAPITULASI VOLUME LAPIS PONDASI AG. KLAS B</v>
          </cell>
        </row>
        <row r="431">
          <cell r="F431" t="str">
            <v>No</v>
          </cell>
          <cell r="G431" t="str">
            <v>Uraian</v>
          </cell>
          <cell r="J431" t="str">
            <v>Volume (m3)</v>
          </cell>
          <cell r="L431" t="str">
            <v>Keterangan</v>
          </cell>
        </row>
        <row r="434">
          <cell r="F434">
            <v>1</v>
          </cell>
          <cell r="H434" t="str">
            <v>Sta 0 + 000 s/d Sta 0 + 460 dan</v>
          </cell>
          <cell r="J434">
            <v>630.1</v>
          </cell>
          <cell r="L434" t="str">
            <v>Arah Kanan</v>
          </cell>
        </row>
        <row r="435">
          <cell r="H435" t="str">
            <v>Sta 0+000 s/d 0+080 (Jalur Langsung)</v>
          </cell>
        </row>
        <row r="437">
          <cell r="F437">
            <v>2</v>
          </cell>
          <cell r="H437" t="str">
            <v xml:space="preserve">Sta 0 + 000 s/d Sta 0 + 500 </v>
          </cell>
          <cell r="J437">
            <v>301.86999999999995</v>
          </cell>
          <cell r="L437" t="str">
            <v xml:space="preserve">Arah Kiri </v>
          </cell>
        </row>
        <row r="439">
          <cell r="F439">
            <v>3</v>
          </cell>
          <cell r="H439" t="str">
            <v>Sta 0 + 000 s/d Sta 0 + 040 (Pintu Masuk Dekranas)</v>
          </cell>
          <cell r="J439">
            <v>84.06</v>
          </cell>
        </row>
        <row r="443">
          <cell r="H443" t="str">
            <v>Total Volume Lapis Pondasi Aggregat Klas B</v>
          </cell>
          <cell r="J443">
            <v>1016.03</v>
          </cell>
        </row>
        <row r="451">
          <cell r="D451" t="str">
            <v>KONTRAKTOR</v>
          </cell>
          <cell r="I451" t="str">
            <v>KONSULTAN SUPERVISI</v>
          </cell>
          <cell r="L451" t="str">
            <v>DINAS PRASWIL</v>
          </cell>
        </row>
        <row r="460">
          <cell r="D460" t="str">
            <v>General Superitendent</v>
          </cell>
          <cell r="I460" t="str">
            <v>Chief Inspector</v>
          </cell>
          <cell r="L460" t="str">
            <v>Pengawas Lapangan</v>
          </cell>
        </row>
        <row r="462">
          <cell r="D462" t="str">
            <v>ESTIMASI VOLUME</v>
          </cell>
        </row>
        <row r="463">
          <cell r="D463" t="str">
            <v>KEGIATAN PENUNJANG PENANGANAN JALAN PERKOTAAN</v>
          </cell>
        </row>
        <row r="464">
          <cell r="D464" t="str">
            <v>NO. PAKET</v>
          </cell>
          <cell r="H464" t="str">
            <v xml:space="preserve">DINAS PRASARANA WILAYAH PROVINSI </v>
          </cell>
          <cell r="L464" t="str">
            <v>PEMBANGUNAN JALAN PENGHUBUNG</v>
          </cell>
        </row>
        <row r="465">
          <cell r="D465" t="str">
            <v>PWK - 02 E</v>
          </cell>
          <cell r="H465" t="str">
            <v>NANGGROE ACEH DARUSSALAM</v>
          </cell>
          <cell r="L465" t="str">
            <v>TAMAN SRI RATU SAFIATUDDIN</v>
          </cell>
        </row>
        <row r="466">
          <cell r="D466" t="str">
            <v>KONSULTAN</v>
          </cell>
          <cell r="J466" t="str">
            <v>KONTRAKTOR</v>
          </cell>
        </row>
        <row r="467">
          <cell r="J467" t="str">
            <v>PT. SARJIS AGUNG Jo. PT. AYU LESTARI INDAH</v>
          </cell>
        </row>
        <row r="468">
          <cell r="D468" t="str">
            <v>Nomor Mata Pembayaran</v>
          </cell>
          <cell r="J468" t="str">
            <v>Uraian</v>
          </cell>
        </row>
        <row r="469">
          <cell r="D469" t="str">
            <v>6.1 (1)</v>
          </cell>
          <cell r="J469" t="str">
            <v>Lapis Resap Pengikat</v>
          </cell>
        </row>
        <row r="470">
          <cell r="D470" t="str">
            <v>Lokasi :</v>
          </cell>
          <cell r="G470" t="str">
            <v>Kanan dan kiri Jalan</v>
          </cell>
        </row>
        <row r="474">
          <cell r="F474" t="str">
            <v>REKAPITULASI VOLUME LAPIS RESAP PENGIKAT</v>
          </cell>
        </row>
        <row r="476">
          <cell r="F476" t="str">
            <v>No</v>
          </cell>
          <cell r="G476" t="str">
            <v>Uraian</v>
          </cell>
          <cell r="J476" t="str">
            <v>Volume (Liter)</v>
          </cell>
          <cell r="L476" t="str">
            <v>Keterangan</v>
          </cell>
        </row>
        <row r="479">
          <cell r="F479">
            <v>1</v>
          </cell>
          <cell r="H479" t="str">
            <v>Sta 0 + 000 s/d Sta 0 + 460 dan</v>
          </cell>
          <cell r="J479">
            <v>2450</v>
          </cell>
          <cell r="L479" t="str">
            <v>Arah Kanan</v>
          </cell>
        </row>
        <row r="480">
          <cell r="H480" t="str">
            <v>Sta 0+000 s/d 0+080 (Jalur Langsung)</v>
          </cell>
        </row>
        <row r="482">
          <cell r="F482">
            <v>2</v>
          </cell>
          <cell r="H482" t="str">
            <v>Sta 0 + 000 s/d Sta 0 + 500</v>
          </cell>
          <cell r="J482">
            <v>1206.6799999999998</v>
          </cell>
          <cell r="L482" t="str">
            <v xml:space="preserve">Arah Kiri </v>
          </cell>
        </row>
        <row r="484">
          <cell r="F484">
            <v>3</v>
          </cell>
          <cell r="H484" t="str">
            <v>Daerah Buakaan Median Jln Blanak dan</v>
          </cell>
          <cell r="J484">
            <v>132.56</v>
          </cell>
        </row>
        <row r="485">
          <cell r="H485" t="str">
            <v xml:space="preserve"> Jln. Masuk Dekranas</v>
          </cell>
        </row>
        <row r="487">
          <cell r="F487">
            <v>4</v>
          </cell>
          <cell r="H487" t="str">
            <v>Sta 0 + 000 s/d Sta 0 + 041,5 (Pintu Masuk Dekranas)</v>
          </cell>
          <cell r="J487">
            <v>297.17000000000007</v>
          </cell>
        </row>
        <row r="489">
          <cell r="F489">
            <v>5</v>
          </cell>
          <cell r="H489" t="str">
            <v>Daerah Pertigaan (Persimpangan)</v>
          </cell>
          <cell r="J489">
            <v>318.88800000000003</v>
          </cell>
        </row>
        <row r="495">
          <cell r="H495" t="str">
            <v>Total Volume Lapis Resap Pengikat</v>
          </cell>
          <cell r="J495">
            <v>4405.2979999999998</v>
          </cell>
        </row>
        <row r="503">
          <cell r="D503" t="str">
            <v>KONTRAKTOR</v>
          </cell>
          <cell r="I503" t="str">
            <v>KONSULTAN SUPERVISI</v>
          </cell>
          <cell r="L503" t="str">
            <v>DINAS PRASWIL</v>
          </cell>
        </row>
        <row r="512">
          <cell r="D512" t="str">
            <v>General Superitendent</v>
          </cell>
          <cell r="I512" t="str">
            <v>Chief Inspector</v>
          </cell>
          <cell r="L512" t="str">
            <v>Pengawas Lapangan</v>
          </cell>
        </row>
        <row r="514">
          <cell r="D514" t="str">
            <v>ESTIMASI VOLUME</v>
          </cell>
        </row>
        <row r="515">
          <cell r="D515" t="str">
            <v>KEGIATAN PENUNJANG PENANGANAN JALAN PERKOTAAN</v>
          </cell>
        </row>
        <row r="516">
          <cell r="D516" t="str">
            <v>NO. PAKET</v>
          </cell>
          <cell r="H516" t="str">
            <v xml:space="preserve">DINAS PRASARANA WILAYAH PROVINSI </v>
          </cell>
          <cell r="L516" t="str">
            <v>PEMBANGUNAN JALAN PENGHUBUNG</v>
          </cell>
        </row>
        <row r="517">
          <cell r="D517" t="str">
            <v>PWK - 02 E</v>
          </cell>
          <cell r="H517" t="str">
            <v>NANGGROE ACEH DARUSSALAM</v>
          </cell>
          <cell r="L517" t="str">
            <v>TAMAN SRI RATU SAFIATUDDIN</v>
          </cell>
        </row>
        <row r="518">
          <cell r="D518" t="str">
            <v>KONSULTAN</v>
          </cell>
          <cell r="J518" t="str">
            <v>KONTRAKTOR</v>
          </cell>
        </row>
        <row r="519">
          <cell r="J519" t="str">
            <v>PT. SARJIS AGUNG Jo. PT. AYU LESTARI INDAH</v>
          </cell>
        </row>
        <row r="520">
          <cell r="D520" t="str">
            <v>Nomor Mata Pembayaran</v>
          </cell>
          <cell r="J520" t="str">
            <v>Uraian</v>
          </cell>
        </row>
        <row r="521">
          <cell r="D521" t="str">
            <v>6.3 (6)</v>
          </cell>
          <cell r="J521" t="str">
            <v>Laston - Lapis Pengikat Beton (AC-BC)</v>
          </cell>
        </row>
        <row r="522">
          <cell r="D522" t="str">
            <v>Lokasi :</v>
          </cell>
          <cell r="G522" t="str">
            <v>Kanan dan kiri Jalan</v>
          </cell>
        </row>
        <row r="526">
          <cell r="F526" t="str">
            <v>REKAPITULASI VOLUME LASATON - LAPIS PENGIKAT BETON (AC-BC)</v>
          </cell>
        </row>
        <row r="528">
          <cell r="F528" t="str">
            <v>No</v>
          </cell>
          <cell r="G528" t="str">
            <v>Uraian</v>
          </cell>
          <cell r="J528" t="str">
            <v>Volume (M3)</v>
          </cell>
          <cell r="L528" t="str">
            <v>Keterangan</v>
          </cell>
        </row>
        <row r="531">
          <cell r="F531">
            <v>1</v>
          </cell>
          <cell r="H531" t="str">
            <v>Sta 0 + 000 s/d Sta 0 + 500 dan</v>
          </cell>
          <cell r="J531">
            <v>198.20000000000002</v>
          </cell>
          <cell r="L531" t="str">
            <v>Arah Kanan</v>
          </cell>
        </row>
        <row r="532">
          <cell r="H532" t="str">
            <v>Sta 0+000 s/d 0+080 (Jalur Langsung)</v>
          </cell>
        </row>
        <row r="534">
          <cell r="F534">
            <v>2</v>
          </cell>
          <cell r="H534" t="str">
            <v xml:space="preserve">Sta 0 + 000 s/d Sta 0 + 380 </v>
          </cell>
          <cell r="J534">
            <v>120.325</v>
          </cell>
          <cell r="L534" t="str">
            <v xml:space="preserve">Arah Kiri </v>
          </cell>
        </row>
        <row r="536">
          <cell r="F536">
            <v>3</v>
          </cell>
          <cell r="H536" t="str">
            <v>Daerah Bukaan Median Jln Blanak dan</v>
          </cell>
          <cell r="J536">
            <v>8.9999999999999982</v>
          </cell>
        </row>
        <row r="537">
          <cell r="H537" t="str">
            <v xml:space="preserve"> Jln. Masuk Dekranas</v>
          </cell>
        </row>
        <row r="539">
          <cell r="F539">
            <v>4</v>
          </cell>
          <cell r="H539" t="str">
            <v>Sta 0 + 000 s/d Sta 0 + 041,5 (Pintu Masuk Dekranas)</v>
          </cell>
          <cell r="J539">
            <v>18.575000000000003</v>
          </cell>
        </row>
        <row r="541">
          <cell r="F541">
            <v>5</v>
          </cell>
          <cell r="H541" t="str">
            <v>Daerah Pertigaan (Persimpangan) &amp; Daerah Bukaan Median</v>
          </cell>
          <cell r="J541">
            <v>13.861499999999999</v>
          </cell>
        </row>
        <row r="546">
          <cell r="H546" t="str">
            <v>Total Volume AC - BC</v>
          </cell>
          <cell r="J546">
            <v>359.9615</v>
          </cell>
        </row>
        <row r="554">
          <cell r="D554" t="str">
            <v>KONTRAKTOR</v>
          </cell>
          <cell r="I554" t="str">
            <v>KONSULTAN SUPERVISI</v>
          </cell>
          <cell r="L554" t="str">
            <v>DINAS PRASWIL</v>
          </cell>
        </row>
        <row r="563">
          <cell r="D563" t="str">
            <v>General Superitendent</v>
          </cell>
          <cell r="I563" t="str">
            <v>Chief Inspector</v>
          </cell>
          <cell r="L563" t="str">
            <v>Pengawas Lapangan</v>
          </cell>
        </row>
        <row r="565">
          <cell r="D565" t="str">
            <v>ESTIMASI VOLUME</v>
          </cell>
        </row>
        <row r="566">
          <cell r="D566" t="str">
            <v>KEGIATAN PENUNJANG PENANGANAN JALAN PERKOTAAN</v>
          </cell>
        </row>
        <row r="567">
          <cell r="D567" t="str">
            <v>NO. PAKET</v>
          </cell>
          <cell r="H567" t="str">
            <v xml:space="preserve">DINAS PRASARANA WILAYAH PROVINSI </v>
          </cell>
          <cell r="L567" t="str">
            <v>PEMBANGUNAN JALAN PENGHUBUNG</v>
          </cell>
        </row>
        <row r="568">
          <cell r="D568" t="str">
            <v>PWK - 02 E</v>
          </cell>
          <cell r="H568" t="str">
            <v>NANGGROE ACEH DARUSSALAM</v>
          </cell>
          <cell r="L568" t="str">
            <v>TAMAN SRI RATU SAFIATUDDIN</v>
          </cell>
        </row>
        <row r="569">
          <cell r="D569" t="str">
            <v>KONSULTAN</v>
          </cell>
          <cell r="J569" t="str">
            <v>KONTRAKTOR</v>
          </cell>
        </row>
        <row r="570">
          <cell r="J570" t="str">
            <v>PT. SARJIS AGUNG Jo. PT. AYU LESTARI INDAH</v>
          </cell>
        </row>
        <row r="571">
          <cell r="D571" t="str">
            <v>Nomor Mata Pembayaran</v>
          </cell>
          <cell r="J571" t="str">
            <v>Uraian</v>
          </cell>
        </row>
        <row r="572">
          <cell r="D572" t="str">
            <v>7.1 (5)</v>
          </cell>
          <cell r="J572" t="str">
            <v>Beton K.250</v>
          </cell>
        </row>
        <row r="573">
          <cell r="D573" t="str">
            <v>Lokasi :</v>
          </cell>
          <cell r="G573" t="str">
            <v>Kanan dan kiri Jalan</v>
          </cell>
        </row>
        <row r="577">
          <cell r="F577" t="str">
            <v>REKAPITULASI VOLUME BETON K. 250</v>
          </cell>
        </row>
        <row r="579">
          <cell r="F579" t="str">
            <v>No</v>
          </cell>
          <cell r="G579" t="str">
            <v>Uraian</v>
          </cell>
          <cell r="J579" t="str">
            <v>volume (m3)</v>
          </cell>
          <cell r="L579" t="str">
            <v>Keterangan</v>
          </cell>
        </row>
        <row r="582">
          <cell r="F582">
            <v>1</v>
          </cell>
          <cell r="H582" t="str">
            <v xml:space="preserve">Beton K. 250 pada Penutup Saluran </v>
          </cell>
          <cell r="J582">
            <v>189.50082749999999</v>
          </cell>
        </row>
        <row r="584">
          <cell r="F584">
            <v>2</v>
          </cell>
          <cell r="H584" t="str">
            <v>Beton K. 250 pada Footing Tembok Penahan</v>
          </cell>
        </row>
        <row r="586">
          <cell r="F586">
            <v>3</v>
          </cell>
          <cell r="H586" t="str">
            <v>Beton K. 250 Pintu masuk Samping Dekranas</v>
          </cell>
        </row>
        <row r="588">
          <cell r="F588">
            <v>4</v>
          </cell>
          <cell r="H588" t="str">
            <v>Beton K. 250 pada Penyangga Tiang Lampu</v>
          </cell>
        </row>
        <row r="590">
          <cell r="F590">
            <v>5</v>
          </cell>
          <cell r="H590" t="str">
            <v>Beton K. 250 pada Kerb Pejalan Kaki pada Jalan Masuk Dekranas</v>
          </cell>
        </row>
        <row r="596">
          <cell r="H596" t="str">
            <v>Total Volume Beton K. 250</v>
          </cell>
          <cell r="J596">
            <v>189.50082749999999</v>
          </cell>
        </row>
        <row r="600">
          <cell r="F600" t="str">
            <v>Volume Beton K. 250 sampai saat ini :</v>
          </cell>
          <cell r="J600">
            <v>189.50082749999999</v>
          </cell>
          <cell r="K600" t="str">
            <v>M3</v>
          </cell>
        </row>
        <row r="602">
          <cell r="F602" t="str">
            <v>Volume Beton K. 250 yang dibayar pada MC No. 1 adalah :</v>
          </cell>
          <cell r="J602">
            <v>153</v>
          </cell>
          <cell r="K602" t="str">
            <v>M3</v>
          </cell>
        </row>
        <row r="620">
          <cell r="D620" t="str">
            <v>KONTRAKTOR</v>
          </cell>
          <cell r="I620" t="str">
            <v>KONSULTAN SUPERVISI</v>
          </cell>
          <cell r="L620" t="str">
            <v>DINAS PRASWIL</v>
          </cell>
        </row>
        <row r="629">
          <cell r="D629" t="str">
            <v>General Superitendent</v>
          </cell>
          <cell r="I629" t="str">
            <v>Chief Inspector</v>
          </cell>
          <cell r="L629" t="str">
            <v>Pengawas Lapangan</v>
          </cell>
        </row>
        <row r="631">
          <cell r="D631" t="str">
            <v>ESTIMASI VOLUME</v>
          </cell>
        </row>
        <row r="632">
          <cell r="D632" t="str">
            <v>KEGIATAN PENUNJANG PENANGANAN JALAN PERKOTAAN</v>
          </cell>
        </row>
        <row r="633">
          <cell r="D633" t="str">
            <v>NO. PAKET</v>
          </cell>
          <cell r="H633" t="str">
            <v xml:space="preserve">DINAS PRASARANA WILAYAH PROVINSI </v>
          </cell>
          <cell r="L633" t="str">
            <v>PEMBANGUNAN JALAN PENGHUBUNG</v>
          </cell>
        </row>
        <row r="634">
          <cell r="D634" t="str">
            <v>PWK - 02 E</v>
          </cell>
          <cell r="H634" t="str">
            <v>NANGGROE ACEH DARUSSALAM</v>
          </cell>
          <cell r="L634" t="str">
            <v>TAMAN SRI RATU SAFIATUDDIN</v>
          </cell>
        </row>
        <row r="635">
          <cell r="D635" t="str">
            <v>KONSULTAN</v>
          </cell>
          <cell r="J635" t="str">
            <v>KONTRAKTOR</v>
          </cell>
        </row>
        <row r="636">
          <cell r="J636" t="str">
            <v>PT. SARJIS AGUNG Jo. PT. AYU LESTARI INDAH</v>
          </cell>
        </row>
        <row r="637">
          <cell r="D637" t="str">
            <v>Nomor Mata Pembayaran</v>
          </cell>
          <cell r="J637" t="str">
            <v>Uraian</v>
          </cell>
        </row>
        <row r="638">
          <cell r="D638" t="str">
            <v>7.1 (4)</v>
          </cell>
          <cell r="J638" t="str">
            <v>Beton K.300</v>
          </cell>
        </row>
        <row r="639">
          <cell r="D639" t="str">
            <v>Lokasi :</v>
          </cell>
          <cell r="G639" t="str">
            <v>Kanan dan kiri Jalan</v>
          </cell>
        </row>
        <row r="643">
          <cell r="F643" t="str">
            <v>REKAPITULASI VOLUME BETON K. 300</v>
          </cell>
        </row>
        <row r="645">
          <cell r="F645" t="str">
            <v>No</v>
          </cell>
          <cell r="G645" t="str">
            <v>Uraian</v>
          </cell>
          <cell r="J645" t="str">
            <v>volume (m3)</v>
          </cell>
          <cell r="L645" t="str">
            <v>Keterangan</v>
          </cell>
        </row>
        <row r="648">
          <cell r="F648">
            <v>1</v>
          </cell>
          <cell r="H648" t="str">
            <v>Beton K. 300 pada Box Culvert Panjang 24 m</v>
          </cell>
          <cell r="J648">
            <v>54.599999999999994</v>
          </cell>
          <cell r="L648" t="str">
            <v>Jalur Peralihan</v>
          </cell>
        </row>
        <row r="650">
          <cell r="F650">
            <v>2</v>
          </cell>
          <cell r="H650" t="str">
            <v>Beton K. 300 pada Box Culvert Panjang 7 m</v>
          </cell>
          <cell r="J650">
            <v>14.875</v>
          </cell>
          <cell r="L650" t="str">
            <v>Jalur Peralihan</v>
          </cell>
        </row>
        <row r="652">
          <cell r="F652">
            <v>3</v>
          </cell>
          <cell r="H652" t="str">
            <v>Beton K. 300 pada Plat Beton</v>
          </cell>
          <cell r="J652">
            <v>24.598414999999999</v>
          </cell>
        </row>
        <row r="654">
          <cell r="F654">
            <v>4</v>
          </cell>
          <cell r="H654" t="str">
            <v>Beton K. 300 pada Plat Sta. 0 + 460 (Sambungan Plat)</v>
          </cell>
          <cell r="J654">
            <v>0.95699999999999996</v>
          </cell>
        </row>
        <row r="658">
          <cell r="H658" t="str">
            <v>Total Volume Beton K. 300</v>
          </cell>
          <cell r="J658">
            <v>95.030414999999991</v>
          </cell>
        </row>
        <row r="662">
          <cell r="F662" t="str">
            <v>Volume Beton K. 300 sampai saat ini :</v>
          </cell>
          <cell r="J662">
            <v>95.030414999999991</v>
          </cell>
          <cell r="K662" t="str">
            <v>M3</v>
          </cell>
        </row>
        <row r="664">
          <cell r="F664" t="str">
            <v>Volume Beton K. 300 yang dibayar pada MC No. 1 adalah :</v>
          </cell>
          <cell r="J664">
            <v>91.37</v>
          </cell>
          <cell r="K664" t="str">
            <v>M3</v>
          </cell>
        </row>
        <row r="677">
          <cell r="D677" t="str">
            <v>KONTRAKTOR</v>
          </cell>
          <cell r="I677" t="str">
            <v>KONSULTAN SUPERVISI</v>
          </cell>
          <cell r="L677" t="str">
            <v>DINAS PRASWIL</v>
          </cell>
        </row>
        <row r="686">
          <cell r="D686" t="str">
            <v>General Superitendent</v>
          </cell>
          <cell r="I686" t="str">
            <v>Chief Inspector</v>
          </cell>
          <cell r="L686" t="str">
            <v>Pengawas Lapangan</v>
          </cell>
        </row>
        <row r="688">
          <cell r="D688" t="str">
            <v>ESTIMASI VOLUME</v>
          </cell>
        </row>
        <row r="689">
          <cell r="D689" t="str">
            <v>KEGIATAN PENUNJANG PENANGANAN JALAN PERKOTAAN</v>
          </cell>
        </row>
        <row r="690">
          <cell r="D690" t="str">
            <v>NO. PAKET</v>
          </cell>
          <cell r="H690" t="str">
            <v xml:space="preserve">DINAS PRASARANA WILAYAH PROVINSI </v>
          </cell>
          <cell r="L690" t="str">
            <v>PEMBANGUNAN JALAN PENGHUBUNG</v>
          </cell>
        </row>
        <row r="691">
          <cell r="D691" t="str">
            <v>PWK - 02 E</v>
          </cell>
          <cell r="H691" t="str">
            <v>NANGGROE ACEH DARUSSALAM</v>
          </cell>
          <cell r="L691" t="str">
            <v>TAMAN SRI RATU SAFIATUDDIN</v>
          </cell>
        </row>
        <row r="692">
          <cell r="D692" t="str">
            <v>KONSULTAN</v>
          </cell>
          <cell r="J692" t="str">
            <v>KONTRAKTOR</v>
          </cell>
        </row>
        <row r="693">
          <cell r="J693" t="str">
            <v>PT. SARJIS AGUNG Jo. PT. AYU LESTARI INDAH</v>
          </cell>
        </row>
        <row r="694">
          <cell r="D694" t="str">
            <v>Nomor Mata Pembayaran</v>
          </cell>
          <cell r="J694" t="str">
            <v>Uraian</v>
          </cell>
        </row>
        <row r="695">
          <cell r="D695" t="str">
            <v>7.1 (6)</v>
          </cell>
          <cell r="J695" t="str">
            <v>Beton K.175</v>
          </cell>
        </row>
        <row r="696">
          <cell r="D696" t="str">
            <v>Lokasi :</v>
          </cell>
          <cell r="G696" t="str">
            <v>Kanan dan kiri Jalan</v>
          </cell>
        </row>
        <row r="700">
          <cell r="F700" t="str">
            <v>REKAPITULASI VOLUME BETON K. 175</v>
          </cell>
        </row>
        <row r="702">
          <cell r="F702" t="str">
            <v>No</v>
          </cell>
          <cell r="G702" t="str">
            <v>Uraian</v>
          </cell>
          <cell r="J702" t="str">
            <v>volume (m3)</v>
          </cell>
          <cell r="L702" t="str">
            <v>Keterangan</v>
          </cell>
        </row>
        <row r="705">
          <cell r="F705">
            <v>1</v>
          </cell>
          <cell r="H705" t="str">
            <v>Beton K. 175 pada Kerb Pejalan Kaki</v>
          </cell>
          <cell r="J705">
            <v>26.953499999999998</v>
          </cell>
          <cell r="L705" t="str">
            <v>Arah Kiri + Kanan</v>
          </cell>
        </row>
        <row r="711">
          <cell r="H711" t="str">
            <v>Total Volume Beton K. 175</v>
          </cell>
          <cell r="J711">
            <v>26.953499999999998</v>
          </cell>
        </row>
        <row r="715">
          <cell r="F715" t="str">
            <v>Volume Beton K. 175 sampai saat ini :</v>
          </cell>
          <cell r="J715">
            <v>26.953499999999998</v>
          </cell>
          <cell r="K715" t="str">
            <v>M3</v>
          </cell>
        </row>
        <row r="717">
          <cell r="F717" t="str">
            <v>Volume Beton K. 175 yang dibayar pada MC No. 1 adalah :</v>
          </cell>
          <cell r="J717">
            <v>21.01</v>
          </cell>
          <cell r="K717" t="str">
            <v>M3</v>
          </cell>
        </row>
        <row r="724">
          <cell r="D724" t="str">
            <v>KONTRAKTOR</v>
          </cell>
          <cell r="I724" t="str">
            <v>KONSULTAN SUPERVISI</v>
          </cell>
          <cell r="L724" t="str">
            <v>DINAS PRASWIL</v>
          </cell>
        </row>
        <row r="733">
          <cell r="D733" t="str">
            <v>General Superitendent</v>
          </cell>
          <cell r="I733" t="str">
            <v>Chief Inspector</v>
          </cell>
          <cell r="L733" t="str">
            <v>Pengawas Lapangan</v>
          </cell>
        </row>
        <row r="735">
          <cell r="D735" t="str">
            <v>ESTIMASI VOLUME</v>
          </cell>
        </row>
        <row r="736">
          <cell r="D736" t="str">
            <v>KEGIATAN PENUNJANG PENANGANAN JALAN PERKOTAAN</v>
          </cell>
        </row>
        <row r="737">
          <cell r="D737" t="str">
            <v>NO. PAKET</v>
          </cell>
          <cell r="H737" t="str">
            <v xml:space="preserve">DINAS PRASARANA WILAYAH PROVINSI </v>
          </cell>
          <cell r="L737" t="str">
            <v>PEMBANGUNAN JALAN PENGHUBUNG</v>
          </cell>
        </row>
        <row r="738">
          <cell r="D738" t="str">
            <v>PWK - 02 E</v>
          </cell>
          <cell r="H738" t="str">
            <v>NANGGROE ACEH DARUSSALAM</v>
          </cell>
          <cell r="L738" t="str">
            <v>TAMAN SRI RATU SAFIATUDDIN</v>
          </cell>
        </row>
        <row r="739">
          <cell r="D739" t="str">
            <v>KONSULTAN</v>
          </cell>
          <cell r="J739" t="str">
            <v>KONTRAKTOR</v>
          </cell>
        </row>
        <row r="740">
          <cell r="J740" t="str">
            <v>PT. SARJIS AGUNG Jo. PT. AYU LESTARI INDAH</v>
          </cell>
        </row>
        <row r="741">
          <cell r="D741" t="str">
            <v>Nomor Mata Pembayaran</v>
          </cell>
          <cell r="J741" t="str">
            <v>Uraian</v>
          </cell>
        </row>
        <row r="742">
          <cell r="D742" t="str">
            <v>7.9</v>
          </cell>
          <cell r="J742" t="str">
            <v>Pasangan Batu</v>
          </cell>
        </row>
        <row r="743">
          <cell r="D743" t="str">
            <v>Lokasi :</v>
          </cell>
          <cell r="G743" t="str">
            <v>Kanan dan kiri Jalan</v>
          </cell>
        </row>
        <row r="747">
          <cell r="F747" t="str">
            <v>REKAPITULASI VOLUME PASANGAN BATU</v>
          </cell>
        </row>
        <row r="749">
          <cell r="F749" t="str">
            <v>No</v>
          </cell>
          <cell r="G749" t="str">
            <v>Uraian</v>
          </cell>
          <cell r="J749" t="str">
            <v>volume (m3)</v>
          </cell>
          <cell r="L749" t="str">
            <v>Keterangan</v>
          </cell>
        </row>
        <row r="752">
          <cell r="F752">
            <v>1</v>
          </cell>
          <cell r="H752" t="str">
            <v>Pasangan Batu Pada Plat Beton</v>
          </cell>
          <cell r="J752">
            <v>137.382125</v>
          </cell>
        </row>
        <row r="754">
          <cell r="F754">
            <v>2</v>
          </cell>
          <cell r="H754" t="str">
            <v>Pasangan Batu Tambahan Pada  Saluran Lama</v>
          </cell>
          <cell r="J754">
            <v>154.77249999999998</v>
          </cell>
        </row>
        <row r="763">
          <cell r="H763" t="str">
            <v>Total Volume Pasangan Batu</v>
          </cell>
          <cell r="J763">
            <v>292.15462500000001</v>
          </cell>
        </row>
        <row r="767">
          <cell r="F767" t="str">
            <v>Volume Pasangan Batu sampai saat ini :</v>
          </cell>
          <cell r="J767">
            <v>292.15462500000001</v>
          </cell>
          <cell r="K767" t="str">
            <v>M3</v>
          </cell>
        </row>
        <row r="769">
          <cell r="F769" t="str">
            <v>Volume Pasangan Batu yang dibayar pada MC No. 1 adalah :</v>
          </cell>
          <cell r="J769">
            <v>98.67</v>
          </cell>
          <cell r="K769" t="str">
            <v>M3</v>
          </cell>
        </row>
        <row r="781">
          <cell r="D781" t="str">
            <v>KONTRAKTOR</v>
          </cell>
          <cell r="I781" t="str">
            <v>KONSULTAN SUPERVISI</v>
          </cell>
          <cell r="L781" t="str">
            <v>DINAS PRASWIL</v>
          </cell>
        </row>
        <row r="790">
          <cell r="D790" t="str">
            <v>General Superitendent</v>
          </cell>
          <cell r="I790" t="str">
            <v>Chief Inspector</v>
          </cell>
          <cell r="L790" t="str">
            <v>Pengawas Lapangan</v>
          </cell>
        </row>
        <row r="792">
          <cell r="D792" t="str">
            <v>ESTIMASI VOLUME</v>
          </cell>
        </row>
        <row r="793">
          <cell r="D793" t="str">
            <v>KEGIATAN PENUNJANG PENANGANAN JALAN PERKOTAAN</v>
          </cell>
        </row>
        <row r="794">
          <cell r="D794" t="str">
            <v>NO. PAKET</v>
          </cell>
          <cell r="H794" t="str">
            <v xml:space="preserve">DINAS PRASARANA WILAYAH PROVINSI </v>
          </cell>
          <cell r="L794" t="str">
            <v>PEMBANGUNAN JALAN PENGHUBUNG</v>
          </cell>
        </row>
        <row r="795">
          <cell r="D795" t="str">
            <v>PWK - 02 E</v>
          </cell>
          <cell r="H795" t="str">
            <v>NANGGROE ACEH DARUSSALAM</v>
          </cell>
          <cell r="L795" t="str">
            <v>TAMAN SRI RATU SAFIATUDDIN</v>
          </cell>
        </row>
        <row r="796">
          <cell r="D796" t="str">
            <v>KONSULTAN</v>
          </cell>
          <cell r="J796" t="str">
            <v>KONTRAKTOR</v>
          </cell>
        </row>
        <row r="797">
          <cell r="J797" t="str">
            <v>PT. SARJIS AGUNG Jo. PT. AYU LESTARI INDAH</v>
          </cell>
        </row>
        <row r="798">
          <cell r="D798" t="str">
            <v>Nomor Mata Pembayaran</v>
          </cell>
          <cell r="J798" t="str">
            <v>Uraian</v>
          </cell>
        </row>
        <row r="799">
          <cell r="D799" t="str">
            <v>8.4(10)</v>
          </cell>
          <cell r="J799" t="str">
            <v>Kerb Pracetak</v>
          </cell>
        </row>
        <row r="800">
          <cell r="D800" t="str">
            <v>Lokasi :</v>
          </cell>
          <cell r="G800" t="str">
            <v>Kanan Tengah dan kiri Jalan</v>
          </cell>
        </row>
        <row r="804">
          <cell r="F804" t="str">
            <v>REKAPITULASI VOLUME KERB PRACETAK</v>
          </cell>
        </row>
        <row r="806">
          <cell r="F806" t="str">
            <v>No</v>
          </cell>
          <cell r="G806" t="str">
            <v>Uraian</v>
          </cell>
          <cell r="J806" t="str">
            <v>volume (m')</v>
          </cell>
          <cell r="L806" t="str">
            <v>Keterangan</v>
          </cell>
        </row>
        <row r="809">
          <cell r="F809">
            <v>1</v>
          </cell>
          <cell r="H809" t="str">
            <v>Kerb Pracetak</v>
          </cell>
          <cell r="J809">
            <v>1670.35</v>
          </cell>
        </row>
        <row r="817">
          <cell r="H817" t="str">
            <v>Total Panjang Kerb Pracetak</v>
          </cell>
          <cell r="J817">
            <v>1670.35</v>
          </cell>
        </row>
        <row r="825">
          <cell r="D825" t="str">
            <v>KONTRAKTOR</v>
          </cell>
          <cell r="I825" t="str">
            <v>KONSULTAN SUPERVISI</v>
          </cell>
          <cell r="L825" t="str">
            <v>DINAS PRASWIL</v>
          </cell>
        </row>
        <row r="834">
          <cell r="D834" t="str">
            <v>General Superitendent</v>
          </cell>
          <cell r="I834" t="str">
            <v>Chief Inspector</v>
          </cell>
          <cell r="L834" t="str">
            <v>Pengawas Lapangan</v>
          </cell>
        </row>
        <row r="836">
          <cell r="D836" t="str">
            <v>ESTIMASI VOLUME</v>
          </cell>
        </row>
        <row r="837">
          <cell r="D837" t="str">
            <v>KEGIATAN PENUNJANG PENANGANAN JALAN PERKOTAAN</v>
          </cell>
        </row>
        <row r="838">
          <cell r="D838" t="str">
            <v>NO. PAKET</v>
          </cell>
          <cell r="H838" t="str">
            <v xml:space="preserve">DINAS PRASARANA WILAYAH PROVINSI </v>
          </cell>
          <cell r="L838" t="str">
            <v>PEMBANGUNAN JALAN PENGHUBUNG</v>
          </cell>
        </row>
        <row r="839">
          <cell r="D839" t="str">
            <v>PWK - 02 E</v>
          </cell>
          <cell r="H839" t="str">
            <v>NANGGROE ACEH DARUSSALAM</v>
          </cell>
          <cell r="L839" t="str">
            <v>TAMAN SRI RATU SAFIATUDDIN</v>
          </cell>
        </row>
        <row r="840">
          <cell r="D840" t="str">
            <v>KONSULTAN</v>
          </cell>
          <cell r="J840" t="str">
            <v>KONTRAKTOR</v>
          </cell>
        </row>
        <row r="841">
          <cell r="J841" t="str">
            <v>PT. SARJIS AGUNG Jo. PT. AYU LESTARI INDAH</v>
          </cell>
        </row>
        <row r="842">
          <cell r="D842" t="str">
            <v>Nomor Mata Pembayaran</v>
          </cell>
          <cell r="J842" t="str">
            <v>Uraian</v>
          </cell>
        </row>
        <row r="843">
          <cell r="D843" t="str">
            <v>7.3(1)</v>
          </cell>
          <cell r="J843" t="str">
            <v>Baja Tulangan U.24 Polos</v>
          </cell>
        </row>
        <row r="844">
          <cell r="D844" t="str">
            <v>Lokasi :</v>
          </cell>
          <cell r="G844" t="str">
            <v>Kanan dan kiri Jalan</v>
          </cell>
        </row>
        <row r="848">
          <cell r="F848" t="str">
            <v xml:space="preserve">REKAPITULASI KUANTITAS BAJA TULANGAN </v>
          </cell>
        </row>
        <row r="850">
          <cell r="F850" t="str">
            <v>No</v>
          </cell>
          <cell r="G850" t="str">
            <v>Uraian</v>
          </cell>
          <cell r="J850" t="str">
            <v>Kuantitas (Kg)</v>
          </cell>
          <cell r="L850" t="str">
            <v>Keterangan</v>
          </cell>
        </row>
        <row r="853">
          <cell r="F853">
            <v>1</v>
          </cell>
          <cell r="H853" t="str">
            <v>Box Culvert Panjang 24 meter</v>
          </cell>
          <cell r="J853">
            <v>7986.8105600000008</v>
          </cell>
        </row>
        <row r="854">
          <cell r="F854">
            <v>2</v>
          </cell>
          <cell r="H854" t="str">
            <v>Box Culvert Panjang 7 meter</v>
          </cell>
          <cell r="J854">
            <v>2244.5364928000004</v>
          </cell>
        </row>
        <row r="855">
          <cell r="F855">
            <v>3</v>
          </cell>
          <cell r="H855" t="str">
            <v xml:space="preserve">Plat Beton Jalan Masuk Bawasda </v>
          </cell>
        </row>
        <row r="856">
          <cell r="F856">
            <v>3</v>
          </cell>
          <cell r="H856" t="str">
            <v xml:space="preserve">Plat Beton Jalan Gurami </v>
          </cell>
          <cell r="J856">
            <v>709.30149840000013</v>
          </cell>
        </row>
        <row r="857">
          <cell r="F857">
            <v>4</v>
          </cell>
          <cell r="H857" t="str">
            <v xml:space="preserve">Plat Beton Jalan Kepiting  </v>
          </cell>
          <cell r="J857">
            <v>749.06439200000011</v>
          </cell>
        </row>
        <row r="858">
          <cell r="F858">
            <v>5</v>
          </cell>
          <cell r="H858" t="str">
            <v xml:space="preserve">Plat Beton Jalan Masuk Telkom (arah Masuk) </v>
          </cell>
          <cell r="J858">
            <v>226.11444480000003</v>
          </cell>
        </row>
        <row r="859">
          <cell r="F859">
            <v>6</v>
          </cell>
          <cell r="H859" t="str">
            <v xml:space="preserve">Plat Beton Jalan Masuk Telkom (arah keluar) </v>
          </cell>
          <cell r="J859">
            <v>226.6727472</v>
          </cell>
        </row>
        <row r="860">
          <cell r="F860">
            <v>7</v>
          </cell>
          <cell r="H860" t="str">
            <v xml:space="preserve">Plat Beton Jalan Masuk Warung Kopi </v>
          </cell>
          <cell r="J860">
            <v>292.95290880000005</v>
          </cell>
        </row>
        <row r="861">
          <cell r="F861">
            <v>8</v>
          </cell>
          <cell r="H861" t="str">
            <v xml:space="preserve">Plat Beton Jalan Bandeng  </v>
          </cell>
          <cell r="J861">
            <v>904.44062800000006</v>
          </cell>
        </row>
        <row r="862">
          <cell r="F862">
            <v>9</v>
          </cell>
          <cell r="H862" t="str">
            <v>Plat Beton Jalan Cumi - Cumi</v>
          </cell>
          <cell r="J862">
            <v>929.02308479999999</v>
          </cell>
        </row>
        <row r="863">
          <cell r="F863">
            <v>10</v>
          </cell>
          <cell r="H863" t="str">
            <v xml:space="preserve">Plat Beton Jalan Senangin  </v>
          </cell>
          <cell r="J863">
            <v>986.360544</v>
          </cell>
        </row>
        <row r="864">
          <cell r="F864">
            <v>11</v>
          </cell>
          <cell r="H864" t="str">
            <v xml:space="preserve">Plat Beton Jalan Sepat  </v>
          </cell>
        </row>
        <row r="865">
          <cell r="F865">
            <v>12</v>
          </cell>
          <cell r="H865" t="str">
            <v xml:space="preserve">Plat Beton Jalan Masuk Dekranas  </v>
          </cell>
        </row>
        <row r="866">
          <cell r="F866">
            <v>13</v>
          </cell>
          <cell r="H866" t="str">
            <v xml:space="preserve">Plat Beton Jalan Pintu Masuk Pakir Dekranas (Kiri) </v>
          </cell>
        </row>
        <row r="867">
          <cell r="F867">
            <v>14</v>
          </cell>
          <cell r="H867" t="str">
            <v xml:space="preserve">Plat Beton Jalan Pintu Masuk Pakir Dekranas (Kanan) </v>
          </cell>
        </row>
        <row r="868">
          <cell r="F868">
            <v>15</v>
          </cell>
          <cell r="H868" t="str">
            <v>Footing Tembok Penahan daerah Tambak</v>
          </cell>
        </row>
        <row r="869">
          <cell r="F869">
            <v>11</v>
          </cell>
          <cell r="H869" t="str">
            <v>Plat Beton Penutup Saluran</v>
          </cell>
          <cell r="J869">
            <v>26209.2156732</v>
          </cell>
        </row>
        <row r="870">
          <cell r="F870">
            <v>12</v>
          </cell>
          <cell r="H870" t="str">
            <v>Plat Beton Penyangga Tiang Lampu</v>
          </cell>
        </row>
        <row r="871">
          <cell r="F871">
            <v>12</v>
          </cell>
          <cell r="H871" t="str">
            <v>Plat Beton Penutup Saluran Type VII</v>
          </cell>
          <cell r="J871">
            <v>146.45573999999999</v>
          </cell>
        </row>
        <row r="881">
          <cell r="H881" t="str">
            <v>Total Kuantitas Baja Tulangan (Kg)</v>
          </cell>
          <cell r="J881">
            <v>41610.948713999998</v>
          </cell>
        </row>
        <row r="885">
          <cell r="F885" t="str">
            <v>Volume Baja Tulangan sampai saat ini :</v>
          </cell>
          <cell r="J885">
            <v>41610.948713999998</v>
          </cell>
          <cell r="K885" t="str">
            <v>M3</v>
          </cell>
        </row>
        <row r="887">
          <cell r="F887" t="str">
            <v>Volume Baja Tulangan yang dibayar pada MC No. 1 adalah :</v>
          </cell>
          <cell r="J887">
            <v>31768.1</v>
          </cell>
          <cell r="K887" t="str">
            <v>M3</v>
          </cell>
        </row>
        <row r="901">
          <cell r="D901" t="str">
            <v>KONTRAKTOR</v>
          </cell>
          <cell r="I901" t="str">
            <v>KONSULTAN SUPERVISI</v>
          </cell>
          <cell r="L901" t="str">
            <v>DINAS PRASWIL</v>
          </cell>
        </row>
        <row r="910">
          <cell r="D910" t="str">
            <v>General Superitendent</v>
          </cell>
          <cell r="I910" t="str">
            <v>Chief Inspector</v>
          </cell>
          <cell r="L910" t="str">
            <v>Pengawas Lapangan</v>
          </cell>
        </row>
        <row r="912">
          <cell r="D912" t="str">
            <v>ESTIMASI VOLUME</v>
          </cell>
        </row>
        <row r="913">
          <cell r="D913" t="str">
            <v>KEGIATAN PENUNJANG PENANGANAN JALAN PERKOTAAN</v>
          </cell>
        </row>
        <row r="914">
          <cell r="D914" t="str">
            <v>NO. PAKET</v>
          </cell>
          <cell r="H914" t="str">
            <v xml:space="preserve">DINAS PRASARANA WILAYAH PROVINSI </v>
          </cell>
          <cell r="L914" t="str">
            <v>PEMBANGUNAN JALAN PENGHUBUNG</v>
          </cell>
        </row>
        <row r="915">
          <cell r="D915" t="str">
            <v>PWK - 02 E</v>
          </cell>
          <cell r="H915" t="str">
            <v>NANGGROE ACEH DARUSSALAM</v>
          </cell>
          <cell r="L915" t="str">
            <v>TAMAN SRI RATU SAFIATUDDIN</v>
          </cell>
        </row>
        <row r="916">
          <cell r="D916" t="str">
            <v>KONSULTAN</v>
          </cell>
          <cell r="J916" t="str">
            <v>KONTRAKTOR</v>
          </cell>
        </row>
        <row r="917">
          <cell r="J917" t="str">
            <v>PT. SARJIS AGUNG Jo. PT. AYU LESTARI INDAH</v>
          </cell>
        </row>
        <row r="918">
          <cell r="D918" t="str">
            <v>Nomor Mata Pembayaran</v>
          </cell>
          <cell r="J918" t="str">
            <v>Uraian</v>
          </cell>
        </row>
        <row r="919">
          <cell r="D919" t="str">
            <v>6.2 (1)</v>
          </cell>
          <cell r="J919" t="str">
            <v>Lapis Perekat</v>
          </cell>
        </row>
        <row r="920">
          <cell r="D920" t="str">
            <v>Lokasi :</v>
          </cell>
          <cell r="G920" t="str">
            <v>Kanan dan kiri Jalan</v>
          </cell>
        </row>
        <row r="924">
          <cell r="F924" t="str">
            <v>REKAPITULASI VOLUME LAPIS PEREKAT</v>
          </cell>
        </row>
        <row r="926">
          <cell r="F926" t="str">
            <v>No</v>
          </cell>
          <cell r="G926" t="str">
            <v>Uraian</v>
          </cell>
          <cell r="J926" t="str">
            <v>Volume (Liter)</v>
          </cell>
          <cell r="L926" t="str">
            <v>Keterangan</v>
          </cell>
        </row>
        <row r="929">
          <cell r="F929">
            <v>1</v>
          </cell>
          <cell r="H929" t="str">
            <v>Jalan Lama</v>
          </cell>
          <cell r="J929">
            <v>626.73749999999984</v>
          </cell>
          <cell r="L929" t="str">
            <v>Arah Kanan</v>
          </cell>
        </row>
        <row r="945">
          <cell r="H945" t="str">
            <v>Total Volume Lapis Resap Pengikat</v>
          </cell>
          <cell r="J945">
            <v>626.73749999999984</v>
          </cell>
        </row>
        <row r="953">
          <cell r="D953" t="str">
            <v>KONTRAKTOR</v>
          </cell>
          <cell r="I953" t="str">
            <v>KONSULTAN SUPERVISI</v>
          </cell>
          <cell r="L953" t="str">
            <v>DINAS PRASWIL</v>
          </cell>
        </row>
        <row r="962">
          <cell r="D962" t="str">
            <v>General Superitendent</v>
          </cell>
          <cell r="I962" t="str">
            <v>Chief Inspector</v>
          </cell>
          <cell r="L962" t="str">
            <v>Pengawas Lapangan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 o Q"/>
      <sheetName val="anlsa"/>
      <sheetName val="a-2"/>
      <sheetName val="a-3"/>
      <sheetName val="a-4"/>
      <sheetName val="analisa teknik"/>
      <sheetName val="Upah&amp;Bhn"/>
      <sheetName val="Anl.bahan"/>
      <sheetName val="CURVA S "/>
      <sheetName val="CURVA balok"/>
      <sheetName val="anlsa alat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">
          <cell r="AW11">
            <v>372059</v>
          </cell>
        </row>
        <row r="19">
          <cell r="AW19">
            <v>206137</v>
          </cell>
        </row>
        <row r="22">
          <cell r="AW22">
            <v>246798</v>
          </cell>
        </row>
        <row r="187">
          <cell r="BP187">
            <v>330000000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ashflow"/>
      <sheetName val="CS"/>
      <sheetName val="Meth"/>
      <sheetName val="AN-E"/>
      <sheetName val="Schedulee"/>
      <sheetName val="Koto Panjang"/>
      <sheetName val="harga"/>
      <sheetName val="Rekap Total"/>
      <sheetName val="rab pustu"/>
      <sheetName val="KEMAJUAN PROYEK"/>
      <sheetName val="SCHEDULE"/>
      <sheetName val="Embong-Malang"/>
      <sheetName val="Form A"/>
      <sheetName val="MORTAR 1"/>
      <sheetName val="UPH &amp; BHN"/>
      <sheetName val="DUB"/>
      <sheetName val="BOQ"/>
      <sheetName val="Real Siap badan"/>
      <sheetName val="RAB"/>
      <sheetName val="Daftar Upah&amp;Bahan"/>
      <sheetName val="ANALISA "/>
      <sheetName val="Sat Das"/>
      <sheetName val="HS"/>
      <sheetName val="UPAH"/>
      <sheetName val="II"/>
      <sheetName val="Total"/>
      <sheetName val="Agregat Halus &amp; Kasar"/>
      <sheetName val="SUM DP"/>
      <sheetName val="REKAP RAP"/>
      <sheetName val="DU&amp;B"/>
      <sheetName val="Kuantitas &amp; Harga"/>
      <sheetName val="ANALISA (2)"/>
      <sheetName val="OFFICE"/>
      <sheetName val="5-Peralatan"/>
      <sheetName val="TOWN"/>
      <sheetName val="Input"/>
    </sheetNames>
    <sheetDataSet>
      <sheetData sheetId="0"/>
      <sheetData sheetId="1"/>
      <sheetData sheetId="2" refreshError="1">
        <row r="1">
          <cell r="A1" t="str">
            <v xml:space="preserve">CASH FLOW </v>
          </cell>
        </row>
        <row r="2">
          <cell r="A2" t="str">
            <v>Proyeksi Proyek Road Rehabilitation di Kazakhtan</v>
          </cell>
        </row>
        <row r="4">
          <cell r="A4" t="str">
            <v>Dalam US$</v>
          </cell>
        </row>
        <row r="6">
          <cell r="B6" t="str">
            <v xml:space="preserve">Nama Karya       : </v>
          </cell>
          <cell r="F6" t="str">
            <v xml:space="preserve">Dibuat oleh        : </v>
          </cell>
          <cell r="J6" t="str">
            <v>Kontrak Gross  :</v>
          </cell>
          <cell r="K6">
            <v>71888644715.488297</v>
          </cell>
        </row>
        <row r="7">
          <cell r="B7" t="str">
            <v xml:space="preserve">Nomor Karya      : </v>
          </cell>
          <cell r="F7" t="str">
            <v>Diperiksa oleh     :</v>
          </cell>
          <cell r="J7" t="str">
            <v>Kontrak Net     :</v>
          </cell>
          <cell r="K7">
            <v>65353313377.716637</v>
          </cell>
        </row>
        <row r="8">
          <cell r="A8" t="str">
            <v>NO</v>
          </cell>
          <cell r="B8" t="str">
            <v>URAIAN</v>
          </cell>
          <cell r="C8" t="str">
            <v>%</v>
          </cell>
          <cell r="D8" t="str">
            <v>JUMLAH</v>
          </cell>
        </row>
        <row r="9">
          <cell r="E9">
            <v>0</v>
          </cell>
          <cell r="F9">
            <v>1</v>
          </cell>
          <cell r="G9">
            <v>2</v>
          </cell>
          <cell r="H9">
            <v>3</v>
          </cell>
          <cell r="I9">
            <v>4</v>
          </cell>
          <cell r="J9">
            <v>5</v>
          </cell>
          <cell r="K9">
            <v>6</v>
          </cell>
          <cell r="L9">
            <v>7</v>
          </cell>
          <cell r="M9">
            <v>8</v>
          </cell>
          <cell r="N9">
            <v>9</v>
          </cell>
          <cell r="O9">
            <v>10</v>
          </cell>
          <cell r="P9">
            <v>11</v>
          </cell>
        </row>
        <row r="10">
          <cell r="B10" t="str">
            <v>ANGGARAN BIAYA PELAKSANAAN (ABP)</v>
          </cell>
        </row>
        <row r="11">
          <cell r="B11" t="str">
            <v xml:space="preserve">     1. Bobot Prestasi per bulan (%)</v>
          </cell>
          <cell r="D11">
            <v>0.99999999999999989</v>
          </cell>
          <cell r="E11">
            <v>0</v>
          </cell>
          <cell r="F11">
            <v>0.10059137022861364</v>
          </cell>
          <cell r="G11">
            <v>0.16317048272330911</v>
          </cell>
          <cell r="H11">
            <v>0.16317048272330911</v>
          </cell>
          <cell r="I11">
            <v>0.17492706207262179</v>
          </cell>
          <cell r="J11">
            <v>0.17492706207262179</v>
          </cell>
          <cell r="K11">
            <v>0.17492706207262179</v>
          </cell>
          <cell r="L11">
            <v>1.1756579349312672E-2</v>
          </cell>
          <cell r="M11">
            <v>1.7949909201382046E-2</v>
          </cell>
          <cell r="N11">
            <v>6.1933298520693743E-3</v>
          </cell>
          <cell r="O11">
            <v>6.1933298520693743E-3</v>
          </cell>
          <cell r="P11">
            <v>6.1933298520693743E-3</v>
          </cell>
        </row>
        <row r="12">
          <cell r="B12" t="str">
            <v xml:space="preserve">     2. Bobot Prestasi akumulatif (%)</v>
          </cell>
          <cell r="D12">
            <v>0.99999999999999989</v>
          </cell>
          <cell r="E12">
            <v>0</v>
          </cell>
          <cell r="F12">
            <v>0.10059137022861364</v>
          </cell>
          <cell r="G12">
            <v>0.26376185295192278</v>
          </cell>
          <cell r="H12">
            <v>0.42693233567523192</v>
          </cell>
          <cell r="I12">
            <v>0.60185939774785369</v>
          </cell>
          <cell r="J12">
            <v>0.77678645982047545</v>
          </cell>
          <cell r="K12">
            <v>0.95171352189309721</v>
          </cell>
          <cell r="L12">
            <v>0.96347010124240984</v>
          </cell>
          <cell r="M12">
            <v>0.9814200104437919</v>
          </cell>
          <cell r="N12">
            <v>0.98761334029586123</v>
          </cell>
          <cell r="O12">
            <v>0.99380667014793056</v>
          </cell>
          <cell r="P12">
            <v>0.99999999999999989</v>
          </cell>
        </row>
        <row r="13">
          <cell r="B13" t="str">
            <v xml:space="preserve">     3. Nilai Prestasi per bulan (US $)</v>
          </cell>
          <cell r="C13">
            <v>100.00000000000003</v>
          </cell>
          <cell r="D13">
            <v>65353313377.716652</v>
          </cell>
          <cell r="F13">
            <v>6573979341.6445026</v>
          </cell>
          <cell r="G13">
            <v>10663731691.409719</v>
          </cell>
          <cell r="H13">
            <v>10663731691.409719</v>
          </cell>
          <cell r="I13">
            <v>11432063105.875341</v>
          </cell>
          <cell r="J13">
            <v>11432063105.875341</v>
          </cell>
          <cell r="K13">
            <v>11432063105.875341</v>
          </cell>
          <cell r="L13">
            <v>768331414.46562302</v>
          </cell>
          <cell r="M13">
            <v>1173086041.1394804</v>
          </cell>
          <cell r="N13">
            <v>404754626.67385721</v>
          </cell>
          <cell r="O13">
            <v>404754626.67385721</v>
          </cell>
          <cell r="P13">
            <v>404754626.67385721</v>
          </cell>
        </row>
        <row r="14">
          <cell r="B14" t="str">
            <v xml:space="preserve">     4. Nilai Prestasi akumulatif (US $)</v>
          </cell>
          <cell r="C14">
            <v>100.00000000000003</v>
          </cell>
          <cell r="D14">
            <v>65353313377.716652</v>
          </cell>
          <cell r="E14" t="str">
            <v/>
          </cell>
          <cell r="F14">
            <v>6573979341.6445026</v>
          </cell>
          <cell r="G14">
            <v>17237711033.054222</v>
          </cell>
          <cell r="H14">
            <v>27901442724.463943</v>
          </cell>
          <cell r="I14">
            <v>39333505830.339287</v>
          </cell>
          <cell r="J14">
            <v>50765568936.21463</v>
          </cell>
          <cell r="K14">
            <v>62197632042.089973</v>
          </cell>
          <cell r="L14">
            <v>62965963456.555595</v>
          </cell>
          <cell r="M14">
            <v>64139049497.695076</v>
          </cell>
          <cell r="N14">
            <v>64543804124.368935</v>
          </cell>
          <cell r="O14">
            <v>64948558751.042793</v>
          </cell>
          <cell r="P14">
            <v>65353313377.716652</v>
          </cell>
        </row>
        <row r="15">
          <cell r="A15" t="str">
            <v>I</v>
          </cell>
          <cell r="B15" t="str">
            <v>PENERIMAAN UANG</v>
          </cell>
        </row>
        <row r="16">
          <cell r="B16" t="str">
            <v xml:space="preserve">     1. Uang Muka Proyek</v>
          </cell>
          <cell r="C16">
            <v>20</v>
          </cell>
          <cell r="D16">
            <v>13070662675.543327</v>
          </cell>
          <cell r="F16">
            <v>13070662675.543327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</row>
        <row r="17">
          <cell r="B17" t="str">
            <v xml:space="preserve">     2. Pengembalian Uang Muka</v>
          </cell>
          <cell r="C17">
            <v>-20.000000000000004</v>
          </cell>
          <cell r="D17">
            <v>-13070662675.543329</v>
          </cell>
          <cell r="F17">
            <v>-657397934.16445029</v>
          </cell>
          <cell r="G17">
            <v>-1723771103.3054223</v>
          </cell>
          <cell r="H17">
            <v>-2132746338.281944</v>
          </cell>
          <cell r="I17">
            <v>-2209579479.7285061</v>
          </cell>
          <cell r="J17">
            <v>-2286412621.1750684</v>
          </cell>
          <cell r="K17">
            <v>-2286412621.1750684</v>
          </cell>
          <cell r="L17">
            <v>-1220039452.0340965</v>
          </cell>
          <cell r="M17">
            <v>-194141745.56051034</v>
          </cell>
          <cell r="N17">
            <v>-157784066.78133377</v>
          </cell>
          <cell r="O17">
            <v>-80950925.334771454</v>
          </cell>
          <cell r="P17">
            <v>-80950925.334771454</v>
          </cell>
        </row>
        <row r="18">
          <cell r="B18" t="str">
            <v xml:space="preserve">     3. Termin</v>
          </cell>
          <cell r="C18">
            <v>100.00000000000003</v>
          </cell>
          <cell r="D18">
            <v>65353313377.716652</v>
          </cell>
          <cell r="F18">
            <v>3286989670.8222513</v>
          </cell>
          <cell r="G18">
            <v>8618855516.5271111</v>
          </cell>
          <cell r="H18">
            <v>10663731691.409719</v>
          </cell>
          <cell r="I18">
            <v>11047897398.64253</v>
          </cell>
          <cell r="J18">
            <v>11432063105.875341</v>
          </cell>
          <cell r="K18">
            <v>11432063105.875341</v>
          </cell>
          <cell r="L18">
            <v>6100197260.1704826</v>
          </cell>
          <cell r="M18">
            <v>970708727.80255163</v>
          </cell>
          <cell r="N18">
            <v>788920333.90666878</v>
          </cell>
          <cell r="O18">
            <v>404754626.67385721</v>
          </cell>
          <cell r="P18">
            <v>404754626.67385721</v>
          </cell>
        </row>
        <row r="19">
          <cell r="B19" t="str">
            <v xml:space="preserve">     4. Retensi</v>
          </cell>
          <cell r="C19">
            <v>0</v>
          </cell>
          <cell r="D19">
            <v>0</v>
          </cell>
          <cell r="F19">
            <v>-164349483.54111257</v>
          </cell>
          <cell r="G19">
            <v>-430942775.82635558</v>
          </cell>
          <cell r="H19">
            <v>-533186584.57048601</v>
          </cell>
          <cell r="I19">
            <v>-552394869.93212652</v>
          </cell>
          <cell r="J19">
            <v>-571603155.29376709</v>
          </cell>
          <cell r="K19">
            <v>-571603155.29376709</v>
          </cell>
          <cell r="L19">
            <v>-305009863.00852412</v>
          </cell>
          <cell r="M19">
            <v>-48535436.390127584</v>
          </cell>
          <cell r="N19">
            <v>-39446016.695333444</v>
          </cell>
          <cell r="O19">
            <v>-20237731.333692864</v>
          </cell>
          <cell r="P19">
            <v>-20237731.333692864</v>
          </cell>
        </row>
        <row r="20">
          <cell r="B20" t="str">
            <v xml:space="preserve">     5. Pengembalian Retensi</v>
          </cell>
          <cell r="C20">
            <v>0</v>
          </cell>
          <cell r="D20">
            <v>0</v>
          </cell>
          <cell r="F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</row>
        <row r="21">
          <cell r="B21" t="str">
            <v xml:space="preserve">     6. Material on Site</v>
          </cell>
          <cell r="C21">
            <v>0</v>
          </cell>
          <cell r="D21">
            <v>0</v>
          </cell>
          <cell r="F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</row>
        <row r="22">
          <cell r="B22" t="str">
            <v xml:space="preserve">     7. Pengembalian Material on Site</v>
          </cell>
          <cell r="C22">
            <v>0</v>
          </cell>
          <cell r="D22">
            <v>0</v>
          </cell>
          <cell r="F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</row>
        <row r="24">
          <cell r="B24" t="str">
            <v>JUMLAH PENERIMAAN :</v>
          </cell>
          <cell r="D24">
            <v>65353313377.716644</v>
          </cell>
          <cell r="E24">
            <v>0</v>
          </cell>
          <cell r="F24">
            <v>15535904928.660017</v>
          </cell>
          <cell r="G24">
            <v>6464141637.3953333</v>
          </cell>
          <cell r="H24">
            <v>7997798768.5572891</v>
          </cell>
          <cell r="I24">
            <v>8285923048.9818974</v>
          </cell>
          <cell r="J24">
            <v>8574047329.4065065</v>
          </cell>
          <cell r="K24">
            <v>8574047329.4065065</v>
          </cell>
          <cell r="L24">
            <v>4575147945.127862</v>
          </cell>
          <cell r="M24">
            <v>728031545.85191381</v>
          </cell>
          <cell r="N24">
            <v>591690250.4300015</v>
          </cell>
          <cell r="O24">
            <v>303565970.00539291</v>
          </cell>
          <cell r="P24">
            <v>303565970.00539291</v>
          </cell>
        </row>
        <row r="26">
          <cell r="A26" t="str">
            <v>II</v>
          </cell>
          <cell r="B26" t="str">
            <v>PENGELUARAN UANG</v>
          </cell>
        </row>
        <row r="27">
          <cell r="B27" t="str">
            <v>I. BIAYA PROYEK</v>
          </cell>
        </row>
        <row r="28">
          <cell r="B28" t="str">
            <v>A. Biaya Swakelola</v>
          </cell>
        </row>
        <row r="29">
          <cell r="B29" t="str">
            <v xml:space="preserve">     1. Biaya Persiapan Kontraktor</v>
          </cell>
          <cell r="C29">
            <v>1.1334420731184671</v>
          </cell>
          <cell r="D29">
            <v>740741950</v>
          </cell>
          <cell r="F29">
            <v>74074195</v>
          </cell>
          <cell r="G29">
            <v>74074195</v>
          </cell>
          <cell r="H29">
            <v>148148390</v>
          </cell>
          <cell r="I29">
            <v>148148390</v>
          </cell>
          <cell r="J29">
            <v>222222585</v>
          </cell>
          <cell r="K29">
            <v>74074195</v>
          </cell>
        </row>
        <row r="30">
          <cell r="B30" t="str">
            <v xml:space="preserve">     2. Bahan</v>
          </cell>
          <cell r="C30">
            <v>36.087173103562286</v>
          </cell>
          <cell r="D30">
            <v>23584163327.530132</v>
          </cell>
          <cell r="F30">
            <v>2372363304.811676</v>
          </cell>
          <cell r="G30">
            <v>3848239314.7784557</v>
          </cell>
          <cell r="H30">
            <v>3848239314.7784557</v>
          </cell>
          <cell r="I30">
            <v>4125508402.3257141</v>
          </cell>
          <cell r="J30">
            <v>4125508402.3257141</v>
          </cell>
          <cell r="K30">
            <v>4125508402.3257141</v>
          </cell>
          <cell r="L30">
            <v>277269087.54725796</v>
          </cell>
          <cell r="M30">
            <v>423333590.31973016</v>
          </cell>
          <cell r="N30">
            <v>146064502.77247214</v>
          </cell>
          <cell r="O30">
            <v>146064502.77247214</v>
          </cell>
          <cell r="P30">
            <v>146064502.77247214</v>
          </cell>
        </row>
        <row r="31">
          <cell r="B31" t="str">
            <v xml:space="preserve">     3. Biaya Upah</v>
          </cell>
          <cell r="C31">
            <v>5.8876570141095046</v>
          </cell>
          <cell r="D31">
            <v>3847778939.036099</v>
          </cell>
          <cell r="F31">
            <v>387053355.81444252</v>
          </cell>
          <cell r="G31">
            <v>627843946.89510262</v>
          </cell>
          <cell r="H31">
            <v>627843946.89510262</v>
          </cell>
          <cell r="I31">
            <v>673080665.31049466</v>
          </cell>
          <cell r="J31">
            <v>673080665.31049466</v>
          </cell>
          <cell r="K31">
            <v>673080665.31049466</v>
          </cell>
          <cell r="L31">
            <v>45236718.415392034</v>
          </cell>
          <cell r="M31">
            <v>69067282.582688138</v>
          </cell>
          <cell r="N31">
            <v>23830564.167296104</v>
          </cell>
          <cell r="O31">
            <v>23830564.167296104</v>
          </cell>
          <cell r="P31">
            <v>23830564.167296104</v>
          </cell>
        </row>
        <row r="32">
          <cell r="B32" t="str">
            <v xml:space="preserve">     4. Biaya Alat</v>
          </cell>
          <cell r="D32">
            <v>0</v>
          </cell>
        </row>
        <row r="33">
          <cell r="B33" t="str">
            <v xml:space="preserve">             4.1.1. Operational Cost</v>
          </cell>
          <cell r="C33">
            <v>17.041357995042166</v>
          </cell>
          <cell r="D33">
            <v>11137092094.318474</v>
          </cell>
          <cell r="F33">
            <v>1120295354.1297553</v>
          </cell>
          <cell r="G33">
            <v>1817244693.1638944</v>
          </cell>
          <cell r="H33">
            <v>1817244693.1638944</v>
          </cell>
          <cell r="I33">
            <v>1948178800.0913525</v>
          </cell>
          <cell r="J33">
            <v>1948178800.0913525</v>
          </cell>
          <cell r="K33">
            <v>1948178800.0913525</v>
          </cell>
          <cell r="L33">
            <v>130934106.92745794</v>
          </cell>
          <cell r="M33">
            <v>199909791.86044636</v>
          </cell>
          <cell r="N33">
            <v>68975684.932988405</v>
          </cell>
          <cell r="O33">
            <v>68975684.932988405</v>
          </cell>
          <cell r="P33">
            <v>68975684.932988405</v>
          </cell>
        </row>
        <row r="34">
          <cell r="B34" t="str">
            <v xml:space="preserve">             4.1.2. Repair &amp; Maintenance Cost</v>
          </cell>
          <cell r="C34">
            <v>0</v>
          </cell>
          <cell r="D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B35" t="str">
            <v xml:space="preserve">             4.2.1. Rental Cost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P35">
            <v>0</v>
          </cell>
        </row>
        <row r="36">
          <cell r="B36" t="str">
            <v xml:space="preserve">     5. Mobilisasi / Demobilisasi</v>
          </cell>
          <cell r="C36">
            <v>1.8361731608992318</v>
          </cell>
          <cell r="D36">
            <v>1200000000</v>
          </cell>
          <cell r="F36">
            <v>450000000</v>
          </cell>
          <cell r="G36">
            <v>150000000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450000000</v>
          </cell>
          <cell r="P36">
            <v>150000000</v>
          </cell>
        </row>
        <row r="37">
          <cell r="B37" t="str">
            <v xml:space="preserve">     6. Biaya ditentukan dalam kontrak</v>
          </cell>
          <cell r="C37">
            <v>0</v>
          </cell>
          <cell r="D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</row>
        <row r="38">
          <cell r="B38" t="str">
            <v xml:space="preserve">     7. Biaya umum lapangan</v>
          </cell>
          <cell r="C38">
            <v>3.2016077878618385</v>
          </cell>
          <cell r="D38">
            <v>2092356770.7267284</v>
          </cell>
          <cell r="F38">
            <v>190214251.88424808</v>
          </cell>
          <cell r="G38">
            <v>190214251.88424808</v>
          </cell>
          <cell r="H38">
            <v>190214251.88424808</v>
          </cell>
          <cell r="I38">
            <v>190214251.88424808</v>
          </cell>
          <cell r="J38">
            <v>190214251.88424808</v>
          </cell>
          <cell r="K38">
            <v>190214251.88424808</v>
          </cell>
          <cell r="L38">
            <v>190214251.88424808</v>
          </cell>
          <cell r="M38">
            <v>190214251.88424808</v>
          </cell>
          <cell r="N38">
            <v>190214251.88424808</v>
          </cell>
          <cell r="O38">
            <v>190214251.88424808</v>
          </cell>
          <cell r="P38">
            <v>190214251.88424808</v>
          </cell>
        </row>
        <row r="39">
          <cell r="B39" t="str">
            <v>B. Biaya Sub Kontraktor</v>
          </cell>
          <cell r="C39">
            <v>0</v>
          </cell>
          <cell r="D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B40" t="str">
            <v>C. Biaya Tambahan</v>
          </cell>
        </row>
        <row r="41">
          <cell r="B41" t="str">
            <v xml:space="preserve">     1. Biaya materai (kontrak)</v>
          </cell>
          <cell r="C41">
            <v>3.8253607518733995E-2</v>
          </cell>
          <cell r="D41">
            <v>25000000.000000004</v>
          </cell>
          <cell r="F41">
            <v>2272727.2727272729</v>
          </cell>
          <cell r="G41">
            <v>2272727.2727272729</v>
          </cell>
          <cell r="H41">
            <v>2272727.2727272729</v>
          </cell>
          <cell r="I41">
            <v>2272727.2727272729</v>
          </cell>
          <cell r="J41">
            <v>2272727.2727272729</v>
          </cell>
          <cell r="K41">
            <v>2272727.2727272729</v>
          </cell>
          <cell r="L41">
            <v>2272727.2727272729</v>
          </cell>
          <cell r="M41">
            <v>2272727.2727272729</v>
          </cell>
          <cell r="N41">
            <v>2272727.2727272729</v>
          </cell>
          <cell r="O41">
            <v>2272727.2727272729</v>
          </cell>
          <cell r="P41">
            <v>2272727.2727272729</v>
          </cell>
        </row>
        <row r="42">
          <cell r="B42" t="str">
            <v xml:space="preserve">     2. Biaya asuransi</v>
          </cell>
          <cell r="C42">
            <v>0.3</v>
          </cell>
          <cell r="D42">
            <v>196059940.13314992</v>
          </cell>
          <cell r="F42">
            <v>196059940.13314992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P42">
            <v>0</v>
          </cell>
        </row>
        <row r="43">
          <cell r="B43" t="str">
            <v xml:space="preserve">     3. Resiko konstruksi/Pemeliharaan</v>
          </cell>
          <cell r="C43">
            <v>1.9999999999999998</v>
          </cell>
          <cell r="D43">
            <v>1307066267.5543325</v>
          </cell>
          <cell r="F43">
            <v>0</v>
          </cell>
          <cell r="G43">
            <v>131479586.83289006</v>
          </cell>
          <cell r="H43">
            <v>213274633.82819438</v>
          </cell>
          <cell r="I43">
            <v>213274633.82819438</v>
          </cell>
          <cell r="J43">
            <v>228641262.11750683</v>
          </cell>
          <cell r="K43">
            <v>228641262.11750683</v>
          </cell>
          <cell r="L43">
            <v>228641262.11750683</v>
          </cell>
          <cell r="M43">
            <v>15366628.28931246</v>
          </cell>
          <cell r="N43">
            <v>23461720.822789606</v>
          </cell>
          <cell r="O43">
            <v>8095092.5334771443</v>
          </cell>
          <cell r="P43">
            <v>8095092.5334771443</v>
          </cell>
        </row>
        <row r="44">
          <cell r="B44" t="str">
            <v xml:space="preserve">     4. Biaya pra kontrak / tender</v>
          </cell>
          <cell r="C44">
            <v>0.15301443007493595</v>
          </cell>
          <cell r="D44">
            <v>100000000</v>
          </cell>
          <cell r="E44">
            <v>100000000</v>
          </cell>
        </row>
        <row r="45">
          <cell r="B45" t="str">
            <v xml:space="preserve">     5. PPh (2%)</v>
          </cell>
          <cell r="C45">
            <v>2.0000000000000004</v>
          </cell>
          <cell r="D45">
            <v>1307066267.554333</v>
          </cell>
          <cell r="F45">
            <v>65739793.416445024</v>
          </cell>
          <cell r="G45">
            <v>172377110.33054224</v>
          </cell>
          <cell r="H45">
            <v>213274633.82819438</v>
          </cell>
          <cell r="I45">
            <v>220957947.97285062</v>
          </cell>
          <cell r="J45">
            <v>228641262.11750683</v>
          </cell>
          <cell r="K45">
            <v>228641262.11750683</v>
          </cell>
          <cell r="L45">
            <v>122003945.20340966</v>
          </cell>
          <cell r="M45">
            <v>19414174.556051034</v>
          </cell>
          <cell r="N45">
            <v>15778406.678133376</v>
          </cell>
          <cell r="O45">
            <v>8095092.5334771443</v>
          </cell>
          <cell r="P45">
            <v>8095092.5334771443</v>
          </cell>
        </row>
        <row r="46">
          <cell r="B46" t="str">
            <v xml:space="preserve">     6. Sumbangan Pihak III (1%)</v>
          </cell>
          <cell r="C46">
            <v>0</v>
          </cell>
          <cell r="D46">
            <v>0</v>
          </cell>
          <cell r="F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P46">
            <v>0</v>
          </cell>
        </row>
        <row r="47">
          <cell r="B47" t="str">
            <v xml:space="preserve">     7.  Contingencies</v>
          </cell>
          <cell r="C47">
            <v>0</v>
          </cell>
          <cell r="D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</row>
        <row r="49">
          <cell r="B49" t="str">
            <v>JUMLAH PENGELUARAN PROYEK :</v>
          </cell>
          <cell r="D49">
            <v>45537325556.853249</v>
          </cell>
          <cell r="E49">
            <v>100000000</v>
          </cell>
          <cell r="F49">
            <v>4858072922.4624434</v>
          </cell>
          <cell r="G49">
            <v>7013745826.1578608</v>
          </cell>
          <cell r="H49">
            <v>7060512591.6508169</v>
          </cell>
          <cell r="I49">
            <v>7521635818.6855812</v>
          </cell>
          <cell r="J49">
            <v>7618759956.1195498</v>
          </cell>
          <cell r="K49">
            <v>7470611566.1195498</v>
          </cell>
          <cell r="L49">
            <v>996572099.36799979</v>
          </cell>
          <cell r="M49">
            <v>1369578446.7652032</v>
          </cell>
          <cell r="N49">
            <v>470597858.53065497</v>
          </cell>
          <cell r="O49">
            <v>447547916.09668624</v>
          </cell>
          <cell r="P49">
            <v>597547916.09668636</v>
          </cell>
        </row>
        <row r="51">
          <cell r="B51" t="str">
            <v>II. BIAYA PUSAT</v>
          </cell>
        </row>
        <row r="52">
          <cell r="B52" t="str">
            <v>A. Biaya Swakelola</v>
          </cell>
        </row>
        <row r="53">
          <cell r="B53" t="str">
            <v xml:space="preserve">     1. Bahan</v>
          </cell>
          <cell r="C53">
            <v>12.02905770118743</v>
          </cell>
          <cell r="D53">
            <v>7861387775.8433771</v>
          </cell>
          <cell r="F53">
            <v>790787768.27055871</v>
          </cell>
          <cell r="G53">
            <v>1282746438.2594852</v>
          </cell>
          <cell r="H53">
            <v>1282746438.2594852</v>
          </cell>
          <cell r="I53">
            <v>1375169467.4419045</v>
          </cell>
          <cell r="J53">
            <v>1375169467.4419045</v>
          </cell>
          <cell r="K53">
            <v>1375169467.4419045</v>
          </cell>
          <cell r="L53">
            <v>92423029.18241933</v>
          </cell>
          <cell r="M53">
            <v>141111196.77324337</v>
          </cell>
          <cell r="N53">
            <v>48688167.590824053</v>
          </cell>
          <cell r="O53">
            <v>48688167.590824053</v>
          </cell>
          <cell r="P53">
            <v>48688167.590824053</v>
          </cell>
        </row>
        <row r="54">
          <cell r="B54" t="str">
            <v xml:space="preserve">     2. Biaya Alat</v>
          </cell>
          <cell r="C54">
            <v>5.6804526650140534</v>
          </cell>
          <cell r="D54">
            <v>3712364031.4394903</v>
          </cell>
          <cell r="F54">
            <v>373431784.70991844</v>
          </cell>
          <cell r="G54">
            <v>605748231.05463147</v>
          </cell>
          <cell r="H54">
            <v>605748231.05463147</v>
          </cell>
          <cell r="I54">
            <v>649392933.36378407</v>
          </cell>
          <cell r="J54">
            <v>649392933.36378407</v>
          </cell>
          <cell r="K54">
            <v>649392933.36378407</v>
          </cell>
          <cell r="L54">
            <v>43644702.309152648</v>
          </cell>
          <cell r="M54">
            <v>66636597.28681545</v>
          </cell>
          <cell r="N54">
            <v>22991894.977662802</v>
          </cell>
          <cell r="O54">
            <v>22991894.977662802</v>
          </cell>
          <cell r="P54">
            <v>22991894.977662802</v>
          </cell>
        </row>
        <row r="56">
          <cell r="B56" t="str">
            <v>B. Biaya Tambahan</v>
          </cell>
        </row>
        <row r="57">
          <cell r="B57" t="str">
            <v xml:space="preserve">     1. Provisi Bank</v>
          </cell>
          <cell r="C57">
            <v>0.55275000000000007</v>
          </cell>
          <cell r="D57">
            <v>361240439.69532871</v>
          </cell>
          <cell r="F57">
            <v>361240439.69532871</v>
          </cell>
        </row>
        <row r="58">
          <cell r="B58" t="str">
            <v xml:space="preserve">     2. O. K. P.</v>
          </cell>
          <cell r="C58">
            <v>5.0000000000000009</v>
          </cell>
          <cell r="D58">
            <v>3267665668.8858323</v>
          </cell>
          <cell r="F58">
            <v>164349483.54111257</v>
          </cell>
          <cell r="G58">
            <v>430942775.82635558</v>
          </cell>
          <cell r="H58">
            <v>533186584.57048601</v>
          </cell>
          <cell r="I58">
            <v>552394869.93212652</v>
          </cell>
          <cell r="J58">
            <v>571603155.29376709</v>
          </cell>
          <cell r="K58">
            <v>571603155.29376709</v>
          </cell>
          <cell r="L58">
            <v>305009863.00852412</v>
          </cell>
          <cell r="M58">
            <v>48535436.390127584</v>
          </cell>
          <cell r="N58">
            <v>39446016.695333444</v>
          </cell>
          <cell r="O58">
            <v>20237731.333692864</v>
          </cell>
          <cell r="P58">
            <v>20237731.333692864</v>
          </cell>
        </row>
        <row r="60">
          <cell r="B60" t="str">
            <v>JUMLAH PENGELUARAN PUSAT :</v>
          </cell>
          <cell r="D60">
            <v>15202657915.864031</v>
          </cell>
          <cell r="E60">
            <v>0</v>
          </cell>
          <cell r="F60">
            <v>1689809476.2169185</v>
          </cell>
          <cell r="G60">
            <v>2319437445.1404724</v>
          </cell>
          <cell r="H60">
            <v>2421681253.8846025</v>
          </cell>
          <cell r="I60">
            <v>2576957270.7378149</v>
          </cell>
          <cell r="J60">
            <v>2596165556.0994558</v>
          </cell>
          <cell r="K60">
            <v>2596165556.0994558</v>
          </cell>
          <cell r="L60">
            <v>441077594.50009608</v>
          </cell>
          <cell r="M60">
            <v>256283230.45018643</v>
          </cell>
          <cell r="N60">
            <v>111126079.26382029</v>
          </cell>
          <cell r="O60">
            <v>91917793.902179718</v>
          </cell>
          <cell r="P60">
            <v>91917793.902179718</v>
          </cell>
        </row>
        <row r="62">
          <cell r="A62" t="str">
            <v>III</v>
          </cell>
          <cell r="B62" t="str">
            <v>MARK UP</v>
          </cell>
        </row>
        <row r="63">
          <cell r="B63" t="str">
            <v xml:space="preserve">     1. Overhead</v>
          </cell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</row>
        <row r="64">
          <cell r="B64" t="str">
            <v xml:space="preserve">     2. Profit</v>
          </cell>
          <cell r="C64">
            <v>0</v>
          </cell>
        </row>
        <row r="65">
          <cell r="B65" t="str">
            <v xml:space="preserve">        a. Murni = Saldo akhir (baris bawah)</v>
          </cell>
          <cell r="C65">
            <v>5</v>
          </cell>
          <cell r="D65">
            <v>3267665668.8858318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</row>
        <row r="66">
          <cell r="B66" t="str">
            <v xml:space="preserve">        b. Exchange Rate</v>
          </cell>
          <cell r="C66">
            <v>0</v>
          </cell>
        </row>
        <row r="67">
          <cell r="B67" t="str">
            <v xml:space="preserve">        c. Escalation  (diperkirakan)</v>
          </cell>
          <cell r="C67">
            <v>0</v>
          </cell>
          <cell r="D67">
            <v>0</v>
          </cell>
          <cell r="L67">
            <v>0</v>
          </cell>
        </row>
        <row r="68">
          <cell r="B68" t="str">
            <v xml:space="preserve">        d. Escalation Fee</v>
          </cell>
          <cell r="C68">
            <v>0</v>
          </cell>
          <cell r="D68">
            <v>0</v>
          </cell>
          <cell r="L68">
            <v>0</v>
          </cell>
        </row>
        <row r="69">
          <cell r="B69" t="str">
            <v xml:space="preserve">     3. Inflasi</v>
          </cell>
        </row>
        <row r="70">
          <cell r="B70" t="str">
            <v>a.  Bahan</v>
          </cell>
          <cell r="C70">
            <v>0</v>
          </cell>
          <cell r="D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</row>
        <row r="71">
          <cell r="B71" t="str">
            <v>b.  Subkon</v>
          </cell>
          <cell r="C71">
            <v>0</v>
          </cell>
          <cell r="D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</row>
        <row r="72">
          <cell r="B72" t="str">
            <v xml:space="preserve">     4. SF (Sponsor Fee)</v>
          </cell>
          <cell r="C72">
            <v>0.5</v>
          </cell>
          <cell r="D72">
            <v>326766566.88858318</v>
          </cell>
          <cell r="E72">
            <v>29706051.535325743</v>
          </cell>
          <cell r="F72">
            <v>29706051.535325743</v>
          </cell>
          <cell r="G72">
            <v>29706051.535325743</v>
          </cell>
          <cell r="H72">
            <v>29706051.535325743</v>
          </cell>
          <cell r="I72">
            <v>29706051.535325743</v>
          </cell>
          <cell r="J72">
            <v>29706051.535325743</v>
          </cell>
          <cell r="K72">
            <v>29706051.535325743</v>
          </cell>
          <cell r="L72">
            <v>29706051.535325743</v>
          </cell>
          <cell r="M72">
            <v>29706051.535325743</v>
          </cell>
          <cell r="N72">
            <v>29706051.535325743</v>
          </cell>
          <cell r="O72">
            <v>29706051.535325743</v>
          </cell>
        </row>
        <row r="73">
          <cell r="B73" t="str">
            <v xml:space="preserve">     5. Pengeluaran akibat bunga kredit</v>
          </cell>
          <cell r="C73">
            <v>0.15905850006289596</v>
          </cell>
          <cell r="D73">
            <v>103950000.00000001</v>
          </cell>
          <cell r="F73">
            <v>2383333.3333333335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29333333.333333332</v>
          </cell>
          <cell r="L73">
            <v>60500000</v>
          </cell>
          <cell r="M73">
            <v>0</v>
          </cell>
          <cell r="N73">
            <v>1466666.6666666667</v>
          </cell>
          <cell r="O73">
            <v>1466666.6666666667</v>
          </cell>
          <cell r="P73">
            <v>1466666.6666666667</v>
          </cell>
        </row>
        <row r="74">
          <cell r="B74" t="str">
            <v xml:space="preserve">     6. PPN keluaran</v>
          </cell>
          <cell r="C74">
            <v>6.5157588799791863</v>
          </cell>
          <cell r="D74">
            <v>4258264319.7691975</v>
          </cell>
          <cell r="F74">
            <v>428344642.72119904</v>
          </cell>
          <cell r="G74">
            <v>694823044.62018359</v>
          </cell>
          <cell r="H74">
            <v>694823044.62018359</v>
          </cell>
          <cell r="I74">
            <v>744885666.98589706</v>
          </cell>
          <cell r="J74">
            <v>744885666.98589706</v>
          </cell>
          <cell r="K74">
            <v>744885666.98589706</v>
          </cell>
          <cell r="L74">
            <v>50062622.365713529</v>
          </cell>
          <cell r="M74">
            <v>76435457.895341992</v>
          </cell>
          <cell r="N74">
            <v>26372835.529628463</v>
          </cell>
          <cell r="O74">
            <v>26372835.529628463</v>
          </cell>
          <cell r="P74">
            <v>26372835.529628463</v>
          </cell>
        </row>
        <row r="75">
          <cell r="B75" t="str">
            <v xml:space="preserve">     7. Marginal Deposit</v>
          </cell>
          <cell r="C75">
            <v>0</v>
          </cell>
          <cell r="D75">
            <v>0</v>
          </cell>
          <cell r="E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P75">
            <v>0</v>
          </cell>
        </row>
        <row r="76">
          <cell r="B76" t="str">
            <v xml:space="preserve">     8. PPN masukan</v>
          </cell>
          <cell r="C76">
            <v>-5.1157569184307246</v>
          </cell>
          <cell r="D76">
            <v>-3343316650.544251</v>
          </cell>
          <cell r="I76">
            <v>-342675714.17695928</v>
          </cell>
          <cell r="J76">
            <v>-555858435.69614685</v>
          </cell>
          <cell r="K76">
            <v>-555858435.69614685</v>
          </cell>
          <cell r="L76">
            <v>-595908533.5887177</v>
          </cell>
          <cell r="M76">
            <v>-595908533.5887177</v>
          </cell>
          <cell r="N76">
            <v>-595908533.5887177</v>
          </cell>
          <cell r="O76">
            <v>-40050097.892570823</v>
          </cell>
          <cell r="P76">
            <v>-61148366.3162736</v>
          </cell>
        </row>
        <row r="77">
          <cell r="B77" t="str">
            <v xml:space="preserve">     9. Inventaris</v>
          </cell>
          <cell r="C77">
            <v>0</v>
          </cell>
          <cell r="D77">
            <v>0</v>
          </cell>
          <cell r="F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P77">
            <v>0</v>
          </cell>
        </row>
        <row r="78">
          <cell r="B78" t="str">
            <v xml:space="preserve">    10. Persediaan</v>
          </cell>
          <cell r="C78">
            <v>0</v>
          </cell>
          <cell r="D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P78">
            <v>0</v>
          </cell>
        </row>
        <row r="79">
          <cell r="B79" t="str">
            <v xml:space="preserve">    11. Hutang Termin Member (MC) + Retensi</v>
          </cell>
          <cell r="C79">
            <v>0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P79">
            <v>0</v>
          </cell>
        </row>
        <row r="80">
          <cell r="B80" t="str">
            <v xml:space="preserve">    12. Jasa Tabungan / Giro</v>
          </cell>
          <cell r="C80">
            <v>0</v>
          </cell>
          <cell r="D80">
            <v>0</v>
          </cell>
          <cell r="F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P80">
            <v>0</v>
          </cell>
        </row>
        <row r="81">
          <cell r="B81" t="str">
            <v xml:space="preserve">    13. Saldo Proyek</v>
          </cell>
          <cell r="C81">
            <v>9.6850185552629864E-2</v>
          </cell>
          <cell r="D81">
            <v>1.7881393432617188E-7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P81">
            <v>0</v>
          </cell>
        </row>
        <row r="83">
          <cell r="B83" t="str">
            <v>JUMLAH MARK UP :</v>
          </cell>
          <cell r="D83">
            <v>4550035099.7282543</v>
          </cell>
          <cell r="E83">
            <v>29706051.535325743</v>
          </cell>
          <cell r="F83">
            <v>460434027.58985811</v>
          </cell>
          <cell r="G83">
            <v>724529096.15550935</v>
          </cell>
          <cell r="H83">
            <v>724529096.15550935</v>
          </cell>
          <cell r="I83">
            <v>431916004.34426355</v>
          </cell>
          <cell r="J83">
            <v>218733282.82507598</v>
          </cell>
          <cell r="K83">
            <v>248066616.15840924</v>
          </cell>
          <cell r="L83">
            <v>-455639859.68767846</v>
          </cell>
          <cell r="M83">
            <v>-489767024.15804994</v>
          </cell>
          <cell r="N83">
            <v>-538362979.85709679</v>
          </cell>
          <cell r="O83">
            <v>17495455.839050055</v>
          </cell>
          <cell r="P83">
            <v>-33308864.119978469</v>
          </cell>
        </row>
        <row r="85">
          <cell r="A85" t="str">
            <v>IV</v>
          </cell>
          <cell r="B85" t="str">
            <v>JUMLAH PENGELUARAN ( I+II+III )</v>
          </cell>
          <cell r="D85">
            <v>65290018572.445541</v>
          </cell>
          <cell r="E85">
            <v>129706051.53532574</v>
          </cell>
          <cell r="F85">
            <v>7008316426.2692194</v>
          </cell>
          <cell r="G85">
            <v>10057712367.453842</v>
          </cell>
          <cell r="H85">
            <v>10206722941.690929</v>
          </cell>
          <cell r="I85">
            <v>10530509093.76766</v>
          </cell>
          <cell r="J85">
            <v>10433658795.044081</v>
          </cell>
          <cell r="K85">
            <v>10314843738.377415</v>
          </cell>
          <cell r="L85">
            <v>982009834.18041742</v>
          </cell>
          <cell r="M85">
            <v>1136094653.0573397</v>
          </cell>
          <cell r="N85">
            <v>43360957.937378526</v>
          </cell>
          <cell r="O85">
            <v>556961165.83791602</v>
          </cell>
          <cell r="P85">
            <v>656156845.87888765</v>
          </cell>
        </row>
        <row r="86">
          <cell r="B86" t="str">
            <v>JUMLAH PENGELUARAN KOMULATIF</v>
          </cell>
          <cell r="D86">
            <v>65290018572.445534</v>
          </cell>
          <cell r="E86">
            <v>129706051.53532574</v>
          </cell>
          <cell r="F86">
            <v>7138022477.8045454</v>
          </cell>
          <cell r="G86">
            <v>17195734845.258389</v>
          </cell>
          <cell r="H86">
            <v>27402457786.949318</v>
          </cell>
          <cell r="I86">
            <v>37932966880.71698</v>
          </cell>
          <cell r="J86">
            <v>48366625675.761063</v>
          </cell>
          <cell r="K86">
            <v>58681469414.138474</v>
          </cell>
          <cell r="L86">
            <v>59663479248.318893</v>
          </cell>
          <cell r="M86">
            <v>60799573901.376236</v>
          </cell>
          <cell r="N86">
            <v>60842934859.313614</v>
          </cell>
          <cell r="O86">
            <v>61399896025.151527</v>
          </cell>
          <cell r="P86">
            <v>62056052871.030418</v>
          </cell>
        </row>
        <row r="88">
          <cell r="A88" t="str">
            <v>V</v>
          </cell>
          <cell r="B88" t="str">
            <v>SELISIH (I - IV)</v>
          </cell>
          <cell r="D88">
            <v>63294805.271110222</v>
          </cell>
          <cell r="E88">
            <v>-129706051.53532574</v>
          </cell>
          <cell r="F88">
            <v>8527588502.3907976</v>
          </cell>
          <cell r="G88">
            <v>-3593570730.0585089</v>
          </cell>
          <cell r="H88">
            <v>-2208924173.1336403</v>
          </cell>
          <cell r="I88">
            <v>-2244586044.7857628</v>
          </cell>
          <cell r="J88">
            <v>-1859611465.6375742</v>
          </cell>
          <cell r="K88">
            <v>-1740796408.9709082</v>
          </cell>
          <cell r="L88">
            <v>3593138110.9474444</v>
          </cell>
          <cell r="M88">
            <v>-408063107.20542586</v>
          </cell>
          <cell r="N88">
            <v>548329292.49262297</v>
          </cell>
          <cell r="O88">
            <v>-253395195.83252311</v>
          </cell>
          <cell r="P88">
            <v>-352590875.87349474</v>
          </cell>
        </row>
        <row r="90">
          <cell r="A90" t="str">
            <v>VI</v>
          </cell>
          <cell r="B90" t="str">
            <v>SALDO AWAL KAS</v>
          </cell>
          <cell r="D90">
            <v>0</v>
          </cell>
          <cell r="E90">
            <v>0</v>
          </cell>
          <cell r="F90">
            <v>293948.46467426419</v>
          </cell>
          <cell r="G90">
            <v>8397882450.8554716</v>
          </cell>
          <cell r="H90">
            <v>4804311720.7969627</v>
          </cell>
          <cell r="I90">
            <v>2595387547.6633224</v>
          </cell>
          <cell r="J90">
            <v>350801502.87755966</v>
          </cell>
          <cell r="K90">
            <v>91190037.239985466</v>
          </cell>
          <cell r="L90">
            <v>50393628.269077301</v>
          </cell>
          <cell r="M90">
            <v>343531739.21652174</v>
          </cell>
          <cell r="N90">
            <v>15468632.011095881</v>
          </cell>
          <cell r="O90">
            <v>563797924.50371885</v>
          </cell>
          <cell r="P90">
            <v>310402728.67119575</v>
          </cell>
        </row>
        <row r="92">
          <cell r="A92" t="str">
            <v>VII</v>
          </cell>
          <cell r="B92" t="str">
            <v>KREDIT BANK</v>
          </cell>
          <cell r="D92">
            <v>0</v>
          </cell>
          <cell r="E92">
            <v>130000000</v>
          </cell>
          <cell r="F92">
            <v>-130000000</v>
          </cell>
          <cell r="G92">
            <v>0</v>
          </cell>
          <cell r="H92">
            <v>0</v>
          </cell>
          <cell r="I92">
            <v>0</v>
          </cell>
          <cell r="J92">
            <v>1600000000</v>
          </cell>
          <cell r="K92">
            <v>1700000000</v>
          </cell>
          <cell r="L92">
            <v>-3300000000</v>
          </cell>
          <cell r="M92">
            <v>80000000</v>
          </cell>
          <cell r="N92">
            <v>0</v>
          </cell>
          <cell r="O92">
            <v>0</v>
          </cell>
          <cell r="P92">
            <v>120000000</v>
          </cell>
        </row>
        <row r="94">
          <cell r="A94" t="str">
            <v>VIII</v>
          </cell>
          <cell r="B94" t="str">
            <v>SALDO AKHIR KAS (V+VI+VII)</v>
          </cell>
          <cell r="D94">
            <v>63294805.271110237</v>
          </cell>
          <cell r="E94">
            <v>293948.46467426419</v>
          </cell>
          <cell r="F94">
            <v>8397882450.8554716</v>
          </cell>
          <cell r="G94">
            <v>4804311720.7969627</v>
          </cell>
          <cell r="H94">
            <v>2595387547.6633224</v>
          </cell>
          <cell r="I94">
            <v>350801502.87755966</v>
          </cell>
          <cell r="J94">
            <v>91190037.239985466</v>
          </cell>
          <cell r="K94">
            <v>50393628.269077301</v>
          </cell>
          <cell r="L94">
            <v>343531739.21652174</v>
          </cell>
          <cell r="M94">
            <v>15468632.011095881</v>
          </cell>
          <cell r="N94">
            <v>563797924.50371885</v>
          </cell>
          <cell r="O94">
            <v>310402728.67119575</v>
          </cell>
          <cell r="P94">
            <v>77811852.797701001</v>
          </cell>
        </row>
        <row r="96">
          <cell r="A96" t="str">
            <v/>
          </cell>
          <cell r="B96" t="str">
            <v>Saldo Kredit</v>
          </cell>
          <cell r="E96">
            <v>130000000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1600000000</v>
          </cell>
          <cell r="K96">
            <v>3300000000</v>
          </cell>
          <cell r="L96">
            <v>0</v>
          </cell>
          <cell r="M96">
            <v>80000000</v>
          </cell>
          <cell r="N96">
            <v>80000000</v>
          </cell>
          <cell r="O96">
            <v>80000000</v>
          </cell>
          <cell r="P96">
            <v>200000000</v>
          </cell>
        </row>
        <row r="97">
          <cell r="P97">
            <v>3267665668.8858318</v>
          </cell>
        </row>
        <row r="98">
          <cell r="B98" t="str">
            <v>Keuntungan Murni =</v>
          </cell>
          <cell r="C98">
            <v>0</v>
          </cell>
          <cell r="D98">
            <v>0</v>
          </cell>
          <cell r="P98">
            <v>-122188147.202299</v>
          </cell>
        </row>
        <row r="99">
          <cell r="P99">
            <v>-3389853816.088131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RUP Oke"/>
      <sheetName val="Rekap"/>
      <sheetName val="Analis"/>
      <sheetName val="H.bh"/>
    </sheetNames>
    <sheetDataSet>
      <sheetData sheetId="0"/>
      <sheetData sheetId="1"/>
      <sheetData sheetId="2"/>
      <sheetData sheetId="3">
        <row r="477">
          <cell r="E477" t="str">
            <v xml:space="preserve">Beton Bertulang Top Gevel </v>
          </cell>
        </row>
      </sheetData>
      <sheetData sheetId="4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ekap"/>
      <sheetName val="V.kantor"/>
      <sheetName val="Kantor"/>
      <sheetName val="V.Kom"/>
      <sheetName val="komp"/>
      <sheetName val="V.rkb"/>
      <sheetName val="2rkb1"/>
      <sheetName val="2rkb2"/>
      <sheetName val="V.mus"/>
      <sheetName val="mus"/>
      <sheetName val="vr.g"/>
      <sheetName val="r.gr"/>
      <sheetName val="r.g betul"/>
      <sheetName val="vr.k"/>
      <sheetName val="rk"/>
      <sheetName val="non standar"/>
      <sheetName val="L.fisika"/>
      <sheetName val="MCK"/>
      <sheetName val="Selasar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>
        <row r="19">
          <cell r="J19">
            <v>59787</v>
          </cell>
        </row>
        <row r="63">
          <cell r="J63">
            <v>46040.47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/>
      <sheetData sheetId="1" refreshError="1">
        <row r="947">
          <cell r="I947">
            <v>193.35833333333332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Taksir"/>
      <sheetName val="Gedung Kantor"/>
      <sheetName val="wc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0.61653755826699685</v>
          </cell>
        </row>
      </sheetData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TOT"/>
      <sheetName val="Rekap BQ SBY"/>
      <sheetName val="Sheet1"/>
      <sheetName val="Rincian BQ SBY"/>
      <sheetName val="Rincian BQ GRS"/>
      <sheetName val="Analisa"/>
      <sheetName val="har-sat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J2">
            <v>1</v>
          </cell>
        </row>
        <row r="7">
          <cell r="H7">
            <v>88000</v>
          </cell>
        </row>
        <row r="8">
          <cell r="H8">
            <v>125000</v>
          </cell>
        </row>
        <row r="9">
          <cell r="H9">
            <v>100000</v>
          </cell>
        </row>
        <row r="10">
          <cell r="H10">
            <v>100000</v>
          </cell>
        </row>
        <row r="11">
          <cell r="H11">
            <v>45000</v>
          </cell>
        </row>
        <row r="14">
          <cell r="H14">
            <v>6000</v>
          </cell>
        </row>
        <row r="16">
          <cell r="H16">
            <v>4200</v>
          </cell>
        </row>
        <row r="20">
          <cell r="H20">
            <v>1150</v>
          </cell>
        </row>
        <row r="23">
          <cell r="H23">
            <v>2000000</v>
          </cell>
        </row>
        <row r="24">
          <cell r="H24">
            <v>2750000</v>
          </cell>
        </row>
        <row r="25">
          <cell r="H25">
            <v>775000</v>
          </cell>
        </row>
        <row r="26">
          <cell r="H26">
            <v>750000</v>
          </cell>
        </row>
        <row r="27">
          <cell r="H27">
            <v>800000</v>
          </cell>
        </row>
        <row r="29">
          <cell r="H29">
            <v>28000</v>
          </cell>
        </row>
        <row r="30">
          <cell r="H30">
            <v>62500</v>
          </cell>
        </row>
        <row r="31">
          <cell r="H31">
            <v>31000</v>
          </cell>
        </row>
        <row r="32">
          <cell r="H32">
            <v>255000</v>
          </cell>
        </row>
        <row r="33">
          <cell r="H33">
            <v>210000</v>
          </cell>
        </row>
        <row r="34">
          <cell r="H34">
            <v>29500</v>
          </cell>
        </row>
        <row r="35">
          <cell r="H35">
            <v>30000</v>
          </cell>
        </row>
        <row r="36">
          <cell r="H36">
            <v>14000</v>
          </cell>
        </row>
        <row r="37">
          <cell r="H37">
            <v>26000</v>
          </cell>
        </row>
        <row r="38">
          <cell r="H38">
            <v>22500</v>
          </cell>
        </row>
        <row r="40">
          <cell r="H40">
            <v>43000</v>
          </cell>
        </row>
        <row r="41">
          <cell r="H41">
            <v>25300</v>
          </cell>
        </row>
        <row r="47">
          <cell r="H47">
            <v>18900</v>
          </cell>
        </row>
        <row r="48">
          <cell r="H48">
            <v>30970</v>
          </cell>
        </row>
        <row r="49">
          <cell r="H49">
            <v>4100</v>
          </cell>
        </row>
        <row r="52">
          <cell r="H52">
            <v>52500</v>
          </cell>
        </row>
        <row r="77">
          <cell r="H77">
            <v>37500</v>
          </cell>
        </row>
        <row r="79">
          <cell r="H79">
            <v>37500</v>
          </cell>
        </row>
        <row r="82">
          <cell r="H82">
            <v>27500</v>
          </cell>
        </row>
        <row r="84">
          <cell r="H84">
            <v>35000</v>
          </cell>
        </row>
        <row r="85">
          <cell r="H85">
            <v>35000</v>
          </cell>
        </row>
        <row r="86">
          <cell r="H86">
            <v>30000</v>
          </cell>
        </row>
        <row r="87">
          <cell r="H87">
            <v>32500</v>
          </cell>
        </row>
      </sheetData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221">
          <cell r="B221" t="str">
            <v>G. 2</v>
          </cell>
        </row>
      </sheetData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RAB"/>
      <sheetName val="RAB"/>
      <sheetName val="ANALISA"/>
      <sheetName val="UPAH BAHAN "/>
      <sheetName val="KS (2)"/>
      <sheetName val="KURVA S"/>
      <sheetName val="NP (2)"/>
      <sheetName val="Peralatan"/>
      <sheetName val="NP"/>
      <sheetName val="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BO26" t="str">
            <v xml:space="preserve"> Alat Baru</v>
          </cell>
        </row>
        <row r="27">
          <cell r="BO27">
            <v>1917000000</v>
          </cell>
        </row>
        <row r="46">
          <cell r="BO46" t="str">
            <v xml:space="preserve"> Alat Baru</v>
          </cell>
        </row>
        <row r="47">
          <cell r="BO47">
            <v>385000000</v>
          </cell>
        </row>
        <row r="66">
          <cell r="BO66" t="str">
            <v xml:space="preserve"> Alat Baru</v>
          </cell>
        </row>
        <row r="67">
          <cell r="BO67">
            <v>126000000</v>
          </cell>
        </row>
        <row r="86">
          <cell r="BO86" t="str">
            <v xml:space="preserve"> Alat Baru</v>
          </cell>
        </row>
        <row r="87">
          <cell r="BO87">
            <v>950000000</v>
          </cell>
        </row>
        <row r="106">
          <cell r="BO106" t="str">
            <v xml:space="preserve"> Alat Baru</v>
          </cell>
        </row>
        <row r="107">
          <cell r="BO107">
            <v>82000000</v>
          </cell>
        </row>
        <row r="126">
          <cell r="BO126" t="str">
            <v xml:space="preserve"> Alat Baru</v>
          </cell>
        </row>
        <row r="127">
          <cell r="BO127">
            <v>38000000</v>
          </cell>
        </row>
        <row r="146">
          <cell r="BO146" t="str">
            <v xml:space="preserve"> Alat Baru</v>
          </cell>
        </row>
        <row r="147">
          <cell r="BO147">
            <v>800000000</v>
          </cell>
        </row>
        <row r="166">
          <cell r="BO166" t="str">
            <v xml:space="preserve"> Alat Baru</v>
          </cell>
        </row>
        <row r="167">
          <cell r="BO167">
            <v>209000000</v>
          </cell>
        </row>
        <row r="186">
          <cell r="BO186" t="str">
            <v xml:space="preserve"> Alat Baru</v>
          </cell>
        </row>
        <row r="187">
          <cell r="BO187">
            <v>300000000</v>
          </cell>
        </row>
        <row r="206">
          <cell r="BO206" t="str">
            <v xml:space="preserve"> Alat Baru</v>
          </cell>
        </row>
        <row r="207">
          <cell r="BO207">
            <v>640000000</v>
          </cell>
        </row>
        <row r="226">
          <cell r="BO226" t="str">
            <v xml:space="preserve"> Alat Baru</v>
          </cell>
        </row>
        <row r="227">
          <cell r="BO227">
            <v>158000000</v>
          </cell>
        </row>
        <row r="246">
          <cell r="BO246" t="str">
            <v xml:space="preserve"> Alat Baru</v>
          </cell>
        </row>
        <row r="247">
          <cell r="BO247">
            <v>135000000</v>
          </cell>
        </row>
        <row r="266">
          <cell r="BO266" t="str">
            <v xml:space="preserve"> Alat Baru</v>
          </cell>
        </row>
        <row r="267">
          <cell r="BO267">
            <v>545000000</v>
          </cell>
        </row>
        <row r="286">
          <cell r="BO286" t="str">
            <v xml:space="preserve"> Alat Baru</v>
          </cell>
        </row>
        <row r="287">
          <cell r="BO287">
            <v>600000000</v>
          </cell>
        </row>
        <row r="306">
          <cell r="BO306" t="str">
            <v xml:space="preserve"> Alat Baru</v>
          </cell>
        </row>
        <row r="307">
          <cell r="BO307">
            <v>600000000</v>
          </cell>
        </row>
        <row r="326">
          <cell r="BO326" t="str">
            <v xml:space="preserve"> Alat Baru</v>
          </cell>
        </row>
        <row r="327">
          <cell r="BO327">
            <v>252000000</v>
          </cell>
        </row>
        <row r="346">
          <cell r="BO346" t="str">
            <v xml:space="preserve"> Alat Baru</v>
          </cell>
        </row>
        <row r="347">
          <cell r="BO347">
            <v>350000000</v>
          </cell>
        </row>
        <row r="366">
          <cell r="BO366" t="str">
            <v xml:space="preserve"> Alat Baru</v>
          </cell>
        </row>
        <row r="367">
          <cell r="BO367">
            <v>370000000</v>
          </cell>
        </row>
        <row r="386">
          <cell r="BO386" t="str">
            <v xml:space="preserve"> Alat Baru</v>
          </cell>
        </row>
        <row r="387">
          <cell r="BO387">
            <v>415000000</v>
          </cell>
        </row>
        <row r="406">
          <cell r="BO406" t="str">
            <v xml:space="preserve"> Alat Baru</v>
          </cell>
        </row>
        <row r="407">
          <cell r="BO407">
            <v>20000000</v>
          </cell>
        </row>
        <row r="426">
          <cell r="BO426" t="str">
            <v xml:space="preserve"> Alat Baru</v>
          </cell>
        </row>
        <row r="427">
          <cell r="BO427">
            <v>665000000</v>
          </cell>
        </row>
        <row r="446">
          <cell r="BO446" t="str">
            <v xml:space="preserve"> Alat Baru</v>
          </cell>
        </row>
        <row r="447">
          <cell r="BO447">
            <v>19000000</v>
          </cell>
        </row>
        <row r="466">
          <cell r="BO466" t="str">
            <v xml:space="preserve"> Alat Baru</v>
          </cell>
        </row>
        <row r="467">
          <cell r="BO467">
            <v>140000000</v>
          </cell>
        </row>
        <row r="486">
          <cell r="BO486" t="str">
            <v xml:space="preserve"> Alat Baru</v>
          </cell>
        </row>
        <row r="487">
          <cell r="BO487">
            <v>75000000</v>
          </cell>
        </row>
        <row r="506">
          <cell r="BO506" t="str">
            <v xml:space="preserve"> Alat Baru</v>
          </cell>
        </row>
        <row r="507">
          <cell r="BO507">
            <v>28000000</v>
          </cell>
        </row>
        <row r="526">
          <cell r="BO526" t="str">
            <v xml:space="preserve"> Alat Baru</v>
          </cell>
        </row>
        <row r="527">
          <cell r="BO527">
            <v>28000000</v>
          </cell>
        </row>
        <row r="546">
          <cell r="BO546" t="str">
            <v xml:space="preserve"> Alat Baru</v>
          </cell>
        </row>
        <row r="547">
          <cell r="BO547">
            <v>153000000</v>
          </cell>
        </row>
        <row r="566">
          <cell r="BO566" t="str">
            <v xml:space="preserve"> Alat Baru</v>
          </cell>
        </row>
        <row r="567">
          <cell r="BO567">
            <v>170000000</v>
          </cell>
        </row>
        <row r="586">
          <cell r="BO586" t="str">
            <v xml:space="preserve"> Alat Baru</v>
          </cell>
        </row>
        <row r="587">
          <cell r="BO587">
            <v>360000000</v>
          </cell>
        </row>
        <row r="606">
          <cell r="BO606" t="str">
            <v xml:space="preserve"> Alat Baru</v>
          </cell>
        </row>
        <row r="607">
          <cell r="BO607">
            <v>118000000</v>
          </cell>
        </row>
        <row r="626">
          <cell r="BO626" t="str">
            <v xml:space="preserve"> Alat Baru</v>
          </cell>
        </row>
        <row r="627">
          <cell r="BO627">
            <v>850000000</v>
          </cell>
        </row>
        <row r="646">
          <cell r="BO646" t="str">
            <v xml:space="preserve"> Alat Baru</v>
          </cell>
        </row>
        <row r="647">
          <cell r="BO647">
            <v>22100000</v>
          </cell>
        </row>
        <row r="666">
          <cell r="BO666" t="str">
            <v xml:space="preserve"> Alat Baru</v>
          </cell>
        </row>
        <row r="667">
          <cell r="BO667">
            <v>2250000000</v>
          </cell>
        </row>
        <row r="697">
          <cell r="BO697" t="str">
            <v xml:space="preserve"> Alat Baru</v>
          </cell>
        </row>
        <row r="698">
          <cell r="BO698">
            <v>16000000</v>
          </cell>
        </row>
      </sheetData>
      <sheetData sheetId="8"/>
      <sheetData sheetId="9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>
        <row r="4">
          <cell r="K4" t="str">
            <v>K - 310</v>
          </cell>
        </row>
        <row r="82">
          <cell r="K82" t="str">
            <v>K - 311</v>
          </cell>
        </row>
        <row r="155">
          <cell r="K155" t="str">
            <v>K - 320</v>
          </cell>
        </row>
        <row r="232">
          <cell r="K232" t="str">
            <v>K - 321</v>
          </cell>
        </row>
        <row r="309">
          <cell r="K309" t="str">
            <v>K - 230</v>
          </cell>
        </row>
        <row r="386">
          <cell r="K386" t="str">
            <v>K - 231</v>
          </cell>
        </row>
        <row r="463">
          <cell r="K463" t="str">
            <v>K - 514</v>
          </cell>
        </row>
        <row r="617">
          <cell r="K617" t="str">
            <v>K - 515</v>
          </cell>
        </row>
        <row r="694">
          <cell r="K694" t="str">
            <v>K - 520</v>
          </cell>
        </row>
        <row r="771">
          <cell r="K771" t="str">
            <v>K - 521</v>
          </cell>
        </row>
        <row r="848">
          <cell r="K848" t="str">
            <v>K - 522</v>
          </cell>
        </row>
        <row r="925">
          <cell r="K925" t="str">
            <v>K - 523</v>
          </cell>
        </row>
        <row r="1002">
          <cell r="K1002" t="str">
            <v>K - 618</v>
          </cell>
        </row>
        <row r="1079">
          <cell r="K1079" t="str">
            <v>K - 638</v>
          </cell>
        </row>
        <row r="1156">
          <cell r="K1156" t="str">
            <v>K - 224</v>
          </cell>
        </row>
        <row r="1310">
          <cell r="K1310" t="str">
            <v>K - 720</v>
          </cell>
        </row>
        <row r="1387">
          <cell r="K1387" t="str">
            <v>K - 810</v>
          </cell>
        </row>
        <row r="1464">
          <cell r="K1464" t="str">
            <v>K - 815</v>
          </cell>
        </row>
        <row r="1541">
          <cell r="K1541" t="str">
            <v>K - 855</v>
          </cell>
        </row>
        <row r="1695">
          <cell r="K1695" t="str">
            <v>K - 865</v>
          </cell>
        </row>
        <row r="1772">
          <cell r="K1772" t="str">
            <v>K - 211</v>
          </cell>
        </row>
        <row r="1849">
          <cell r="K1849" t="str">
            <v>K - 225</v>
          </cell>
        </row>
        <row r="1926">
          <cell r="K1926" t="str">
            <v>K - 705</v>
          </cell>
        </row>
        <row r="2003">
          <cell r="K2003" t="str">
            <v>K - 710</v>
          </cell>
        </row>
        <row r="2078">
          <cell r="B2078" t="str">
            <v>DIREKTORAT JENDRAL BINA MARGA</v>
          </cell>
          <cell r="F2078" t="str">
            <v>ANALISA BIAYA PEKERJAAN</v>
          </cell>
        </row>
        <row r="2079">
          <cell r="B2079" t="str">
            <v>DIREKTORAT BINA PROGRAM JALAN</v>
          </cell>
          <cell r="F2079" t="str">
            <v>PENULANGAN BETON (MEMOTONG, MEMBENGKOK &amp; MEMASANG BESI TULANGAN (MENGGUNAKAN BURUH)</v>
          </cell>
          <cell r="K2079" t="str">
            <v>KODE</v>
          </cell>
        </row>
        <row r="2080">
          <cell r="B2080" t="str">
            <v>SUB DIT. PERENCANAAN JALAN</v>
          </cell>
          <cell r="K2080" t="str">
            <v>K - 715</v>
          </cell>
        </row>
        <row r="2081">
          <cell r="B2081" t="str">
            <v>LOKAL &amp; KABUPATEN</v>
          </cell>
        </row>
        <row r="2083">
          <cell r="B2083" t="str">
            <v xml:space="preserve">  Propinsi :</v>
          </cell>
          <cell r="E2083" t="str">
            <v>Kode :</v>
          </cell>
          <cell r="F2083" t="str">
            <v xml:space="preserve">  Kabupaten</v>
          </cell>
          <cell r="H2083" t="str">
            <v>Kode</v>
          </cell>
          <cell r="I2083" t="str">
            <v xml:space="preserve">Dipersiapkan    : </v>
          </cell>
        </row>
        <row r="2084">
          <cell r="B2084" t="str">
            <v xml:space="preserve">  Nanggroe Aceh Darussalam</v>
          </cell>
          <cell r="E2084">
            <v>11</v>
          </cell>
          <cell r="F2084" t="str">
            <v xml:space="preserve">  PIDIE</v>
          </cell>
          <cell r="H2084">
            <v>7</v>
          </cell>
          <cell r="I2084" t="str">
            <v xml:space="preserve">Tanggal            : </v>
          </cell>
        </row>
        <row r="2086">
          <cell r="B2086" t="str">
            <v xml:space="preserve">  Uraian :</v>
          </cell>
          <cell r="F2086" t="str">
            <v xml:space="preserve">  Anggapan/Asumsi :</v>
          </cell>
        </row>
        <row r="2088">
          <cell r="B2088" t="str">
            <v xml:space="preserve">  1. Batang Besi dipotong sesuai ukuran yang</v>
          </cell>
          <cell r="F2088" t="str">
            <v xml:space="preserve">  1. 200 Kg Baja disiapkan dalam satu hari</v>
          </cell>
        </row>
        <row r="2089">
          <cell r="B2089" t="str">
            <v xml:space="preserve">      diperlukan </v>
          </cell>
          <cell r="F2089" t="str">
            <v xml:space="preserve">  2. Besi Tulangan dikirim ketempat pekerjaan oleh pemasok </v>
          </cell>
        </row>
        <row r="2090">
          <cell r="B2090" t="str">
            <v xml:space="preserve">  2. Batang dan Begel Besi Beton dibengkok</v>
          </cell>
          <cell r="F2090" t="str">
            <v xml:space="preserve">  3. Penyusutan akibat pemotongan 10 % dan pakai Kawat Baja  dll</v>
          </cell>
        </row>
        <row r="2091">
          <cell r="B2091" t="str">
            <v xml:space="preserve">      kan sesuai yang diperlukan</v>
          </cell>
          <cell r="F2091" t="str">
            <v xml:space="preserve">      dianggap 1 %</v>
          </cell>
        </row>
        <row r="2092">
          <cell r="B2092" t="str">
            <v xml:space="preserve">  3. Perakitan Tulangan Besi Beton dan diikat</v>
          </cell>
          <cell r="F2092" t="str">
            <v xml:space="preserve">  4. Membengkok dan memasang Batang Besi Beton dilaksanakan </v>
          </cell>
        </row>
        <row r="2093">
          <cell r="B2093" t="str">
            <v xml:space="preserve">      dengan Kawat Baja</v>
          </cell>
          <cell r="F2093" t="str">
            <v xml:space="preserve">      dengan tangan</v>
          </cell>
        </row>
        <row r="2094">
          <cell r="F2094" t="str">
            <v xml:space="preserve">  5. Panjang &amp; Diameter Besi Tulangan yang biasa dipakai gorong-gorong dll</v>
          </cell>
        </row>
        <row r="2095">
          <cell r="F2095" t="str">
            <v xml:space="preserve">  6. 0,8 orang hari memotong 200 Kg Batang Besi Beton</v>
          </cell>
        </row>
        <row r="2096">
          <cell r="F2096" t="str">
            <v xml:space="preserve">  7. 1,0 orang hari membengkok 200 Kg Batang Besi Beton</v>
          </cell>
        </row>
        <row r="2097">
          <cell r="F2097" t="str">
            <v xml:space="preserve">  8. 1,2 orang hari memasang dan mengikat 200 Kg Tulangan Besi</v>
          </cell>
        </row>
        <row r="2098">
          <cell r="F2098" t="str">
            <v xml:space="preserve">  9. Umur alat bantu rata-rata 1 bulan/orang set @ 3 alat</v>
          </cell>
        </row>
        <row r="2100">
          <cell r="F2100">
            <v>0</v>
          </cell>
        </row>
        <row r="2102">
          <cell r="B2102" t="str">
            <v>PEKERJA</v>
          </cell>
          <cell r="E2102" t="str">
            <v>JML</v>
          </cell>
          <cell r="F2102" t="str">
            <v>Hari</v>
          </cell>
          <cell r="G2102" t="str">
            <v>Kode</v>
          </cell>
          <cell r="H2102" t="str">
            <v>Jumlah</v>
          </cell>
          <cell r="I2102" t="str">
            <v>Upah</v>
          </cell>
          <cell r="J2102" t="str">
            <v>Biaya</v>
          </cell>
          <cell r="K2102" t="str">
            <v>Sub Jumlah</v>
          </cell>
        </row>
        <row r="2103">
          <cell r="E2103" t="str">
            <v>Org</v>
          </cell>
          <cell r="H2103" t="str">
            <v>Hr/Org</v>
          </cell>
          <cell r="I2103" t="str">
            <v>Rp./Hr/Org</v>
          </cell>
          <cell r="J2103" t="str">
            <v>Rp</v>
          </cell>
          <cell r="K2103" t="str">
            <v>Rp</v>
          </cell>
        </row>
        <row r="2106">
          <cell r="B2106" t="str">
            <v xml:space="preserve">  Mandor Lapangan</v>
          </cell>
          <cell r="E2106">
            <v>1</v>
          </cell>
          <cell r="F2106">
            <v>1</v>
          </cell>
          <cell r="G2106" t="str">
            <v>L.061</v>
          </cell>
          <cell r="H2106">
            <v>1</v>
          </cell>
          <cell r="I2106">
            <v>36000</v>
          </cell>
          <cell r="J2106">
            <v>36000</v>
          </cell>
        </row>
        <row r="2107">
          <cell r="B2107" t="str">
            <v xml:space="preserve">  Tukang Kepala</v>
          </cell>
          <cell r="E2107">
            <v>1</v>
          </cell>
          <cell r="F2107">
            <v>1</v>
          </cell>
          <cell r="G2107" t="str">
            <v>L.073</v>
          </cell>
          <cell r="H2107">
            <v>1</v>
          </cell>
          <cell r="I2107">
            <v>40000</v>
          </cell>
          <cell r="J2107">
            <v>40000</v>
          </cell>
        </row>
        <row r="2108">
          <cell r="B2108" t="str">
            <v xml:space="preserve">  Buruh Agak Terampil</v>
          </cell>
          <cell r="E2108">
            <v>2</v>
          </cell>
          <cell r="F2108">
            <v>1</v>
          </cell>
          <cell r="G2108" t="str">
            <v>L.103</v>
          </cell>
          <cell r="H2108">
            <v>2</v>
          </cell>
          <cell r="I2108">
            <v>30000</v>
          </cell>
          <cell r="J2108">
            <v>60000</v>
          </cell>
        </row>
        <row r="2109">
          <cell r="B2109" t="str">
            <v xml:space="preserve">  Buruh Tak Terampil</v>
          </cell>
          <cell r="E2109">
            <v>1</v>
          </cell>
          <cell r="F2109">
            <v>1</v>
          </cell>
          <cell r="G2109" t="str">
            <v>L.101</v>
          </cell>
          <cell r="H2109">
            <v>1</v>
          </cell>
          <cell r="I2109">
            <v>30000</v>
          </cell>
          <cell r="J2109">
            <v>30000</v>
          </cell>
        </row>
        <row r="2114">
          <cell r="K2114">
            <v>166000</v>
          </cell>
        </row>
        <row r="2115">
          <cell r="I2115">
            <v>0</v>
          </cell>
        </row>
        <row r="2117">
          <cell r="B2117" t="str">
            <v>MATERIAL</v>
          </cell>
          <cell r="E2117" t="str">
            <v>Jumlah</v>
          </cell>
          <cell r="F2117" t="str">
            <v>Volume</v>
          </cell>
          <cell r="G2117" t="str">
            <v>Kode</v>
          </cell>
          <cell r="I2117" t="str">
            <v>Harga Satuan</v>
          </cell>
          <cell r="J2117" t="str">
            <v>Biaya</v>
          </cell>
        </row>
        <row r="2118">
          <cell r="F2118" t="str">
            <v>Satuan</v>
          </cell>
          <cell r="I2118" t="str">
            <v>Rp</v>
          </cell>
          <cell r="J2118" t="str">
            <v>Rp</v>
          </cell>
        </row>
        <row r="2120">
          <cell r="B2120" t="str">
            <v xml:space="preserve">  Tulangan Besi Beton</v>
          </cell>
          <cell r="E2120">
            <v>225</v>
          </cell>
          <cell r="F2120" t="str">
            <v>Kg</v>
          </cell>
          <cell r="G2120" t="str">
            <v>M.167</v>
          </cell>
          <cell r="I2120">
            <v>5500</v>
          </cell>
          <cell r="J2120">
            <v>1237500</v>
          </cell>
        </row>
        <row r="2121">
          <cell r="B2121" t="str">
            <v xml:space="preserve">  Alat Bantu</v>
          </cell>
          <cell r="E2121">
            <v>0.2</v>
          </cell>
          <cell r="F2121" t="str">
            <v>Set</v>
          </cell>
          <cell r="G2121" t="str">
            <v>M.170</v>
          </cell>
          <cell r="I2121">
            <v>40000</v>
          </cell>
          <cell r="J2121">
            <v>8000</v>
          </cell>
        </row>
        <row r="2130">
          <cell r="K2130">
            <v>1245500</v>
          </cell>
        </row>
        <row r="2133">
          <cell r="B2133" t="str">
            <v>PERALATAN</v>
          </cell>
          <cell r="E2133" t="str">
            <v>JML</v>
          </cell>
          <cell r="F2133" t="str">
            <v>Hari</v>
          </cell>
          <cell r="G2133" t="str">
            <v>Kode</v>
          </cell>
          <cell r="H2133" t="str">
            <v>Jam</v>
          </cell>
          <cell r="I2133" t="str">
            <v>Biaya</v>
          </cell>
          <cell r="J2133" t="str">
            <v>Biaya</v>
          </cell>
        </row>
        <row r="2134">
          <cell r="E2134" t="str">
            <v>Alat</v>
          </cell>
          <cell r="F2134" t="str">
            <v>Kerja</v>
          </cell>
          <cell r="H2134" t="str">
            <v>Kerja</v>
          </cell>
          <cell r="I2134" t="str">
            <v>Rp/Jam</v>
          </cell>
          <cell r="J2134" t="str">
            <v>Rp</v>
          </cell>
        </row>
        <row r="2147">
          <cell r="B2147" t="str">
            <v>VOLUME / QUANTITY :</v>
          </cell>
          <cell r="F2147">
            <v>200</v>
          </cell>
          <cell r="J2147" t="str">
            <v>JUMLAH</v>
          </cell>
          <cell r="K2147">
            <v>1411500</v>
          </cell>
        </row>
        <row r="2148">
          <cell r="B2148" t="str">
            <v>SATUAN</v>
          </cell>
          <cell r="F2148" t="str">
            <v>Kg</v>
          </cell>
        </row>
        <row r="2150">
          <cell r="G2150" t="str">
            <v>HARGA SATUAN :  Rp.</v>
          </cell>
          <cell r="I2150">
            <v>7057.5</v>
          </cell>
          <cell r="J2150" t="str">
            <v>PER : Kg</v>
          </cell>
        </row>
        <row r="2157">
          <cell r="K2157" t="str">
            <v>K - 612</v>
          </cell>
        </row>
        <row r="2388">
          <cell r="K2388" t="str">
            <v>K - 513</v>
          </cell>
        </row>
        <row r="2542">
          <cell r="K2542" t="str">
            <v>K - 516</v>
          </cell>
        </row>
        <row r="2619">
          <cell r="K2619" t="str">
            <v>K - 421</v>
          </cell>
        </row>
        <row r="2696">
          <cell r="K2696" t="str">
            <v>K - 422</v>
          </cell>
        </row>
        <row r="2773">
          <cell r="K2773" t="str">
            <v>K - 424</v>
          </cell>
        </row>
        <row r="2850">
          <cell r="K2850" t="str">
            <v>K - 511</v>
          </cell>
        </row>
        <row r="2927">
          <cell r="K2927" t="str">
            <v>K - 512</v>
          </cell>
        </row>
        <row r="3004">
          <cell r="K3004" t="str">
            <v>K - 510</v>
          </cell>
        </row>
        <row r="3158">
          <cell r="K3158" t="str">
            <v>K - 125</v>
          </cell>
        </row>
        <row r="3235">
          <cell r="K3235" t="str">
            <v>K - 124</v>
          </cell>
        </row>
        <row r="3312">
          <cell r="K3312" t="str">
            <v>K - 123</v>
          </cell>
        </row>
        <row r="3389">
          <cell r="K3389" t="str">
            <v>K - 122</v>
          </cell>
        </row>
        <row r="3466">
          <cell r="K3466" t="str">
            <v>K - 158</v>
          </cell>
        </row>
        <row r="3543">
          <cell r="K3543" t="str">
            <v>K - 210</v>
          </cell>
        </row>
        <row r="3620">
          <cell r="K3620" t="str">
            <v>K - 220</v>
          </cell>
        </row>
        <row r="3697">
          <cell r="K3697" t="str">
            <v>K - 221</v>
          </cell>
        </row>
        <row r="3774">
          <cell r="K3774" t="str">
            <v>K - 010</v>
          </cell>
        </row>
        <row r="3851">
          <cell r="K3851" t="str">
            <v>K - 011</v>
          </cell>
        </row>
        <row r="3928">
          <cell r="K3928" t="str">
            <v>K - 012</v>
          </cell>
        </row>
        <row r="4005">
          <cell r="K4005" t="str">
            <v>K - 013</v>
          </cell>
        </row>
        <row r="4082">
          <cell r="K4082" t="str">
            <v>K - 014</v>
          </cell>
        </row>
        <row r="4159">
          <cell r="K4159" t="str">
            <v>K - 016</v>
          </cell>
        </row>
        <row r="4236">
          <cell r="K4236" t="str">
            <v>K - 017</v>
          </cell>
        </row>
        <row r="4313">
          <cell r="K4313" t="str">
            <v>K - 018</v>
          </cell>
        </row>
        <row r="4390">
          <cell r="K4390" t="str">
            <v>K - 020</v>
          </cell>
        </row>
        <row r="4467">
          <cell r="K4467" t="str">
            <v>K - 023</v>
          </cell>
        </row>
        <row r="4544">
          <cell r="K4544" t="str">
            <v>K - 024</v>
          </cell>
        </row>
        <row r="4621">
          <cell r="K4621" t="str">
            <v>K - 025</v>
          </cell>
        </row>
        <row r="4698">
          <cell r="K4698" t="str">
            <v>K - 026</v>
          </cell>
        </row>
        <row r="4775">
          <cell r="K4775" t="str">
            <v>K - 030</v>
          </cell>
        </row>
        <row r="4852">
          <cell r="K4852" t="str">
            <v>K - 035</v>
          </cell>
        </row>
        <row r="4929">
          <cell r="K4929" t="str">
            <v>K - 040</v>
          </cell>
        </row>
        <row r="5006">
          <cell r="K5006" t="str">
            <v>K - 110</v>
          </cell>
        </row>
        <row r="5083">
          <cell r="K5083" t="str">
            <v>K - 111</v>
          </cell>
        </row>
        <row r="5160">
          <cell r="K5160" t="str">
            <v>K - 112</v>
          </cell>
        </row>
        <row r="5237">
          <cell r="K5237" t="str">
            <v>K - 113</v>
          </cell>
        </row>
        <row r="5314">
          <cell r="K5314" t="str">
            <v>K - 114</v>
          </cell>
        </row>
        <row r="5391">
          <cell r="K5391" t="str">
            <v>K - 115</v>
          </cell>
        </row>
        <row r="5468">
          <cell r="K5468" t="str">
            <v>K - 116</v>
          </cell>
        </row>
        <row r="5545">
          <cell r="K5545" t="str">
            <v>K - 117</v>
          </cell>
        </row>
        <row r="5622">
          <cell r="K5622" t="str">
            <v>K - 118</v>
          </cell>
        </row>
        <row r="5699">
          <cell r="K5699" t="str">
            <v>K - 121</v>
          </cell>
        </row>
        <row r="5776">
          <cell r="K5776" t="str">
            <v>K - 411</v>
          </cell>
        </row>
        <row r="5853">
          <cell r="K5853" t="str">
            <v>K - 341</v>
          </cell>
        </row>
        <row r="5930">
          <cell r="K5930" t="str">
            <v>K - 342</v>
          </cell>
        </row>
        <row r="6007">
          <cell r="K6007" t="str">
            <v>K - 410</v>
          </cell>
        </row>
        <row r="6084">
          <cell r="K6084" t="str">
            <v>K - 232</v>
          </cell>
        </row>
        <row r="6161">
          <cell r="K6161" t="str">
            <v>K - 233</v>
          </cell>
        </row>
        <row r="6467">
          <cell r="B6467" t="str">
            <v>DIREKTORAT JENDRAL BINA MARGA</v>
          </cell>
          <cell r="F6467" t="str">
            <v xml:space="preserve">ANALISA  BIAYA  PEKERJAAN </v>
          </cell>
        </row>
        <row r="6468">
          <cell r="B6468" t="str">
            <v>DIREKTORAT BINA PROGRAM JALAN</v>
          </cell>
          <cell r="F6468" t="str">
            <v>GORONG-GORONG KOTAK (  1.5 M X 1.5 M x 8 M ) BETON BERTULANG TIDAK TERMASUK DINDING KEPALA (MENGUNAKAN BURUH)</v>
          </cell>
          <cell r="K6468" t="str">
            <v>KODE</v>
          </cell>
        </row>
        <row r="6469">
          <cell r="B6469" t="str">
            <v>SUB DIT. PERENCANAAN JALAN</v>
          </cell>
          <cell r="K6469" t="str">
            <v>K - 131</v>
          </cell>
        </row>
        <row r="6470">
          <cell r="B6470" t="str">
            <v>LOKAL &amp; KABUPATEN</v>
          </cell>
        </row>
        <row r="6472">
          <cell r="B6472" t="str">
            <v xml:space="preserve">  Propinsi :</v>
          </cell>
          <cell r="E6472" t="str">
            <v>Kode :</v>
          </cell>
          <cell r="F6472" t="str">
            <v xml:space="preserve">  Kabupaten</v>
          </cell>
          <cell r="H6472" t="str">
            <v>Kode</v>
          </cell>
          <cell r="I6472" t="str">
            <v xml:space="preserve">Dipersiapkan    : </v>
          </cell>
        </row>
        <row r="6473">
          <cell r="B6473" t="str">
            <v xml:space="preserve">  Nanggroe Aceh Darussalam</v>
          </cell>
          <cell r="E6473">
            <v>11</v>
          </cell>
          <cell r="F6473" t="str">
            <v xml:space="preserve">  PIDIE</v>
          </cell>
          <cell r="H6473">
            <v>7</v>
          </cell>
          <cell r="I6473" t="str">
            <v xml:space="preserve">Tanggal            : </v>
          </cell>
        </row>
        <row r="6475">
          <cell r="B6475" t="str">
            <v xml:space="preserve">  Uraian :</v>
          </cell>
          <cell r="F6475" t="str">
            <v xml:space="preserve">  Anggapan/Asumsi :</v>
          </cell>
        </row>
        <row r="6477">
          <cell r="B6477" t="str">
            <v xml:space="preserve">  1.  Gali dengan tenaga manusia (50 m3)</v>
          </cell>
          <cell r="F6477" t="str">
            <v xml:space="preserve">  1. H x S x tw = 1,5 m x 1,5 m x 21 cm</v>
          </cell>
        </row>
        <row r="6478">
          <cell r="B6478" t="str">
            <v xml:space="preserve">  2.  Padatkan daerah dasar 20 cm2</v>
          </cell>
          <cell r="F6478" t="str">
            <v xml:space="preserve">  2. Pengiriman material sampai ke tempat pekerjaan</v>
          </cell>
        </row>
        <row r="6479">
          <cell r="B6479" t="str">
            <v xml:space="preserve">  3.  Cor lantai dasar beton (0.8 m3)</v>
          </cell>
          <cell r="F6479" t="str">
            <v xml:space="preserve">  3. Buang galian sejauh 1 km</v>
          </cell>
        </row>
        <row r="6480">
          <cell r="B6480" t="str">
            <v xml:space="preserve">  4.  Buat begisting (67 m2)</v>
          </cell>
          <cell r="F6480" t="str">
            <v xml:space="preserve">  4. Lantai dasar beton klas C tebal 5 cm</v>
          </cell>
        </row>
        <row r="6481">
          <cell r="B6481" t="str">
            <v xml:space="preserve">  5.  Pasang pembesian (1075 kg)</v>
          </cell>
          <cell r="F6481" t="str">
            <v xml:space="preserve">  5. Sepertiga bekas begisting, dapat dipakai lagi</v>
          </cell>
        </row>
        <row r="6482">
          <cell r="B6482" t="str">
            <v xml:space="preserve">  6.  Cor beton struktur (11,7 m3)</v>
          </cell>
          <cell r="F6482" t="str">
            <v xml:space="preserve">  6. Pembesian 134,5 kg/m dengan kapasitas 100 kg/orang-hari</v>
          </cell>
        </row>
        <row r="6483">
          <cell r="B6483" t="str">
            <v xml:space="preserve">  7.  Bongkar begisting timbun dengan urugan yang</v>
          </cell>
          <cell r="F6483" t="str">
            <v xml:space="preserve">  7. Cor beton struktur klas A dalam 2 tahap</v>
          </cell>
        </row>
        <row r="6484">
          <cell r="B6484" t="str">
            <v xml:space="preserve">       baik dan padatkan 9 m3</v>
          </cell>
          <cell r="F6484" t="str">
            <v xml:space="preserve">  8. Tidak termasuk dinding kepala</v>
          </cell>
        </row>
        <row r="6485">
          <cell r="F6485" t="str">
            <v xml:space="preserve">  9. Upah tukang dimasukkan dalam biaya produksi</v>
          </cell>
        </row>
        <row r="6490">
          <cell r="B6490" t="str">
            <v>PEKERJA</v>
          </cell>
          <cell r="E6490" t="str">
            <v>JML</v>
          </cell>
          <cell r="F6490" t="str">
            <v>Hari</v>
          </cell>
          <cell r="G6490" t="str">
            <v>Kode</v>
          </cell>
          <cell r="H6490" t="str">
            <v>Jumlah</v>
          </cell>
          <cell r="I6490" t="str">
            <v>Upah</v>
          </cell>
          <cell r="J6490" t="str">
            <v>Biaya</v>
          </cell>
          <cell r="K6490" t="str">
            <v>Sub Jumlah</v>
          </cell>
        </row>
        <row r="6491">
          <cell r="E6491" t="str">
            <v>Org</v>
          </cell>
          <cell r="H6491" t="str">
            <v>Hr/Org</v>
          </cell>
          <cell r="I6491" t="str">
            <v>Rp./Hr/Org</v>
          </cell>
          <cell r="J6491" t="str">
            <v>Rp</v>
          </cell>
          <cell r="K6491" t="str">
            <v>Rp</v>
          </cell>
        </row>
        <row r="6494">
          <cell r="B6494" t="str">
            <v xml:space="preserve">  Mandor </v>
          </cell>
          <cell r="E6494">
            <v>2</v>
          </cell>
          <cell r="F6494">
            <v>6</v>
          </cell>
          <cell r="G6494" t="str">
            <v>L.061</v>
          </cell>
          <cell r="H6494">
            <v>12</v>
          </cell>
          <cell r="I6494">
            <v>36000</v>
          </cell>
          <cell r="J6494">
            <v>432000</v>
          </cell>
        </row>
        <row r="6495">
          <cell r="B6495" t="str">
            <v xml:space="preserve">  Supir </v>
          </cell>
          <cell r="E6495">
            <v>1</v>
          </cell>
          <cell r="F6495">
            <v>3</v>
          </cell>
          <cell r="G6495" t="str">
            <v>L.091</v>
          </cell>
          <cell r="H6495">
            <v>3</v>
          </cell>
          <cell r="I6495">
            <v>35000</v>
          </cell>
          <cell r="J6495">
            <v>105000</v>
          </cell>
        </row>
        <row r="6496">
          <cell r="B6496" t="str">
            <v xml:space="preserve">  Buruh tak terlatih</v>
          </cell>
          <cell r="E6496">
            <v>8</v>
          </cell>
          <cell r="F6496">
            <v>6</v>
          </cell>
          <cell r="G6496" t="str">
            <v>L.101</v>
          </cell>
          <cell r="H6496">
            <v>48</v>
          </cell>
          <cell r="I6496">
            <v>30000</v>
          </cell>
          <cell r="J6496">
            <v>1440000</v>
          </cell>
        </row>
        <row r="6497">
          <cell r="B6497" t="str">
            <v xml:space="preserve">  Buruh  terlatih</v>
          </cell>
          <cell r="E6497">
            <v>2</v>
          </cell>
          <cell r="F6497">
            <v>6</v>
          </cell>
          <cell r="G6497" t="str">
            <v>L.106</v>
          </cell>
          <cell r="H6497">
            <v>12</v>
          </cell>
          <cell r="I6497">
            <v>35000</v>
          </cell>
          <cell r="J6497">
            <v>420000</v>
          </cell>
        </row>
        <row r="6498">
          <cell r="B6498" t="str">
            <v xml:space="preserve">  Tukang batu</v>
          </cell>
          <cell r="E6498">
            <v>1</v>
          </cell>
          <cell r="F6498">
            <v>6</v>
          </cell>
          <cell r="G6498" t="str">
            <v>BOW</v>
          </cell>
          <cell r="H6498">
            <v>6</v>
          </cell>
          <cell r="I6498">
            <v>36000</v>
          </cell>
          <cell r="J6498">
            <v>216000</v>
          </cell>
        </row>
        <row r="6503">
          <cell r="K6503">
            <v>2613000</v>
          </cell>
        </row>
        <row r="6506">
          <cell r="B6506" t="str">
            <v>MATERIAL</v>
          </cell>
          <cell r="E6506" t="str">
            <v>Jumlah</v>
          </cell>
          <cell r="F6506" t="str">
            <v>Volume</v>
          </cell>
          <cell r="G6506" t="str">
            <v>Kode</v>
          </cell>
          <cell r="I6506" t="str">
            <v>Harga Satuan</v>
          </cell>
          <cell r="J6506" t="str">
            <v>Biaya</v>
          </cell>
        </row>
        <row r="6507">
          <cell r="F6507" t="str">
            <v>Satuan</v>
          </cell>
          <cell r="I6507" t="str">
            <v>Rp</v>
          </cell>
          <cell r="J6507" t="str">
            <v>Rp</v>
          </cell>
        </row>
        <row r="6509">
          <cell r="B6509" t="str">
            <v xml:space="preserve">  Alat bantu  </v>
          </cell>
          <cell r="E6509">
            <v>1.2</v>
          </cell>
          <cell r="F6509" t="str">
            <v>Set</v>
          </cell>
          <cell r="G6509" t="str">
            <v>M.170</v>
          </cell>
          <cell r="I6509">
            <v>40000</v>
          </cell>
          <cell r="J6509">
            <v>48000</v>
          </cell>
        </row>
        <row r="6510">
          <cell r="B6510" t="str">
            <v xml:space="preserve">  Pembesian</v>
          </cell>
          <cell r="E6510">
            <v>1075</v>
          </cell>
          <cell r="F6510" t="str">
            <v>kg</v>
          </cell>
          <cell r="G6510" t="str">
            <v>K.175</v>
          </cell>
          <cell r="I6510">
            <v>7057.5</v>
          </cell>
          <cell r="J6510">
            <v>7586812.5</v>
          </cell>
        </row>
        <row r="6511">
          <cell r="B6511" t="str">
            <v xml:space="preserve">  Begisting</v>
          </cell>
          <cell r="E6511">
            <v>67</v>
          </cell>
          <cell r="F6511" t="str">
            <v>m2</v>
          </cell>
          <cell r="G6511" t="str">
            <v>K.710</v>
          </cell>
          <cell r="I6511">
            <v>66470</v>
          </cell>
          <cell r="J6511">
            <v>4453490</v>
          </cell>
        </row>
        <row r="6512">
          <cell r="B6512" t="str">
            <v xml:space="preserve">  Timbunan konstruksi</v>
          </cell>
          <cell r="E6512">
            <v>20</v>
          </cell>
          <cell r="F6512" t="str">
            <v>m3</v>
          </cell>
          <cell r="G6512" t="str">
            <v>K.225</v>
          </cell>
          <cell r="I6512">
            <v>90033.333333333328</v>
          </cell>
          <cell r="J6512">
            <v>1800666.6666666665</v>
          </cell>
        </row>
        <row r="6513">
          <cell r="B6513" t="str">
            <v xml:space="preserve">  Batu pecah 1-2 cm</v>
          </cell>
          <cell r="E6513">
            <v>8.5</v>
          </cell>
          <cell r="F6513" t="str">
            <v>m3</v>
          </cell>
          <cell r="G6513" t="str">
            <v>M.025</v>
          </cell>
          <cell r="I6513" t="e">
            <v>#REF!</v>
          </cell>
          <cell r="J6513" t="e">
            <v>#REF!</v>
          </cell>
        </row>
        <row r="6514">
          <cell r="B6514" t="str">
            <v xml:space="preserve">  Pasir beton</v>
          </cell>
          <cell r="E6514">
            <v>6.7</v>
          </cell>
          <cell r="F6514" t="str">
            <v>m3</v>
          </cell>
          <cell r="G6514" t="str">
            <v>M.041</v>
          </cell>
          <cell r="I6514">
            <v>68000</v>
          </cell>
          <cell r="J6514">
            <v>455600</v>
          </cell>
        </row>
        <row r="6515">
          <cell r="B6515" t="str">
            <v xml:space="preserve">  Semen</v>
          </cell>
          <cell r="E6515">
            <v>96.2</v>
          </cell>
          <cell r="F6515" t="str">
            <v>zak</v>
          </cell>
          <cell r="G6515" t="str">
            <v>M.080</v>
          </cell>
          <cell r="I6515">
            <v>26500</v>
          </cell>
          <cell r="J6515">
            <v>2549300</v>
          </cell>
        </row>
        <row r="6516">
          <cell r="B6516" t="str">
            <v xml:space="preserve">  Kerikil Kali disaring</v>
          </cell>
          <cell r="E6516">
            <v>1</v>
          </cell>
          <cell r="F6516" t="str">
            <v>m3</v>
          </cell>
          <cell r="G6516" t="str">
            <v>M.016</v>
          </cell>
          <cell r="I6516">
            <v>117100</v>
          </cell>
          <cell r="J6516">
            <v>117100</v>
          </cell>
        </row>
        <row r="6519">
          <cell r="K6519" t="e">
            <v>#REF!</v>
          </cell>
        </row>
        <row r="6522">
          <cell r="B6522" t="str">
            <v>PERALATAN</v>
          </cell>
          <cell r="E6522" t="str">
            <v>JML</v>
          </cell>
          <cell r="F6522" t="str">
            <v>Hari</v>
          </cell>
          <cell r="G6522" t="str">
            <v>Kode</v>
          </cell>
          <cell r="H6522" t="str">
            <v>Jam</v>
          </cell>
          <cell r="I6522" t="str">
            <v>Biaya</v>
          </cell>
          <cell r="J6522" t="str">
            <v>Biaya</v>
          </cell>
        </row>
        <row r="6523">
          <cell r="E6523" t="str">
            <v>Alat</v>
          </cell>
          <cell r="F6523" t="str">
            <v>Kerja</v>
          </cell>
          <cell r="H6523" t="str">
            <v>Kerja</v>
          </cell>
          <cell r="I6523" t="str">
            <v>Rp/Jam</v>
          </cell>
          <cell r="J6523" t="str">
            <v>Rp</v>
          </cell>
        </row>
        <row r="6525">
          <cell r="B6525" t="str">
            <v xml:space="preserve">  Truck Bak Terbuka 3,5 t/115 HP</v>
          </cell>
          <cell r="E6525">
            <v>1</v>
          </cell>
          <cell r="F6525">
            <v>3</v>
          </cell>
          <cell r="G6525" t="str">
            <v>E.221</v>
          </cell>
          <cell r="H6525">
            <v>15</v>
          </cell>
          <cell r="I6525">
            <v>142000</v>
          </cell>
          <cell r="J6525">
            <v>2130000</v>
          </cell>
        </row>
        <row r="6526">
          <cell r="B6526" t="str">
            <v xml:space="preserve">  Molen Beton 0.25 m3/10 HP</v>
          </cell>
          <cell r="E6526">
            <v>1</v>
          </cell>
          <cell r="F6526">
            <v>3</v>
          </cell>
          <cell r="G6526" t="str">
            <v>E.252</v>
          </cell>
          <cell r="H6526">
            <v>12</v>
          </cell>
          <cell r="I6526">
            <v>14000</v>
          </cell>
          <cell r="J6526">
            <v>168000</v>
          </cell>
        </row>
        <row r="6527">
          <cell r="B6527" t="str">
            <v xml:space="preserve">  Alat penggetar beton 4 HP</v>
          </cell>
          <cell r="E6527">
            <v>1</v>
          </cell>
          <cell r="F6527">
            <v>3</v>
          </cell>
          <cell r="G6527" t="str">
            <v>E.089</v>
          </cell>
          <cell r="H6527">
            <v>12</v>
          </cell>
          <cell r="I6527">
            <v>15000</v>
          </cell>
          <cell r="J6527">
            <v>180000</v>
          </cell>
        </row>
        <row r="6528">
          <cell r="B6528" t="str">
            <v xml:space="preserve">  Pompa air (0,50 mm) 30 m3/jam</v>
          </cell>
          <cell r="E6528">
            <v>1</v>
          </cell>
          <cell r="F6528">
            <v>3</v>
          </cell>
          <cell r="G6528" t="str">
            <v>E.341</v>
          </cell>
          <cell r="H6528">
            <v>10</v>
          </cell>
          <cell r="I6528">
            <v>9000</v>
          </cell>
          <cell r="J6528">
            <v>90000</v>
          </cell>
        </row>
        <row r="6533">
          <cell r="K6533">
            <v>2568000</v>
          </cell>
        </row>
        <row r="6536">
          <cell r="B6536" t="str">
            <v>VOLUME / QUANTITY :</v>
          </cell>
          <cell r="F6536">
            <v>8</v>
          </cell>
          <cell r="J6536" t="str">
            <v>JUMLAH</v>
          </cell>
          <cell r="K6536" t="e">
            <v>#REF!</v>
          </cell>
        </row>
        <row r="6537">
          <cell r="B6537" t="str">
            <v>SATUAN</v>
          </cell>
          <cell r="F6537" t="str">
            <v>M</v>
          </cell>
        </row>
        <row r="6539">
          <cell r="G6539" t="str">
            <v>HARGA SATUAN :  Rp.</v>
          </cell>
          <cell r="I6539" t="e">
            <v>#REF!</v>
          </cell>
          <cell r="J6539" t="str">
            <v>PER : M</v>
          </cell>
        </row>
        <row r="6546">
          <cell r="K6546" t="str">
            <v>K - 132</v>
          </cell>
        </row>
        <row r="6623">
          <cell r="K6623" t="str">
            <v>K - 139</v>
          </cell>
        </row>
        <row r="6700">
          <cell r="K6700" t="str">
            <v>K - 140</v>
          </cell>
        </row>
        <row r="7008">
          <cell r="K7008" t="str">
            <v>K - 722</v>
          </cell>
        </row>
        <row r="7162">
          <cell r="K7162" t="str">
            <v>K - 726</v>
          </cell>
        </row>
        <row r="7238">
          <cell r="K7238" t="str">
            <v>K - 725</v>
          </cell>
        </row>
      </sheetData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198">
          <cell r="B198" t="str">
            <v>G.43.b</v>
          </cell>
        </row>
        <row r="221">
          <cell r="B221" t="str">
            <v>G. 2</v>
          </cell>
        </row>
        <row r="230">
          <cell r="B230" t="str">
            <v>Anl G.67</v>
          </cell>
        </row>
      </sheetData>
      <sheetData sheetId="8"/>
      <sheetData sheetId="9"/>
      <sheetData sheetId="1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  <sheetName val="summary"/>
      <sheetName val="Skdl-NM"/>
      <sheetName val="Skedu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>
        <row r="37">
          <cell r="G37">
            <v>58920</v>
          </cell>
        </row>
        <row r="38">
          <cell r="G38">
            <v>82020</v>
          </cell>
        </row>
        <row r="45">
          <cell r="G45">
            <v>73230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 refreshError="1">
        <row r="29">
          <cell r="I29">
            <v>2665737635.303215</v>
          </cell>
        </row>
      </sheetData>
      <sheetData sheetId="3" refreshError="1"/>
      <sheetData sheetId="4"/>
      <sheetData sheetId="5"/>
      <sheetData sheetId="6" refreshError="1"/>
      <sheetData sheetId="7" refreshError="1"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Sheet1"/>
      <sheetName val="TIME SCHEDULE"/>
      <sheetName val="Rekap"/>
      <sheetName val="Peta Quarry"/>
      <sheetName val="BOQ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iv2"/>
      <sheetName val="Div3 (2)"/>
      <sheetName val="Div4"/>
      <sheetName val="Div5"/>
      <sheetName val="Div6"/>
      <sheetName val="D6 ASBT"/>
      <sheetName val="Div7(1)"/>
      <sheetName val="Div7(2)"/>
      <sheetName val="Div7(3)"/>
      <sheetName val="Div8(1)"/>
      <sheetName val="Div8(2)"/>
      <sheetName val="Div9"/>
      <sheetName val="D10 LS-Rutin"/>
      <sheetName val="D10 Kuantitas"/>
      <sheetName val="D10 Analisa HSP"/>
      <sheetName val="%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G29">
            <v>46377000</v>
          </cell>
        </row>
        <row r="78">
          <cell r="G78">
            <v>33514889</v>
          </cell>
        </row>
        <row r="289">
          <cell r="G289">
            <v>2069967874.7799096</v>
          </cell>
        </row>
      </sheetData>
      <sheetData sheetId="7"/>
      <sheetData sheetId="8"/>
      <sheetData sheetId="9"/>
      <sheetData sheetId="10"/>
      <sheetData sheetId="11"/>
      <sheetData sheetId="12"/>
      <sheetData sheetId="13">
        <row r="8">
          <cell r="F8">
            <v>6986.5079365079364</v>
          </cell>
        </row>
        <row r="9">
          <cell r="F9">
            <v>10872.222222222223</v>
          </cell>
        </row>
        <row r="10">
          <cell r="F10">
            <v>11272.222222222223</v>
          </cell>
        </row>
        <row r="50">
          <cell r="F50">
            <v>151117.57874006662</v>
          </cell>
        </row>
        <row r="51">
          <cell r="F51">
            <v>151117.57874006659</v>
          </cell>
        </row>
        <row r="57">
          <cell r="F57">
            <v>8600</v>
          </cell>
        </row>
        <row r="59">
          <cell r="F59">
            <v>6000</v>
          </cell>
        </row>
        <row r="60">
          <cell r="F60">
            <v>57000</v>
          </cell>
        </row>
        <row r="65">
          <cell r="F65">
            <v>94900</v>
          </cell>
        </row>
        <row r="68">
          <cell r="F68">
            <v>16000</v>
          </cell>
        </row>
        <row r="69">
          <cell r="F69">
            <v>750000</v>
          </cell>
        </row>
        <row r="76">
          <cell r="F76">
            <v>155690.44509414484</v>
          </cell>
        </row>
        <row r="77">
          <cell r="F77">
            <v>138140.76948394108</v>
          </cell>
        </row>
        <row r="83">
          <cell r="F83">
            <v>18000</v>
          </cell>
        </row>
        <row r="88">
          <cell r="F88">
            <v>1002765.8575870928</v>
          </cell>
        </row>
        <row r="89">
          <cell r="F89">
            <v>8500</v>
          </cell>
        </row>
        <row r="96">
          <cell r="F96">
            <v>86900</v>
          </cell>
        </row>
        <row r="99">
          <cell r="F99">
            <v>681054.61132673302</v>
          </cell>
        </row>
        <row r="100">
          <cell r="F100">
            <v>11000</v>
          </cell>
        </row>
      </sheetData>
      <sheetData sheetId="14"/>
      <sheetData sheetId="15"/>
      <sheetData sheetId="16">
        <row r="9">
          <cell r="AX9">
            <v>291335.47173059365</v>
          </cell>
        </row>
        <row r="12">
          <cell r="AX12">
            <v>139571.71517792955</v>
          </cell>
        </row>
        <row r="13">
          <cell r="AX13">
            <v>87817.530158730136</v>
          </cell>
        </row>
        <row r="14">
          <cell r="AX14">
            <v>425618.05671942758</v>
          </cell>
        </row>
        <row r="15">
          <cell r="AX15">
            <v>227169.84751319024</v>
          </cell>
        </row>
        <row r="16">
          <cell r="AX16">
            <v>388970.87034246413</v>
          </cell>
        </row>
        <row r="17">
          <cell r="AX17">
            <v>403234.77153982368</v>
          </cell>
        </row>
        <row r="18">
          <cell r="AX18">
            <v>351687.65739345428</v>
          </cell>
        </row>
        <row r="20">
          <cell r="AX20">
            <v>381367.29624048376</v>
          </cell>
        </row>
        <row r="22">
          <cell r="AX22">
            <v>335529.03389015375</v>
          </cell>
        </row>
        <row r="23">
          <cell r="AX23">
            <v>172367.58516286017</v>
          </cell>
        </row>
        <row r="24">
          <cell r="AX24">
            <v>235821.17719124627</v>
          </cell>
        </row>
        <row r="26">
          <cell r="AX26">
            <v>250485.90761785681</v>
          </cell>
        </row>
        <row r="29">
          <cell r="AX29">
            <v>45214.837344746549</v>
          </cell>
        </row>
        <row r="30">
          <cell r="AX30">
            <v>212753.6718395731</v>
          </cell>
        </row>
        <row r="34">
          <cell r="AX34">
            <v>745380.52831645473</v>
          </cell>
        </row>
        <row r="36">
          <cell r="AX36">
            <v>370517.23590620182</v>
          </cell>
        </row>
        <row r="38">
          <cell r="AX38">
            <v>427867.76560764469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"/>
      <sheetName val="Rab"/>
      <sheetName val="OLD-DAFT"/>
      <sheetName val="Up Date BOW"/>
      <sheetName val="Bahan"/>
      <sheetName val="Analisa"/>
      <sheetName val="DURP "/>
      <sheetName val="BOW"/>
      <sheetName val="Guide"/>
      <sheetName val="NEW-DAFT"/>
      <sheetName val="Sampul"/>
    </sheetNames>
    <sheetDataSet>
      <sheetData sheetId="0"/>
      <sheetData sheetId="1"/>
      <sheetData sheetId="2"/>
      <sheetData sheetId="3"/>
      <sheetData sheetId="4"/>
      <sheetData sheetId="5">
        <row r="4">
          <cell r="K4" t="str">
            <v>K - 310</v>
          </cell>
        </row>
        <row r="82">
          <cell r="K82" t="str">
            <v>K - 311</v>
          </cell>
        </row>
        <row r="155">
          <cell r="K155" t="str">
            <v>K - 320</v>
          </cell>
        </row>
        <row r="232">
          <cell r="K232" t="str">
            <v>K - 321</v>
          </cell>
        </row>
        <row r="309">
          <cell r="K309" t="str">
            <v>K - 230</v>
          </cell>
        </row>
        <row r="386">
          <cell r="K386" t="str">
            <v>K - 231</v>
          </cell>
        </row>
        <row r="463">
          <cell r="K463" t="str">
            <v>K - 514</v>
          </cell>
        </row>
        <row r="540">
          <cell r="K540" t="str">
            <v>K - 514.a</v>
          </cell>
        </row>
        <row r="617">
          <cell r="K617" t="str">
            <v>K - 515</v>
          </cell>
        </row>
        <row r="694">
          <cell r="K694" t="str">
            <v>K - 520</v>
          </cell>
        </row>
        <row r="771">
          <cell r="K771" t="str">
            <v>K - 521</v>
          </cell>
        </row>
        <row r="848">
          <cell r="K848" t="str">
            <v>K - 522</v>
          </cell>
        </row>
        <row r="925">
          <cell r="K925" t="str">
            <v>K - 523</v>
          </cell>
        </row>
        <row r="1002">
          <cell r="K1002" t="str">
            <v>K - 618</v>
          </cell>
        </row>
        <row r="1079">
          <cell r="K1079" t="str">
            <v>K - 638</v>
          </cell>
        </row>
        <row r="1104">
          <cell r="J1104">
            <v>36000</v>
          </cell>
        </row>
        <row r="1156">
          <cell r="K1156" t="str">
            <v>K - 224</v>
          </cell>
        </row>
        <row r="1233">
          <cell r="K1233" t="str">
            <v>K - 224a</v>
          </cell>
        </row>
        <row r="1310">
          <cell r="K1310" t="str">
            <v>K - 720</v>
          </cell>
        </row>
        <row r="1387">
          <cell r="K1387" t="str">
            <v>K - 810</v>
          </cell>
        </row>
        <row r="1464">
          <cell r="K1464" t="str">
            <v>K - 815</v>
          </cell>
        </row>
        <row r="1541">
          <cell r="K1541" t="str">
            <v>K - 855</v>
          </cell>
        </row>
        <row r="1695">
          <cell r="K1695" t="str">
            <v>K - 865</v>
          </cell>
        </row>
        <row r="1772">
          <cell r="K1772" t="str">
            <v>K - 211</v>
          </cell>
        </row>
        <row r="1849">
          <cell r="K1849" t="str">
            <v>K - 225</v>
          </cell>
        </row>
        <row r="1926">
          <cell r="K1926" t="str">
            <v>K - 705</v>
          </cell>
        </row>
        <row r="2003">
          <cell r="K2003" t="str">
            <v>K - 710</v>
          </cell>
        </row>
        <row r="2078">
          <cell r="B2078" t="str">
            <v>DIREKTORAT JENDRAL BINA MARGA</v>
          </cell>
          <cell r="F2078" t="str">
            <v>ANALISA BIAYA PEKERJAAN</v>
          </cell>
        </row>
        <row r="2079">
          <cell r="B2079" t="str">
            <v>DIREKTORAT BINA PROGRAM JALAN</v>
          </cell>
          <cell r="F2079" t="str">
            <v>PENULANGAN BETON (MEMOTONG, MEMBENGKOK &amp; MEMASANG BESI TULANGAN (MENGGUNAKAN BURUH)</v>
          </cell>
          <cell r="K2079" t="str">
            <v>KODE</v>
          </cell>
        </row>
        <row r="2080">
          <cell r="B2080" t="str">
            <v>SUB DIT. PERENCANAAN JALAN</v>
          </cell>
          <cell r="K2080" t="str">
            <v>K - 715</v>
          </cell>
        </row>
        <row r="2081">
          <cell r="B2081" t="str">
            <v>LOKAL &amp; KABUPATEN</v>
          </cell>
        </row>
        <row r="2083">
          <cell r="B2083" t="str">
            <v xml:space="preserve">  Propinsi :</v>
          </cell>
          <cell r="E2083" t="str">
            <v>Kode :</v>
          </cell>
          <cell r="F2083" t="str">
            <v xml:space="preserve">  Kabupaten</v>
          </cell>
          <cell r="H2083" t="str">
            <v>Kode</v>
          </cell>
          <cell r="I2083" t="str">
            <v xml:space="preserve">Dipersiapkan    : </v>
          </cell>
        </row>
        <row r="2084">
          <cell r="B2084" t="str">
            <v xml:space="preserve">  Nanggroe Aceh Darussalam</v>
          </cell>
          <cell r="E2084">
            <v>11</v>
          </cell>
          <cell r="F2084" t="str">
            <v xml:space="preserve">  PIDIE</v>
          </cell>
          <cell r="H2084">
            <v>7</v>
          </cell>
          <cell r="I2084" t="str">
            <v xml:space="preserve">Tanggal            : </v>
          </cell>
        </row>
        <row r="2086">
          <cell r="B2086" t="str">
            <v xml:space="preserve">  Uraian :</v>
          </cell>
          <cell r="F2086" t="str">
            <v xml:space="preserve">  Anggapan/Asumsi :</v>
          </cell>
        </row>
        <row r="2088">
          <cell r="B2088" t="str">
            <v xml:space="preserve">  1. Batang Besi dipotong sesuai ukuran yang</v>
          </cell>
          <cell r="F2088" t="str">
            <v xml:space="preserve">  1. 200 Kg Baja disiapkan dalam satu hari</v>
          </cell>
        </row>
        <row r="2089">
          <cell r="B2089" t="str">
            <v xml:space="preserve">      diperlukan </v>
          </cell>
          <cell r="F2089" t="str">
            <v xml:space="preserve">  2. Besi Tulangan dikirim ketempat pekerjaan oleh pemasok </v>
          </cell>
        </row>
        <row r="2090">
          <cell r="B2090" t="str">
            <v xml:space="preserve">  2. Batang dan Begel Besi Beton dibengkok</v>
          </cell>
          <cell r="F2090" t="str">
            <v xml:space="preserve">  3. Penyusutan akibat pemotongan 10 % dan pakai Kawat Baja  dll</v>
          </cell>
        </row>
        <row r="2091">
          <cell r="B2091" t="str">
            <v xml:space="preserve">      kan sesuai yang diperlukan</v>
          </cell>
          <cell r="F2091" t="str">
            <v xml:space="preserve">      dianggap 1 %</v>
          </cell>
        </row>
        <row r="2092">
          <cell r="B2092" t="str">
            <v xml:space="preserve">  3. Perakitan Tulangan Besi Beton dan diikat</v>
          </cell>
          <cell r="F2092" t="str">
            <v xml:space="preserve">  4. Membengkok dan memasang Batang Besi Beton dilaksanakan </v>
          </cell>
        </row>
        <row r="2093">
          <cell r="B2093" t="str">
            <v xml:space="preserve">      dengan Kawat Baja</v>
          </cell>
          <cell r="F2093" t="str">
            <v xml:space="preserve">      dengan tangan</v>
          </cell>
        </row>
        <row r="2094">
          <cell r="F2094" t="str">
            <v xml:space="preserve">  5. Panjang &amp; Diameter Besi Tulangan yang biasa dipakai gorong-gorong dll</v>
          </cell>
        </row>
        <row r="2095">
          <cell r="F2095" t="str">
            <v xml:space="preserve">  6. 0,8 orang hari memotong 200 Kg Batang Besi Beton</v>
          </cell>
        </row>
        <row r="2096">
          <cell r="F2096" t="str">
            <v xml:space="preserve">  7. 1,0 orang hari membengkok 200 Kg Batang Besi Beton</v>
          </cell>
        </row>
        <row r="2097">
          <cell r="F2097" t="str">
            <v xml:space="preserve">  8. 1,2 orang hari memasang dan mengikat 200 Kg Tulangan Besi</v>
          </cell>
        </row>
        <row r="2098">
          <cell r="F2098" t="str">
            <v xml:space="preserve">  9. Umur alat bantu rata-rata 1 bulan/orang set @ 3 alat</v>
          </cell>
        </row>
        <row r="2100">
          <cell r="F2100">
            <v>0</v>
          </cell>
        </row>
        <row r="2102">
          <cell r="B2102" t="str">
            <v>PEKERJA</v>
          </cell>
          <cell r="E2102" t="str">
            <v>JML</v>
          </cell>
          <cell r="F2102" t="str">
            <v>Hari</v>
          </cell>
          <cell r="G2102" t="str">
            <v>Kode</v>
          </cell>
          <cell r="H2102" t="str">
            <v>Jumlah</v>
          </cell>
          <cell r="I2102" t="str">
            <v>Upah</v>
          </cell>
          <cell r="J2102" t="str">
            <v>Biaya</v>
          </cell>
          <cell r="K2102" t="str">
            <v>Sub Jumlah</v>
          </cell>
        </row>
        <row r="2103">
          <cell r="E2103" t="str">
            <v>Org</v>
          </cell>
          <cell r="H2103" t="str">
            <v>Hr/Org</v>
          </cell>
          <cell r="I2103" t="str">
            <v>Rp./Hr/Org</v>
          </cell>
          <cell r="J2103" t="str">
            <v>Rp</v>
          </cell>
          <cell r="K2103" t="str">
            <v>Rp</v>
          </cell>
        </row>
        <row r="2106">
          <cell r="B2106" t="str">
            <v xml:space="preserve">  Mandor Lapangan</v>
          </cell>
          <cell r="E2106">
            <v>1</v>
          </cell>
          <cell r="F2106">
            <v>1</v>
          </cell>
          <cell r="G2106" t="str">
            <v>L.061</v>
          </cell>
          <cell r="H2106">
            <v>1</v>
          </cell>
          <cell r="I2106">
            <v>36000</v>
          </cell>
          <cell r="J2106">
            <v>36000</v>
          </cell>
        </row>
        <row r="2107">
          <cell r="B2107" t="str">
            <v xml:space="preserve">  Tukang Kepala</v>
          </cell>
          <cell r="E2107">
            <v>1</v>
          </cell>
          <cell r="F2107">
            <v>1</v>
          </cell>
          <cell r="G2107" t="str">
            <v>L.073</v>
          </cell>
          <cell r="H2107">
            <v>1</v>
          </cell>
          <cell r="I2107">
            <v>40000</v>
          </cell>
          <cell r="J2107">
            <v>40000</v>
          </cell>
        </row>
        <row r="2108">
          <cell r="B2108" t="str">
            <v xml:space="preserve">  Buruh Agak Terampil</v>
          </cell>
          <cell r="E2108">
            <v>2</v>
          </cell>
          <cell r="F2108">
            <v>1</v>
          </cell>
          <cell r="G2108" t="str">
            <v>L.103</v>
          </cell>
          <cell r="H2108">
            <v>2</v>
          </cell>
          <cell r="I2108">
            <v>30000</v>
          </cell>
          <cell r="J2108">
            <v>60000</v>
          </cell>
        </row>
        <row r="2109">
          <cell r="B2109" t="str">
            <v xml:space="preserve">  Buruh Tak Terampil</v>
          </cell>
          <cell r="E2109">
            <v>1</v>
          </cell>
          <cell r="F2109">
            <v>1</v>
          </cell>
          <cell r="G2109" t="str">
            <v>L.101</v>
          </cell>
          <cell r="H2109">
            <v>1</v>
          </cell>
          <cell r="I2109">
            <v>30000</v>
          </cell>
          <cell r="J2109">
            <v>30000</v>
          </cell>
        </row>
        <row r="2114">
          <cell r="K2114">
            <v>166000</v>
          </cell>
        </row>
        <row r="2115">
          <cell r="I2115">
            <v>0</v>
          </cell>
        </row>
        <row r="2117">
          <cell r="B2117" t="str">
            <v>MATERIAL</v>
          </cell>
          <cell r="E2117" t="str">
            <v>Jumlah</v>
          </cell>
          <cell r="F2117" t="str">
            <v>Volume</v>
          </cell>
          <cell r="G2117" t="str">
            <v>Kode</v>
          </cell>
          <cell r="I2117" t="str">
            <v>Harga Satuan</v>
          </cell>
          <cell r="J2117" t="str">
            <v>Biaya</v>
          </cell>
        </row>
        <row r="2118">
          <cell r="F2118" t="str">
            <v>Satuan</v>
          </cell>
          <cell r="I2118" t="str">
            <v>Rp</v>
          </cell>
          <cell r="J2118" t="str">
            <v>Rp</v>
          </cell>
        </row>
        <row r="2120">
          <cell r="B2120" t="str">
            <v xml:space="preserve">  Tulangan Besi Beton</v>
          </cell>
          <cell r="E2120">
            <v>225</v>
          </cell>
          <cell r="F2120" t="str">
            <v>Kg</v>
          </cell>
          <cell r="G2120" t="str">
            <v>M.167</v>
          </cell>
          <cell r="I2120">
            <v>5500</v>
          </cell>
          <cell r="J2120">
            <v>1237500</v>
          </cell>
        </row>
        <row r="2121">
          <cell r="B2121" t="str">
            <v xml:space="preserve">  Alat Bantu</v>
          </cell>
          <cell r="E2121">
            <v>0.2</v>
          </cell>
          <cell r="F2121" t="str">
            <v>Set</v>
          </cell>
          <cell r="G2121" t="str">
            <v>M.170</v>
          </cell>
          <cell r="I2121">
            <v>40000</v>
          </cell>
          <cell r="J2121">
            <v>8000</v>
          </cell>
        </row>
        <row r="2130">
          <cell r="K2130">
            <v>1245500</v>
          </cell>
        </row>
        <row r="2133">
          <cell r="B2133" t="str">
            <v>PERALATAN</v>
          </cell>
          <cell r="E2133" t="str">
            <v>JML</v>
          </cell>
          <cell r="F2133" t="str">
            <v>Hari</v>
          </cell>
          <cell r="G2133" t="str">
            <v>Kode</v>
          </cell>
          <cell r="H2133" t="str">
            <v>Jam</v>
          </cell>
          <cell r="I2133" t="str">
            <v>Biaya</v>
          </cell>
          <cell r="J2133" t="str">
            <v>Biaya</v>
          </cell>
        </row>
        <row r="2134">
          <cell r="E2134" t="str">
            <v>Alat</v>
          </cell>
          <cell r="F2134" t="str">
            <v>Kerja</v>
          </cell>
          <cell r="H2134" t="str">
            <v>Kerja</v>
          </cell>
          <cell r="I2134" t="str">
            <v>Rp/Jam</v>
          </cell>
          <cell r="J2134" t="str">
            <v>Rp</v>
          </cell>
        </row>
        <row r="2147">
          <cell r="B2147" t="str">
            <v>VOLUME / QUANTITY :</v>
          </cell>
          <cell r="F2147">
            <v>200</v>
          </cell>
          <cell r="J2147" t="str">
            <v>JUMLAH</v>
          </cell>
          <cell r="K2147">
            <v>1411500</v>
          </cell>
        </row>
        <row r="2148">
          <cell r="B2148" t="str">
            <v>SATUAN</v>
          </cell>
          <cell r="F2148" t="str">
            <v>Kg</v>
          </cell>
        </row>
        <row r="2150">
          <cell r="G2150" t="str">
            <v>HARGA SATUAN :  Rp.</v>
          </cell>
          <cell r="I2150">
            <v>7057.5</v>
          </cell>
          <cell r="J2150" t="str">
            <v>PER : Kg</v>
          </cell>
        </row>
        <row r="2157">
          <cell r="K2157" t="str">
            <v>K - 612</v>
          </cell>
        </row>
        <row r="2234">
          <cell r="K2234" t="str">
            <v>K - 612'</v>
          </cell>
        </row>
        <row r="2388">
          <cell r="K2388" t="str">
            <v>K - 513</v>
          </cell>
        </row>
        <row r="2542">
          <cell r="K2542" t="str">
            <v>K - 516</v>
          </cell>
        </row>
        <row r="2619">
          <cell r="K2619" t="str">
            <v>K - 421</v>
          </cell>
        </row>
        <row r="2696">
          <cell r="K2696" t="str">
            <v>K - 422</v>
          </cell>
        </row>
        <row r="2773">
          <cell r="K2773" t="str">
            <v>K - 424</v>
          </cell>
        </row>
        <row r="2850">
          <cell r="K2850" t="str">
            <v>K - 511</v>
          </cell>
        </row>
        <row r="2927">
          <cell r="K2927" t="str">
            <v>K - 512</v>
          </cell>
        </row>
        <row r="3004">
          <cell r="K3004" t="str">
            <v>K - 510</v>
          </cell>
        </row>
        <row r="3158">
          <cell r="K3158" t="str">
            <v>K - 125</v>
          </cell>
        </row>
        <row r="3235">
          <cell r="K3235" t="str">
            <v>K - 124</v>
          </cell>
        </row>
        <row r="3312">
          <cell r="K3312" t="str">
            <v>K - 123</v>
          </cell>
        </row>
        <row r="3389">
          <cell r="K3389" t="str">
            <v>K - 122</v>
          </cell>
        </row>
        <row r="3466">
          <cell r="K3466" t="str">
            <v>K - 158</v>
          </cell>
        </row>
        <row r="3543">
          <cell r="K3543" t="str">
            <v>K - 210</v>
          </cell>
        </row>
        <row r="3620">
          <cell r="K3620" t="str">
            <v>K - 220</v>
          </cell>
        </row>
        <row r="3697">
          <cell r="K3697" t="str">
            <v>K - 221</v>
          </cell>
        </row>
        <row r="3774">
          <cell r="K3774" t="str">
            <v>K - 010</v>
          </cell>
        </row>
        <row r="3851">
          <cell r="K3851" t="str">
            <v>K - 011</v>
          </cell>
        </row>
        <row r="3928">
          <cell r="K3928" t="str">
            <v>K - 012</v>
          </cell>
        </row>
        <row r="4005">
          <cell r="K4005" t="str">
            <v>K - 013</v>
          </cell>
        </row>
        <row r="4082">
          <cell r="K4082" t="str">
            <v>K - 014</v>
          </cell>
        </row>
        <row r="4159">
          <cell r="K4159" t="str">
            <v>K - 016</v>
          </cell>
        </row>
        <row r="4236">
          <cell r="K4236" t="str">
            <v>K - 017</v>
          </cell>
        </row>
        <row r="4313">
          <cell r="K4313" t="str">
            <v>K - 018</v>
          </cell>
        </row>
        <row r="4390">
          <cell r="K4390" t="str">
            <v>K - 020</v>
          </cell>
        </row>
        <row r="4467">
          <cell r="K4467" t="str">
            <v>K - 023</v>
          </cell>
        </row>
        <row r="4544">
          <cell r="K4544" t="str">
            <v>K - 024</v>
          </cell>
        </row>
        <row r="4621">
          <cell r="K4621" t="str">
            <v>K - 025</v>
          </cell>
        </row>
        <row r="4698">
          <cell r="K4698" t="str">
            <v>K - 026</v>
          </cell>
        </row>
        <row r="4775">
          <cell r="K4775" t="str">
            <v>K - 030</v>
          </cell>
        </row>
        <row r="4852">
          <cell r="K4852" t="str">
            <v>K - 035</v>
          </cell>
        </row>
        <row r="4929">
          <cell r="K4929" t="str">
            <v>K - 040</v>
          </cell>
        </row>
        <row r="5006">
          <cell r="K5006" t="str">
            <v>K - 110</v>
          </cell>
        </row>
        <row r="5083">
          <cell r="K5083" t="str">
            <v>K - 111</v>
          </cell>
        </row>
        <row r="5160">
          <cell r="K5160" t="str">
            <v>K - 112</v>
          </cell>
        </row>
        <row r="5237">
          <cell r="K5237" t="str">
            <v>K - 113</v>
          </cell>
        </row>
        <row r="5314">
          <cell r="K5314" t="str">
            <v>K - 114</v>
          </cell>
        </row>
        <row r="5391">
          <cell r="K5391" t="str">
            <v>K - 115</v>
          </cell>
        </row>
        <row r="5468">
          <cell r="K5468" t="str">
            <v>K - 116</v>
          </cell>
        </row>
        <row r="5545">
          <cell r="K5545" t="str">
            <v>K - 117</v>
          </cell>
        </row>
        <row r="5622">
          <cell r="K5622" t="str">
            <v>K - 118</v>
          </cell>
        </row>
        <row r="5699">
          <cell r="K5699" t="str">
            <v>K - 121</v>
          </cell>
        </row>
        <row r="5776">
          <cell r="K5776" t="str">
            <v>K - 411</v>
          </cell>
        </row>
        <row r="5853">
          <cell r="K5853" t="str">
            <v>K - 341</v>
          </cell>
        </row>
        <row r="5930">
          <cell r="K5930" t="str">
            <v>K - 342</v>
          </cell>
        </row>
        <row r="6007">
          <cell r="K6007" t="str">
            <v>K - 410</v>
          </cell>
        </row>
        <row r="6084">
          <cell r="K6084" t="str">
            <v>K - 232</v>
          </cell>
        </row>
        <row r="6161">
          <cell r="K6161" t="str">
            <v>K - 233</v>
          </cell>
        </row>
        <row r="6467">
          <cell r="B6467" t="str">
            <v>DIREKTORAT JENDRAL BINA MARGA</v>
          </cell>
          <cell r="F6467" t="str">
            <v xml:space="preserve">ANALISA  BIAYA  PEKERJAAN </v>
          </cell>
        </row>
        <row r="6468">
          <cell r="B6468" t="str">
            <v>DIREKTORAT BINA PROGRAM JALAN</v>
          </cell>
          <cell r="F6468" t="str">
            <v>GORONG-GORONG KOTAK (  1.5 M X 1.5 M x 8 M ) BETON BERTULANG TIDAK TERMASUK DINDING KEPALA (MENGUNAKAN BURUH)</v>
          </cell>
          <cell r="K6468" t="str">
            <v>KODE</v>
          </cell>
        </row>
        <row r="6469">
          <cell r="B6469" t="str">
            <v>SUB DIT. PERENCANAAN JALAN</v>
          </cell>
          <cell r="K6469" t="str">
            <v>K - 131</v>
          </cell>
        </row>
        <row r="6470">
          <cell r="B6470" t="str">
            <v>LOKAL &amp; KABUPATEN</v>
          </cell>
        </row>
        <row r="6472">
          <cell r="B6472" t="str">
            <v xml:space="preserve">  Propinsi :</v>
          </cell>
          <cell r="E6472" t="str">
            <v>Kode :</v>
          </cell>
          <cell r="F6472" t="str">
            <v xml:space="preserve">  Kabupaten</v>
          </cell>
          <cell r="H6472" t="str">
            <v>Kode</v>
          </cell>
          <cell r="I6472" t="str">
            <v xml:space="preserve">Dipersiapkan    : </v>
          </cell>
        </row>
        <row r="6473">
          <cell r="B6473" t="str">
            <v xml:space="preserve">  Nanggroe Aceh Darussalam</v>
          </cell>
          <cell r="E6473">
            <v>11</v>
          </cell>
          <cell r="F6473" t="str">
            <v xml:space="preserve">  PIDIE</v>
          </cell>
          <cell r="H6473">
            <v>7</v>
          </cell>
          <cell r="I6473" t="str">
            <v xml:space="preserve">Tanggal            : </v>
          </cell>
        </row>
        <row r="6475">
          <cell r="B6475" t="str">
            <v xml:space="preserve">  Uraian :</v>
          </cell>
          <cell r="F6475" t="str">
            <v xml:space="preserve">  Anggapan/Asumsi :</v>
          </cell>
        </row>
        <row r="6477">
          <cell r="B6477" t="str">
            <v xml:space="preserve">  1.  Gali dengan tenaga manusia (50 m3)</v>
          </cell>
          <cell r="F6477" t="str">
            <v xml:space="preserve">  1. H x S x tw = 1,5 m x 1,5 m x 21 cm</v>
          </cell>
        </row>
        <row r="6478">
          <cell r="B6478" t="str">
            <v xml:space="preserve">  2.  Padatkan daerah dasar 20 cm2</v>
          </cell>
          <cell r="F6478" t="str">
            <v xml:space="preserve">  2. Pengiriman material sampai ke tempat pekerjaan</v>
          </cell>
        </row>
        <row r="6479">
          <cell r="B6479" t="str">
            <v xml:space="preserve">  3.  Cor lantai dasar beton (0.8 m3)</v>
          </cell>
          <cell r="F6479" t="str">
            <v xml:space="preserve">  3. Buang galian sejauh 1 km</v>
          </cell>
        </row>
        <row r="6480">
          <cell r="B6480" t="str">
            <v xml:space="preserve">  4.  Buat begisting (67 m2)</v>
          </cell>
          <cell r="F6480" t="str">
            <v xml:space="preserve">  4. Lantai dasar beton klas C tebal 5 cm</v>
          </cell>
        </row>
        <row r="6481">
          <cell r="B6481" t="str">
            <v xml:space="preserve">  5.  Pasang pembesian (1075 kg)</v>
          </cell>
          <cell r="F6481" t="str">
            <v xml:space="preserve">  5. Sepertiga bekas begisting, dapat dipakai lagi</v>
          </cell>
        </row>
        <row r="6482">
          <cell r="B6482" t="str">
            <v xml:space="preserve">  6.  Cor beton struktur (11,7 m3)</v>
          </cell>
          <cell r="F6482" t="str">
            <v xml:space="preserve">  6. Pembesian 134,5 kg/m dengan kapasitas 100 kg/orang-hari</v>
          </cell>
        </row>
        <row r="6483">
          <cell r="B6483" t="str">
            <v xml:space="preserve">  7.  Bongkar begisting timbun dengan urugan yang</v>
          </cell>
          <cell r="F6483" t="str">
            <v xml:space="preserve">  7. Cor beton struktur klas A dalam 2 tahap</v>
          </cell>
        </row>
        <row r="6484">
          <cell r="B6484" t="str">
            <v xml:space="preserve">       baik dan padatkan 9 m3</v>
          </cell>
          <cell r="F6484" t="str">
            <v xml:space="preserve">  8. Tidak termasuk dinding kepala</v>
          </cell>
        </row>
        <row r="6485">
          <cell r="F6485" t="str">
            <v xml:space="preserve">  9. Upah tukang dimasukkan dalam biaya produksi</v>
          </cell>
        </row>
        <row r="6490">
          <cell r="B6490" t="str">
            <v>PEKERJA</v>
          </cell>
          <cell r="E6490" t="str">
            <v>JML</v>
          </cell>
          <cell r="F6490" t="str">
            <v>Hari</v>
          </cell>
          <cell r="G6490" t="str">
            <v>Kode</v>
          </cell>
          <cell r="H6490" t="str">
            <v>Jumlah</v>
          </cell>
          <cell r="I6490" t="str">
            <v>Upah</v>
          </cell>
          <cell r="J6490" t="str">
            <v>Biaya</v>
          </cell>
          <cell r="K6490" t="str">
            <v>Sub Jumlah</v>
          </cell>
        </row>
        <row r="6491">
          <cell r="E6491" t="str">
            <v>Org</v>
          </cell>
          <cell r="H6491" t="str">
            <v>Hr/Org</v>
          </cell>
          <cell r="I6491" t="str">
            <v>Rp./Hr/Org</v>
          </cell>
          <cell r="J6491" t="str">
            <v>Rp</v>
          </cell>
          <cell r="K6491" t="str">
            <v>Rp</v>
          </cell>
        </row>
        <row r="6494">
          <cell r="B6494" t="str">
            <v xml:space="preserve">  Mandor </v>
          </cell>
          <cell r="E6494">
            <v>2</v>
          </cell>
          <cell r="F6494">
            <v>6</v>
          </cell>
          <cell r="G6494" t="str">
            <v>L.061</v>
          </cell>
          <cell r="H6494">
            <v>12</v>
          </cell>
          <cell r="I6494">
            <v>36000</v>
          </cell>
          <cell r="J6494">
            <v>432000</v>
          </cell>
        </row>
        <row r="6495">
          <cell r="B6495" t="str">
            <v xml:space="preserve">  Supir </v>
          </cell>
          <cell r="E6495">
            <v>1</v>
          </cell>
          <cell r="F6495">
            <v>3</v>
          </cell>
          <cell r="G6495" t="str">
            <v>L.091</v>
          </cell>
          <cell r="H6495">
            <v>3</v>
          </cell>
          <cell r="I6495">
            <v>35000</v>
          </cell>
          <cell r="J6495">
            <v>105000</v>
          </cell>
        </row>
        <row r="6496">
          <cell r="B6496" t="str">
            <v xml:space="preserve">  Buruh tak terlatih</v>
          </cell>
          <cell r="E6496">
            <v>8</v>
          </cell>
          <cell r="F6496">
            <v>6</v>
          </cell>
          <cell r="G6496" t="str">
            <v>L.101</v>
          </cell>
          <cell r="H6496">
            <v>48</v>
          </cell>
          <cell r="I6496">
            <v>30000</v>
          </cell>
          <cell r="J6496">
            <v>1440000</v>
          </cell>
        </row>
        <row r="6497">
          <cell r="B6497" t="str">
            <v xml:space="preserve">  Buruh  terlatih</v>
          </cell>
          <cell r="E6497">
            <v>2</v>
          </cell>
          <cell r="F6497">
            <v>6</v>
          </cell>
          <cell r="G6497" t="str">
            <v>L.106</v>
          </cell>
          <cell r="H6497">
            <v>12</v>
          </cell>
          <cell r="I6497">
            <v>35000</v>
          </cell>
          <cell r="J6497">
            <v>420000</v>
          </cell>
        </row>
        <row r="6498">
          <cell r="B6498" t="str">
            <v xml:space="preserve">  Tukang batu</v>
          </cell>
          <cell r="E6498">
            <v>1</v>
          </cell>
          <cell r="F6498">
            <v>6</v>
          </cell>
          <cell r="G6498" t="str">
            <v>BOW</v>
          </cell>
          <cell r="H6498">
            <v>6</v>
          </cell>
          <cell r="I6498">
            <v>36000</v>
          </cell>
          <cell r="J6498">
            <v>216000</v>
          </cell>
        </row>
        <row r="6503">
          <cell r="K6503">
            <v>2613000</v>
          </cell>
        </row>
        <row r="6506">
          <cell r="B6506" t="str">
            <v>MATERIAL</v>
          </cell>
          <cell r="E6506" t="str">
            <v>Jumlah</v>
          </cell>
          <cell r="F6506" t="str">
            <v>Volume</v>
          </cell>
          <cell r="G6506" t="str">
            <v>Kode</v>
          </cell>
          <cell r="I6506" t="str">
            <v>Harga Satuan</v>
          </cell>
          <cell r="J6506" t="str">
            <v>Biaya</v>
          </cell>
        </row>
        <row r="6507">
          <cell r="F6507" t="str">
            <v>Satuan</v>
          </cell>
          <cell r="I6507" t="str">
            <v>Rp</v>
          </cell>
          <cell r="J6507" t="str">
            <v>Rp</v>
          </cell>
        </row>
        <row r="6509">
          <cell r="B6509" t="str">
            <v xml:space="preserve">  Alat bantu  </v>
          </cell>
          <cell r="E6509">
            <v>1.2</v>
          </cell>
          <cell r="F6509" t="str">
            <v>Set</v>
          </cell>
          <cell r="G6509" t="str">
            <v>M.170</v>
          </cell>
          <cell r="I6509">
            <v>40000</v>
          </cell>
          <cell r="J6509">
            <v>48000</v>
          </cell>
        </row>
        <row r="6510">
          <cell r="B6510" t="str">
            <v xml:space="preserve">  Pembesian</v>
          </cell>
          <cell r="E6510">
            <v>1075</v>
          </cell>
          <cell r="F6510" t="str">
            <v>kg</v>
          </cell>
          <cell r="G6510" t="str">
            <v>K.175</v>
          </cell>
          <cell r="I6510">
            <v>7057.5</v>
          </cell>
          <cell r="J6510">
            <v>7586812.5</v>
          </cell>
        </row>
        <row r="6511">
          <cell r="B6511" t="str">
            <v xml:space="preserve">  Begisting</v>
          </cell>
          <cell r="E6511">
            <v>67</v>
          </cell>
          <cell r="F6511" t="str">
            <v>m2</v>
          </cell>
          <cell r="G6511" t="str">
            <v>K.710</v>
          </cell>
          <cell r="I6511">
            <v>66470</v>
          </cell>
          <cell r="J6511">
            <v>4453490</v>
          </cell>
        </row>
        <row r="6512">
          <cell r="B6512" t="str">
            <v xml:space="preserve">  Timbunan konstruksi</v>
          </cell>
          <cell r="E6512">
            <v>20</v>
          </cell>
          <cell r="F6512" t="str">
            <v>m3</v>
          </cell>
          <cell r="G6512" t="str">
            <v>K.225</v>
          </cell>
          <cell r="I6512">
            <v>90033.333333333328</v>
          </cell>
          <cell r="J6512">
            <v>1800666.6666666665</v>
          </cell>
        </row>
        <row r="6513">
          <cell r="B6513" t="str">
            <v xml:space="preserve">  Batu pecah 1-2 cm</v>
          </cell>
          <cell r="E6513">
            <v>8.5</v>
          </cell>
          <cell r="F6513" t="str">
            <v>m3</v>
          </cell>
          <cell r="G6513" t="str">
            <v>M.025</v>
          </cell>
          <cell r="I6513" t="e">
            <v>#REF!</v>
          </cell>
          <cell r="J6513" t="e">
            <v>#REF!</v>
          </cell>
        </row>
        <row r="6514">
          <cell r="B6514" t="str">
            <v xml:space="preserve">  Pasir beton</v>
          </cell>
          <cell r="E6514">
            <v>6.7</v>
          </cell>
          <cell r="F6514" t="str">
            <v>m3</v>
          </cell>
          <cell r="G6514" t="str">
            <v>M.041</v>
          </cell>
          <cell r="I6514">
            <v>68000</v>
          </cell>
          <cell r="J6514">
            <v>455600</v>
          </cell>
        </row>
        <row r="6515">
          <cell r="B6515" t="str">
            <v xml:space="preserve">  Semen</v>
          </cell>
          <cell r="E6515">
            <v>96.2</v>
          </cell>
          <cell r="F6515" t="str">
            <v>zak</v>
          </cell>
          <cell r="G6515" t="str">
            <v>M.080</v>
          </cell>
          <cell r="I6515">
            <v>26500</v>
          </cell>
          <cell r="J6515">
            <v>2549300</v>
          </cell>
        </row>
        <row r="6516">
          <cell r="B6516" t="str">
            <v xml:space="preserve">  Kerikil Kali disaring</v>
          </cell>
          <cell r="E6516">
            <v>1</v>
          </cell>
          <cell r="F6516" t="str">
            <v>m3</v>
          </cell>
          <cell r="G6516" t="str">
            <v>M.016</v>
          </cell>
          <cell r="I6516">
            <v>117100</v>
          </cell>
          <cell r="J6516">
            <v>117100</v>
          </cell>
        </row>
        <row r="6519">
          <cell r="K6519" t="e">
            <v>#REF!</v>
          </cell>
        </row>
        <row r="6522">
          <cell r="B6522" t="str">
            <v>PERALATAN</v>
          </cell>
          <cell r="E6522" t="str">
            <v>JML</v>
          </cell>
          <cell r="F6522" t="str">
            <v>Hari</v>
          </cell>
          <cell r="G6522" t="str">
            <v>Kode</v>
          </cell>
          <cell r="H6522" t="str">
            <v>Jam</v>
          </cell>
          <cell r="I6522" t="str">
            <v>Biaya</v>
          </cell>
          <cell r="J6522" t="str">
            <v>Biaya</v>
          </cell>
        </row>
        <row r="6523">
          <cell r="E6523" t="str">
            <v>Alat</v>
          </cell>
          <cell r="F6523" t="str">
            <v>Kerja</v>
          </cell>
          <cell r="H6523" t="str">
            <v>Kerja</v>
          </cell>
          <cell r="I6523" t="str">
            <v>Rp/Jam</v>
          </cell>
          <cell r="J6523" t="str">
            <v>Rp</v>
          </cell>
        </row>
        <row r="6525">
          <cell r="B6525" t="str">
            <v xml:space="preserve">  Truck Bak Terbuka 3,5 t/115 HP</v>
          </cell>
          <cell r="E6525">
            <v>1</v>
          </cell>
          <cell r="F6525">
            <v>3</v>
          </cell>
          <cell r="G6525" t="str">
            <v>E.221</v>
          </cell>
          <cell r="H6525">
            <v>15</v>
          </cell>
          <cell r="I6525">
            <v>142000</v>
          </cell>
          <cell r="J6525">
            <v>2130000</v>
          </cell>
        </row>
        <row r="6526">
          <cell r="B6526" t="str">
            <v xml:space="preserve">  Molen Beton 0.25 m3/10 HP</v>
          </cell>
          <cell r="E6526">
            <v>1</v>
          </cell>
          <cell r="F6526">
            <v>3</v>
          </cell>
          <cell r="G6526" t="str">
            <v>E.252</v>
          </cell>
          <cell r="H6526">
            <v>12</v>
          </cell>
          <cell r="I6526">
            <v>14000</v>
          </cell>
          <cell r="J6526">
            <v>168000</v>
          </cell>
        </row>
        <row r="6527">
          <cell r="B6527" t="str">
            <v xml:space="preserve">  Alat penggetar beton 4 HP</v>
          </cell>
          <cell r="E6527">
            <v>1</v>
          </cell>
          <cell r="F6527">
            <v>3</v>
          </cell>
          <cell r="G6527" t="str">
            <v>E.089</v>
          </cell>
          <cell r="H6527">
            <v>12</v>
          </cell>
          <cell r="I6527">
            <v>15000</v>
          </cell>
          <cell r="J6527">
            <v>180000</v>
          </cell>
        </row>
        <row r="6528">
          <cell r="B6528" t="str">
            <v xml:space="preserve">  Pompa air (0,50 mm) 30 m3/jam</v>
          </cell>
          <cell r="E6528">
            <v>1</v>
          </cell>
          <cell r="F6528">
            <v>3</v>
          </cell>
          <cell r="G6528" t="str">
            <v>E.341</v>
          </cell>
          <cell r="H6528">
            <v>10</v>
          </cell>
          <cell r="I6528">
            <v>9000</v>
          </cell>
          <cell r="J6528">
            <v>90000</v>
          </cell>
        </row>
        <row r="6533">
          <cell r="K6533">
            <v>2568000</v>
          </cell>
        </row>
        <row r="6536">
          <cell r="B6536" t="str">
            <v>VOLUME / QUANTITY :</v>
          </cell>
          <cell r="F6536">
            <v>8</v>
          </cell>
          <cell r="J6536" t="str">
            <v>JUMLAH</v>
          </cell>
          <cell r="K6536" t="e">
            <v>#REF!</v>
          </cell>
        </row>
        <row r="6537">
          <cell r="B6537" t="str">
            <v>SATUAN</v>
          </cell>
          <cell r="F6537" t="str">
            <v>M</v>
          </cell>
        </row>
        <row r="6539">
          <cell r="G6539" t="str">
            <v>HARGA SATUAN :  Rp.</v>
          </cell>
          <cell r="I6539" t="e">
            <v>#REF!</v>
          </cell>
          <cell r="J6539" t="str">
            <v>PER : M</v>
          </cell>
        </row>
        <row r="6546">
          <cell r="K6546" t="str">
            <v>K - 132</v>
          </cell>
        </row>
        <row r="6623">
          <cell r="K6623" t="str">
            <v>K - 139</v>
          </cell>
        </row>
        <row r="6700">
          <cell r="K6700" t="str">
            <v>K - 140</v>
          </cell>
        </row>
        <row r="7008">
          <cell r="K7008" t="str">
            <v>K - 722</v>
          </cell>
        </row>
        <row r="7085">
          <cell r="K7085" t="str">
            <v>K - 020'</v>
          </cell>
        </row>
        <row r="7162">
          <cell r="K7162" t="str">
            <v>K - 726</v>
          </cell>
        </row>
        <row r="7238">
          <cell r="K7238" t="str">
            <v>K - 725</v>
          </cell>
        </row>
      </sheetData>
      <sheetData sheetId="6"/>
      <sheetData sheetId="7">
        <row r="12">
          <cell r="B12" t="str">
            <v xml:space="preserve">G.50.K </v>
          </cell>
        </row>
        <row r="45">
          <cell r="B45" t="str">
            <v>Anl. W4</v>
          </cell>
        </row>
        <row r="60">
          <cell r="B60" t="str">
            <v>Anl. W.2</v>
          </cell>
        </row>
        <row r="68">
          <cell r="B68" t="str">
            <v>Anl. W.3</v>
          </cell>
        </row>
        <row r="134">
          <cell r="B134" t="str">
            <v>Anl. F.9</v>
          </cell>
        </row>
        <row r="150">
          <cell r="B150" t="str">
            <v>Anl. F.9a</v>
          </cell>
        </row>
        <row r="166">
          <cell r="B166" t="str">
            <v>Anl. F.9b</v>
          </cell>
        </row>
        <row r="182">
          <cell r="B182" t="str">
            <v>Anl. F.9c</v>
          </cell>
        </row>
        <row r="198">
          <cell r="B198" t="str">
            <v>G.43.b</v>
          </cell>
        </row>
        <row r="221">
          <cell r="B221" t="str">
            <v>G. 2</v>
          </cell>
        </row>
        <row r="230">
          <cell r="B230" t="str">
            <v>Anl G.67</v>
          </cell>
        </row>
      </sheetData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 df kw"/>
      <sheetName val="df kw"/>
      <sheetName val="harga dasar"/>
      <sheetName val="mobilisasi"/>
      <sheetName val="satuan"/>
      <sheetName val="L 1"/>
      <sheetName val="L 5"/>
      <sheetName val="L 6a"/>
      <sheetName val="L 6b"/>
      <sheetName val="L 7"/>
      <sheetName val="L 9"/>
      <sheetName val="L 10"/>
      <sheetName val="L 11"/>
      <sheetName val="L 12"/>
      <sheetName val="L 13"/>
      <sheetName val="L 14"/>
      <sheetName val="surat"/>
      <sheetName val="A DA"/>
      <sheetName val="Nera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26">
          <cell r="G26">
            <v>1.1505171476485723</v>
          </cell>
          <cell r="H26">
            <v>2.5444690939015411</v>
          </cell>
          <cell r="I26">
            <v>3.3026307932258048</v>
          </cell>
          <cell r="J26">
            <v>4.0607924925500685</v>
          </cell>
          <cell r="K26">
            <v>5.7512075169679742</v>
          </cell>
          <cell r="L26">
            <v>7.4416225413858799</v>
          </cell>
          <cell r="M26">
            <v>9.1320375658037864</v>
          </cell>
          <cell r="N26">
            <v>11.263797535266937</v>
          </cell>
          <cell r="O26">
            <v>18.449351956683046</v>
          </cell>
          <cell r="P26">
            <v>33.412433139115713</v>
          </cell>
          <cell r="Q26">
            <v>48.37551432154838</v>
          </cell>
          <cell r="R26">
            <v>62.897250558935802</v>
          </cell>
          <cell r="S26">
            <v>72.121757545765874</v>
          </cell>
          <cell r="T26">
            <v>84.105834976904418</v>
          </cell>
          <cell r="U26">
            <v>96.089912408042963</v>
          </cell>
          <cell r="V26">
            <v>100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t"/>
      <sheetName val="MPU"/>
      <sheetName val="Jad"/>
      <sheetName val="RAB"/>
      <sheetName val="Mob"/>
      <sheetName val="Ana"/>
      <sheetName val="Alat"/>
      <sheetName val="U&amp;B"/>
      <sheetName val="Sub"/>
      <sheetName val="Mob. Alat"/>
      <sheetName val="Mob Ala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Mata"/>
      <sheetName val="Analisa"/>
      <sheetName val="Jad"/>
      <sheetName val="Mat"/>
      <sheetName val="RAB"/>
      <sheetName val="Mob"/>
      <sheetName val="MobAlat"/>
      <sheetName val="Alat"/>
      <sheetName val="U &amp; B"/>
      <sheetName val="Jadwal"/>
      <sheetName val="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"/>
      <sheetName val="INFO"/>
      <sheetName val="Rekap"/>
      <sheetName val="BOQ"/>
      <sheetName val="Mobilisasi"/>
      <sheetName val="MPU 1"/>
      <sheetName val="MPPU"/>
      <sheetName val="4-Basic Price"/>
      <sheetName val="CPM"/>
      <sheetName val="DURASI"/>
      <sheetName val="Peta Quarry"/>
      <sheetName val="Perhitungan Mobilisasi Alat"/>
      <sheetName val="Lalu Lintas"/>
      <sheetName val="Jembatan Sementara"/>
      <sheetName val="SCHEDULE"/>
      <sheetName val="JADWAL PERALATAN"/>
      <sheetName val="JADWAL BHAN &amp; MTRAL"/>
      <sheetName val="JADWAL PERSONIL INTI &amp; TNG KERJ"/>
      <sheetName val="ONSITE"/>
      <sheetName val="PL BETON"/>
      <sheetName val="PL ASPAL"/>
      <sheetName val="PL BATU"/>
      <sheetName val="subkontrak "/>
      <sheetName val="5-ALAT(1)"/>
      <sheetName val="5-ALAT (2)"/>
      <sheetName val="D3"/>
      <sheetName val="D7(1)"/>
      <sheetName val="D7(2)"/>
      <sheetName val="Informasi"/>
      <sheetName val="4-formulir harga bahan"/>
      <sheetName val="Agg Halus &amp; Kasar"/>
      <sheetName val="Agg A"/>
      <sheetName val="Agg B"/>
      <sheetName val="Agg C"/>
      <sheetName val="D2"/>
      <sheetName val="D4"/>
      <sheetName val="D5"/>
      <sheetName val="D6"/>
      <sheetName val="D6 ASBT"/>
      <sheetName val="D7(3)"/>
      <sheetName val="D8(1)"/>
      <sheetName val="D8(2)"/>
      <sheetName val="D9"/>
      <sheetName val="D10 LS-Rutin"/>
      <sheetName val="D10 Kuantitas"/>
      <sheetName val="D10 Analisa HSP"/>
      <sheetName val="4-Analisa Quarry"/>
      <sheetName val="Sheet1"/>
    </sheetNames>
    <sheetDataSet>
      <sheetData sheetId="0"/>
      <sheetData sheetId="1"/>
      <sheetData sheetId="2">
        <row r="33">
          <cell r="H33">
            <v>407285246.16706043</v>
          </cell>
        </row>
      </sheetData>
      <sheetData sheetId="3">
        <row r="31">
          <cell r="G31">
            <v>24393000</v>
          </cell>
        </row>
        <row r="56">
          <cell r="G56">
            <v>0</v>
          </cell>
        </row>
        <row r="80">
          <cell r="G80">
            <v>323139973.18958741</v>
          </cell>
        </row>
        <row r="93">
          <cell r="G93">
            <v>0</v>
          </cell>
        </row>
        <row r="110">
          <cell r="G110">
            <v>0</v>
          </cell>
        </row>
        <row r="164">
          <cell r="G164">
            <v>0</v>
          </cell>
        </row>
        <row r="293">
          <cell r="G293">
            <v>22726341.507740237</v>
          </cell>
        </row>
        <row r="351">
          <cell r="G351">
            <v>0</v>
          </cell>
        </row>
        <row r="377">
          <cell r="G377">
            <v>0</v>
          </cell>
        </row>
        <row r="387">
          <cell r="G387">
            <v>0</v>
          </cell>
        </row>
      </sheetData>
      <sheetData sheetId="4"/>
      <sheetData sheetId="5"/>
      <sheetData sheetId="6"/>
      <sheetData sheetId="7">
        <row r="8">
          <cell r="E8" t="str">
            <v>Jam</v>
          </cell>
          <cell r="F8">
            <v>5714.2857142857147</v>
          </cell>
        </row>
        <row r="9">
          <cell r="E9" t="str">
            <v>Jam</v>
          </cell>
          <cell r="F9">
            <v>8700</v>
          </cell>
        </row>
        <row r="10">
          <cell r="E10" t="str">
            <v>Jam</v>
          </cell>
          <cell r="F10">
            <v>9800</v>
          </cell>
        </row>
        <row r="11">
          <cell r="E11" t="str">
            <v>Jam</v>
          </cell>
          <cell r="F11">
            <v>14285.714285714286</v>
          </cell>
        </row>
        <row r="12">
          <cell r="E12" t="str">
            <v>Jam</v>
          </cell>
          <cell r="F12">
            <v>11428.571428571429</v>
          </cell>
        </row>
        <row r="13">
          <cell r="E13" t="str">
            <v>Jam</v>
          </cell>
          <cell r="F13">
            <v>5828.5714285714284</v>
          </cell>
        </row>
        <row r="14">
          <cell r="E14" t="str">
            <v>Jam</v>
          </cell>
          <cell r="F14">
            <v>5000</v>
          </cell>
        </row>
        <row r="15">
          <cell r="E15" t="str">
            <v>Jam</v>
          </cell>
          <cell r="F15">
            <v>8600</v>
          </cell>
        </row>
        <row r="16">
          <cell r="E16" t="str">
            <v>Jam</v>
          </cell>
          <cell r="F16">
            <v>7271.4285714285716</v>
          </cell>
        </row>
        <row r="17">
          <cell r="E17" t="str">
            <v>Jam</v>
          </cell>
          <cell r="F17">
            <v>12985.714285714286</v>
          </cell>
        </row>
        <row r="30">
          <cell r="F30" t="str">
            <v>Sabang, 15 Juni 2011</v>
          </cell>
        </row>
        <row r="31">
          <cell r="F31" t="str">
            <v>Penawar,</v>
          </cell>
        </row>
        <row r="32">
          <cell r="F32" t="str">
            <v xml:space="preserve"> CV. ANEUK MEUBEUDOEH</v>
          </cell>
        </row>
        <row r="36">
          <cell r="F36" t="str">
            <v>SABRI</v>
          </cell>
        </row>
        <row r="37">
          <cell r="F37" t="str">
            <v>Direktur</v>
          </cell>
        </row>
        <row r="53">
          <cell r="F53">
            <v>116297.30487548928</v>
          </cell>
        </row>
        <row r="54">
          <cell r="F54">
            <v>116297.30487548928</v>
          </cell>
        </row>
        <row r="58">
          <cell r="F58">
            <v>45000</v>
          </cell>
        </row>
        <row r="60">
          <cell r="F60">
            <v>6732.6779999999999</v>
          </cell>
        </row>
        <row r="62">
          <cell r="F62">
            <v>4500</v>
          </cell>
        </row>
        <row r="63">
          <cell r="F63">
            <v>41000</v>
          </cell>
        </row>
        <row r="69">
          <cell r="F69">
            <v>73200</v>
          </cell>
        </row>
        <row r="72">
          <cell r="F72">
            <v>11000</v>
          </cell>
        </row>
        <row r="73">
          <cell r="F73">
            <v>2100000</v>
          </cell>
        </row>
        <row r="80">
          <cell r="F80">
            <v>109170.09294431053</v>
          </cell>
        </row>
        <row r="81">
          <cell r="F81">
            <v>98698.355103760856</v>
          </cell>
        </row>
        <row r="88">
          <cell r="F88">
            <v>11000</v>
          </cell>
        </row>
        <row r="92">
          <cell r="F92">
            <v>931028.372066407</v>
          </cell>
        </row>
        <row r="93">
          <cell r="F93">
            <v>8000</v>
          </cell>
        </row>
        <row r="99">
          <cell r="F99">
            <v>57600</v>
          </cell>
        </row>
        <row r="102">
          <cell r="F102">
            <v>522237.87216247321</v>
          </cell>
        </row>
        <row r="103">
          <cell r="F103">
            <v>10000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9">
          <cell r="AW9">
            <v>119979.11758190305</v>
          </cell>
        </row>
        <row r="12">
          <cell r="AW12">
            <v>89314.308310172361</v>
          </cell>
        </row>
        <row r="13">
          <cell r="AW13">
            <v>51754.337919047619</v>
          </cell>
        </row>
        <row r="14">
          <cell r="AW14">
            <v>171994.30831017235</v>
          </cell>
        </row>
        <row r="15">
          <cell r="AW15">
            <v>131714.30831017238</v>
          </cell>
        </row>
        <row r="16">
          <cell r="AW16">
            <v>227114.30831017235</v>
          </cell>
        </row>
        <row r="17">
          <cell r="AW17">
            <v>166694.30831017235</v>
          </cell>
        </row>
        <row r="18">
          <cell r="AW18">
            <v>227114.30831017235</v>
          </cell>
        </row>
        <row r="20">
          <cell r="AW20">
            <v>168814.30831017235</v>
          </cell>
        </row>
        <row r="22">
          <cell r="AW22">
            <v>127474.30831017238</v>
          </cell>
        </row>
        <row r="23">
          <cell r="AW23">
            <v>84014.308310172361</v>
          </cell>
        </row>
        <row r="24">
          <cell r="AW24">
            <v>112634.30831017238</v>
          </cell>
        </row>
        <row r="26">
          <cell r="AW26">
            <v>112634.30831017238</v>
          </cell>
        </row>
        <row r="29">
          <cell r="AW29">
            <v>32074.314534451874</v>
          </cell>
        </row>
        <row r="30">
          <cell r="AW30">
            <v>131714.30831017238</v>
          </cell>
        </row>
        <row r="34">
          <cell r="AW34">
            <v>474904.33805665799</v>
          </cell>
        </row>
        <row r="36">
          <cell r="AW36">
            <v>211214.30677161782</v>
          </cell>
        </row>
        <row r="38">
          <cell r="AW38">
            <v>158214.30677161782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alisa-Harsat"/>
      <sheetName val="DHSD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ang Pancang Baja"/>
      <sheetName val="Pembongkaran"/>
      <sheetName val="Geotxtil"/>
      <sheetName val="Expantion Joint"/>
      <sheetName val="NP"/>
      <sheetName val="NP (2)"/>
      <sheetName val="diafrag"/>
      <sheetName val="Void Slab"/>
      <sheetName val="deck slab"/>
      <sheetName val="Additional"/>
      <sheetName val="Lean Concr"/>
      <sheetName val="Perletakan Strip"/>
      <sheetName val="Pembongkaran Jbt Lama"/>
      <sheetName val="Pemb Jbt Rangka Baja"/>
      <sheetName val="Pengadaan Jembatan Sementara"/>
      <sheetName val="Pengadaan Jembatan Aramco"/>
      <sheetName val="Tiang Pancang"/>
      <sheetName val="Kuantitas &amp; Harga"/>
      <sheetName val="Analisa Alat"/>
      <sheetName val="Price"/>
    </sheetNames>
    <sheetDataSet>
      <sheetData sheetId="0"/>
      <sheetData sheetId="1"/>
      <sheetData sheetId="2"/>
      <sheetData sheetId="3"/>
      <sheetData sheetId="4">
        <row r="183">
          <cell r="T183" t="str">
            <v>Analisa EI-713</v>
          </cell>
        </row>
        <row r="185">
          <cell r="L185" t="str">
            <v>FORMULIR STANDAR UNTUK</v>
          </cell>
        </row>
        <row r="186">
          <cell r="L186" t="str">
            <v>PEREKAMAN ANALISA MASING-MASING HARGA SATUAN</v>
          </cell>
        </row>
        <row r="187">
          <cell r="L187">
            <v>0</v>
          </cell>
        </row>
        <row r="188">
          <cell r="L188" t="str">
            <v>NAMA KEGIATAN</v>
          </cell>
          <cell r="O188" t="str">
            <v>:  ADB Earthquake and Tsunami Emergency Support (ETESP), Road and Bridge Component</v>
          </cell>
        </row>
        <row r="189">
          <cell r="L189" t="str">
            <v>NOMOR HIBAH</v>
          </cell>
          <cell r="O189" t="str">
            <v>:  ADB 0002 - INO</v>
          </cell>
        </row>
        <row r="190">
          <cell r="L190" t="str">
            <v>NAMA PAKET</v>
          </cell>
          <cell r="O190" t="str">
            <v>:  Package 3 Bridges on the ECR ( 9 bridges)</v>
          </cell>
        </row>
        <row r="191">
          <cell r="L191" t="str">
            <v>LOKASI PROYEK</v>
          </cell>
          <cell r="O191" t="str">
            <v>:  Aceh Besar / Pidie</v>
          </cell>
        </row>
        <row r="192">
          <cell r="L192" t="str">
            <v>PROVINSI</v>
          </cell>
          <cell r="O192" t="str">
            <v>:  Nanggroe Aceh Darussalam</v>
          </cell>
        </row>
        <row r="194">
          <cell r="L194" t="str">
            <v>ITEM PEMBAYARAN NO.</v>
          </cell>
          <cell r="O194" t="str">
            <v>:  7.1 (3)</v>
          </cell>
          <cell r="R194" t="str">
            <v>PERKIRAAN VOL. PEK.</v>
          </cell>
          <cell r="T194" t="str">
            <v>:</v>
          </cell>
          <cell r="U194">
            <v>461.7</v>
          </cell>
        </row>
        <row r="195">
          <cell r="L195" t="str">
            <v>JENIS PEKERJAAN</v>
          </cell>
          <cell r="O195" t="str">
            <v>:  Beton K-350</v>
          </cell>
          <cell r="R195" t="str">
            <v>TOTAL HARGA (Rp.)</v>
          </cell>
          <cell r="T195" t="str">
            <v>:</v>
          </cell>
          <cell r="U195">
            <v>515759991.30000001</v>
          </cell>
        </row>
        <row r="196">
          <cell r="L196" t="str">
            <v>SATUAN PEMBAYARAN</v>
          </cell>
          <cell r="O196" t="str">
            <v>:  M3</v>
          </cell>
          <cell r="R196" t="str">
            <v>% THD. BIAYA PROYEK</v>
          </cell>
          <cell r="T196" t="str">
            <v>:</v>
          </cell>
          <cell r="U196">
            <v>31.200487250148651</v>
          </cell>
        </row>
        <row r="199">
          <cell r="Q199" t="str">
            <v>PERKIRAAN</v>
          </cell>
          <cell r="R199" t="str">
            <v>HARGA</v>
          </cell>
          <cell r="S199" t="str">
            <v>JUMLAH</v>
          </cell>
        </row>
        <row r="200">
          <cell r="L200" t="str">
            <v>NO.</v>
          </cell>
          <cell r="N200" t="str">
            <v>KOMPONEN</v>
          </cell>
          <cell r="P200" t="str">
            <v>SATUAN</v>
          </cell>
          <cell r="Q200" t="str">
            <v>KUANTITAS</v>
          </cell>
          <cell r="R200" t="str">
            <v>SATUAN</v>
          </cell>
          <cell r="S200" t="str">
            <v>HARGA</v>
          </cell>
        </row>
        <row r="201">
          <cell r="R201" t="str">
            <v>(Rp.)</v>
          </cell>
          <cell r="S201" t="str">
            <v>(Rp.)</v>
          </cell>
        </row>
        <row r="204">
          <cell r="L204" t="str">
            <v>A.</v>
          </cell>
          <cell r="N204" t="str">
            <v>TENAGA</v>
          </cell>
        </row>
        <row r="206">
          <cell r="L206" t="str">
            <v>1.</v>
          </cell>
          <cell r="N206" t="str">
            <v>Pekerja</v>
          </cell>
          <cell r="O206" t="str">
            <v>(L01)</v>
          </cell>
          <cell r="P206" t="str">
            <v>jam</v>
          </cell>
          <cell r="Q206">
            <v>5.3012048192771086</v>
          </cell>
          <cell r="R206">
            <v>5817</v>
          </cell>
          <cell r="U206">
            <v>30837.108433734942</v>
          </cell>
        </row>
        <row r="207">
          <cell r="L207" t="str">
            <v>2.</v>
          </cell>
          <cell r="N207" t="str">
            <v>Tukang</v>
          </cell>
          <cell r="O207" t="str">
            <v>(L02)</v>
          </cell>
          <cell r="P207" t="str">
            <v>jam</v>
          </cell>
          <cell r="Q207">
            <v>1.7670682730923695</v>
          </cell>
          <cell r="R207">
            <v>9285</v>
          </cell>
          <cell r="U207">
            <v>16407.22891566265</v>
          </cell>
        </row>
        <row r="208">
          <cell r="L208" t="str">
            <v>3.</v>
          </cell>
          <cell r="N208" t="str">
            <v>Mandor</v>
          </cell>
          <cell r="O208" t="str">
            <v>(L03)</v>
          </cell>
          <cell r="P208" t="str">
            <v>jam</v>
          </cell>
          <cell r="Q208">
            <v>0.44176706827309237</v>
          </cell>
          <cell r="R208">
            <v>8357</v>
          </cell>
          <cell r="U208">
            <v>3691.8473895582329</v>
          </cell>
        </row>
        <row r="210">
          <cell r="Q210" t="str">
            <v xml:space="preserve">JUMLAH HARGA TENAGA   </v>
          </cell>
          <cell r="U210">
            <v>50936.184738955832</v>
          </cell>
        </row>
        <row r="212">
          <cell r="L212" t="str">
            <v>B.</v>
          </cell>
          <cell r="N212" t="str">
            <v>BAHAN</v>
          </cell>
        </row>
        <row r="214">
          <cell r="L214" t="str">
            <v>1.</v>
          </cell>
          <cell r="N214" t="str">
            <v>Semen</v>
          </cell>
          <cell r="O214" t="str">
            <v>(M12)</v>
          </cell>
          <cell r="P214" t="str">
            <v>Kg</v>
          </cell>
          <cell r="Q214">
            <v>421.41327623126341</v>
          </cell>
          <cell r="R214">
            <v>850</v>
          </cell>
          <cell r="U214">
            <v>358201.28479657392</v>
          </cell>
        </row>
        <row r="215">
          <cell r="L215" t="str">
            <v>2.</v>
          </cell>
          <cell r="N215" t="str">
            <v>Pasir</v>
          </cell>
          <cell r="O215" t="str">
            <v>(M01)</v>
          </cell>
          <cell r="P215" t="str">
            <v>M3</v>
          </cell>
          <cell r="Q215">
            <v>0.47738222698072796</v>
          </cell>
          <cell r="R215">
            <v>81750</v>
          </cell>
          <cell r="U215">
            <v>39025.99705567451</v>
          </cell>
        </row>
        <row r="216">
          <cell r="L216" t="str">
            <v>3.</v>
          </cell>
          <cell r="N216" t="str">
            <v>Agregat Kasar</v>
          </cell>
          <cell r="O216" t="str">
            <v>(M03)</v>
          </cell>
          <cell r="P216" t="str">
            <v>M3</v>
          </cell>
          <cell r="Q216">
            <v>0.70874051002530658</v>
          </cell>
          <cell r="R216">
            <v>146996.02665383945</v>
          </cell>
          <cell r="U216">
            <v>104182.03890233573</v>
          </cell>
        </row>
        <row r="217">
          <cell r="L217" t="str">
            <v>4.</v>
          </cell>
          <cell r="N217" t="str">
            <v>Kayu Perancah</v>
          </cell>
          <cell r="O217" t="str">
            <v>(M19)</v>
          </cell>
          <cell r="P217" t="str">
            <v>M3</v>
          </cell>
          <cell r="Q217">
            <v>0.15</v>
          </cell>
          <cell r="R217">
            <v>2250000</v>
          </cell>
          <cell r="U217">
            <v>337500</v>
          </cell>
        </row>
        <row r="218">
          <cell r="L218" t="str">
            <v>5.</v>
          </cell>
          <cell r="N218" t="str">
            <v>Paku</v>
          </cell>
          <cell r="O218" t="str">
            <v>(M18)</v>
          </cell>
          <cell r="P218" t="str">
            <v>Kg</v>
          </cell>
          <cell r="Q218">
            <v>1</v>
          </cell>
          <cell r="R218">
            <v>7500</v>
          </cell>
          <cell r="U218">
            <v>7500</v>
          </cell>
        </row>
        <row r="220">
          <cell r="Q220" t="str">
            <v xml:space="preserve">JUMLAH HARGA BAHAN   </v>
          </cell>
          <cell r="U220">
            <v>846409.32075458416</v>
          </cell>
        </row>
        <row r="222">
          <cell r="L222" t="str">
            <v>C.</v>
          </cell>
          <cell r="N222" t="str">
            <v>PERALATAN</v>
          </cell>
        </row>
        <row r="224">
          <cell r="L224" t="str">
            <v>1.</v>
          </cell>
          <cell r="N224" t="str">
            <v>Conc. Mixer</v>
          </cell>
          <cell r="O224" t="str">
            <v>(E06)</v>
          </cell>
          <cell r="P224" t="str">
            <v>jam</v>
          </cell>
          <cell r="Q224">
            <v>0.44176706827309237</v>
          </cell>
          <cell r="R224">
            <v>46833.52213114754</v>
          </cell>
          <cell r="U224">
            <v>20689.507768780037</v>
          </cell>
        </row>
        <row r="225">
          <cell r="L225" t="str">
            <v>2.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5.7119269368695345E-2</v>
          </cell>
          <cell r="R225">
            <v>153142.56981294346</v>
          </cell>
          <cell r="U225">
            <v>8747.3916969597503</v>
          </cell>
        </row>
        <row r="226">
          <cell r="L226" t="str">
            <v>3.</v>
          </cell>
          <cell r="N226" t="str">
            <v>Con. Vibrator</v>
          </cell>
          <cell r="O226" t="str">
            <v>(E20)</v>
          </cell>
          <cell r="P226" t="str">
            <v>jam</v>
          </cell>
          <cell r="Q226">
            <v>0.44176706827309237</v>
          </cell>
          <cell r="R226">
            <v>42481.32360655738</v>
          </cell>
          <cell r="U226">
            <v>18766.849786029365</v>
          </cell>
        </row>
        <row r="227">
          <cell r="L227" t="str">
            <v>4.</v>
          </cell>
          <cell r="N227" t="str">
            <v>Con, Pump</v>
          </cell>
          <cell r="O227" t="str">
            <v>(E28)</v>
          </cell>
          <cell r="P227" t="str">
            <v>jam</v>
          </cell>
          <cell r="Q227">
            <v>0.44176706827309237</v>
          </cell>
          <cell r="R227">
            <v>157065.89507266926</v>
          </cell>
          <cell r="U227">
            <v>69386.539991942234</v>
          </cell>
        </row>
        <row r="228">
          <cell r="L228" t="str">
            <v>5.</v>
          </cell>
          <cell r="N228" t="str">
            <v>Alat Bantu</v>
          </cell>
          <cell r="P228" t="str">
            <v>Ls</v>
          </cell>
          <cell r="Q228">
            <v>1</v>
          </cell>
          <cell r="R228">
            <v>600</v>
          </cell>
          <cell r="U228">
            <v>600</v>
          </cell>
        </row>
        <row r="232">
          <cell r="Q232" t="str">
            <v xml:space="preserve">JUMLAH HARGA PERALATAN   </v>
          </cell>
          <cell r="U232">
            <v>118190.28924371139</v>
          </cell>
        </row>
        <row r="234">
          <cell r="L234" t="str">
            <v>D.</v>
          </cell>
          <cell r="N234" t="str">
            <v>JUMLAH HARGA TENAGA, BAHAN DAN PERALATAN  ( A + B + C )</v>
          </cell>
          <cell r="U234">
            <v>1015535.7947372514</v>
          </cell>
        </row>
        <row r="235">
          <cell r="L235" t="str">
            <v>E.</v>
          </cell>
          <cell r="N235" t="str">
            <v>OVERHEAD &amp; PROFIT</v>
          </cell>
          <cell r="P235">
            <v>10</v>
          </cell>
          <cell r="Q235" t="str">
            <v>%  x  D</v>
          </cell>
          <cell r="U235">
            <v>101553.57947372514</v>
          </cell>
        </row>
        <row r="236">
          <cell r="L236" t="str">
            <v>F.</v>
          </cell>
          <cell r="N236" t="str">
            <v>HARGA SATUAN PEKERJAAN  ( D + E )</v>
          </cell>
          <cell r="U236">
            <v>1117089.3742109765</v>
          </cell>
        </row>
        <row r="237">
          <cell r="L237" t="str">
            <v>G.</v>
          </cell>
          <cell r="N237" t="str">
            <v>HARGA SATUAN DIBULATKAN</v>
          </cell>
          <cell r="U237">
            <v>1117089</v>
          </cell>
        </row>
        <row r="238">
          <cell r="L238" t="str">
            <v>Note: 1</v>
          </cell>
          <cell r="N238" t="str">
            <v>SATUAN dapat berdasarkan atas jam operasi untuk Tenaga Kerja dan Peralatan, volume dan/atau ukuran</v>
          </cell>
        </row>
        <row r="239">
          <cell r="N239" t="str">
            <v>berat untuk bahan-bahan.</v>
          </cell>
        </row>
        <row r="240">
          <cell r="L240">
            <v>2</v>
          </cell>
          <cell r="N240" t="str">
            <v>Kuantitas satuan adalah kuantitas setiap komponen untuk menyelesaikan satu satuan pekerjaan dari nomor</v>
          </cell>
        </row>
        <row r="241">
          <cell r="N241" t="str">
            <v>mata pembayaran.</v>
          </cell>
        </row>
        <row r="242">
          <cell r="L242">
            <v>3</v>
          </cell>
          <cell r="N242" t="str">
            <v>Biaya satuan untuk peralatan sudah termasuk bahan bakar, bahan habis dipakai dan operator.</v>
          </cell>
        </row>
        <row r="243">
          <cell r="L243">
            <v>4</v>
          </cell>
          <cell r="N243" t="str">
            <v>Biaya satuan sudah termasuk pengeluaran untuk seluruh pajak yang berkaitan (tetapi tidak termasuk PPN</v>
          </cell>
        </row>
        <row r="1322">
          <cell r="T1322" t="str">
            <v>Analisa EI-745</v>
          </cell>
        </row>
        <row r="1324">
          <cell r="L1324" t="str">
            <v>FORMULIR STANDAR UNTUK</v>
          </cell>
        </row>
        <row r="1325">
          <cell r="L1325" t="str">
            <v>PEREKAMAN ANALISA MASING-MASING HARGA SATUAN</v>
          </cell>
        </row>
        <row r="1326">
          <cell r="L1326">
            <v>0</v>
          </cell>
        </row>
        <row r="1328">
          <cell r="L1328" t="str">
            <v>NOMOR HIBAH</v>
          </cell>
          <cell r="O1328" t="str">
            <v>:  ADB 0002 - INO</v>
          </cell>
        </row>
        <row r="1329">
          <cell r="L1329" t="str">
            <v>NAMA PAKET</v>
          </cell>
          <cell r="O1329" t="e">
            <v>#REF!</v>
          </cell>
        </row>
        <row r="1330">
          <cell r="L1330" t="str">
            <v>LOKASI PROYEK</v>
          </cell>
          <cell r="O1330" t="e">
            <v>#REF!</v>
          </cell>
        </row>
        <row r="1331">
          <cell r="L1331" t="str">
            <v>PROVINSI</v>
          </cell>
          <cell r="O1331" t="e">
            <v>#REF!</v>
          </cell>
        </row>
        <row r="1332">
          <cell r="L1332">
            <v>0</v>
          </cell>
          <cell r="O1332" t="e">
            <v>#REF!</v>
          </cell>
        </row>
        <row r="1333">
          <cell r="L1333" t="str">
            <v>ITEM PEMBAYARAN NO.</v>
          </cell>
          <cell r="O1333" t="str">
            <v>:  7.5 (2)</v>
          </cell>
          <cell r="R1333" t="str">
            <v>PERKIRAAN VOL. PEK.</v>
          </cell>
          <cell r="T1333" t="str">
            <v>:</v>
          </cell>
          <cell r="U1333">
            <v>0</v>
          </cell>
        </row>
        <row r="1334">
          <cell r="L1334" t="str">
            <v>JENIS PEKERJAAN</v>
          </cell>
          <cell r="O1334" t="str">
            <v>:  Pengangkutan Material Jembatan</v>
          </cell>
          <cell r="R1334" t="str">
            <v>TOTAL HARGA (Rp.)</v>
          </cell>
          <cell r="T1334" t="str">
            <v>:</v>
          </cell>
          <cell r="U1334">
            <v>0</v>
          </cell>
        </row>
        <row r="1335">
          <cell r="L1335" t="str">
            <v>SATUAN PEMBAYARAN</v>
          </cell>
          <cell r="O1335" t="str">
            <v>:  KG</v>
          </cell>
          <cell r="R1335" t="str">
            <v>% THD. BIAYA PROYEK</v>
          </cell>
          <cell r="T1335" t="str">
            <v>:</v>
          </cell>
          <cell r="U1335">
            <v>0</v>
          </cell>
        </row>
        <row r="1338">
          <cell r="Q1338" t="str">
            <v>PERKIRAAN</v>
          </cell>
          <cell r="R1338" t="str">
            <v>HARGA</v>
          </cell>
          <cell r="S1338" t="str">
            <v>JUMLAH</v>
          </cell>
        </row>
        <row r="1339">
          <cell r="L1339" t="str">
            <v>NO.</v>
          </cell>
          <cell r="N1339" t="str">
            <v>KOMPONEN</v>
          </cell>
          <cell r="P1339" t="str">
            <v>SATUAN</v>
          </cell>
          <cell r="Q1339" t="str">
            <v>KUANTITAS</v>
          </cell>
          <cell r="R1339" t="str">
            <v>SATUAN</v>
          </cell>
          <cell r="S1339" t="str">
            <v>HARGA</v>
          </cell>
        </row>
        <row r="1340">
          <cell r="R1340" t="str">
            <v>(Rp.)</v>
          </cell>
          <cell r="S1340" t="str">
            <v>(Rp.)</v>
          </cell>
        </row>
        <row r="1343">
          <cell r="L1343" t="str">
            <v>A.</v>
          </cell>
          <cell r="N1343" t="str">
            <v>TENAGA</v>
          </cell>
        </row>
        <row r="1345">
          <cell r="L1345" t="str">
            <v>1.</v>
          </cell>
          <cell r="N1345" t="str">
            <v>Pekerja</v>
          </cell>
          <cell r="O1345" t="str">
            <v>(L01)</v>
          </cell>
          <cell r="P1345" t="str">
            <v>jam</v>
          </cell>
          <cell r="Q1345">
            <v>1.0000000000000001E-5</v>
          </cell>
          <cell r="R1345">
            <v>5817</v>
          </cell>
          <cell r="U1345">
            <v>5.8170000000000006E-2</v>
          </cell>
        </row>
        <row r="1346">
          <cell r="L1346" t="str">
            <v>3.</v>
          </cell>
          <cell r="N1346" t="str">
            <v>Mandor</v>
          </cell>
          <cell r="O1346" t="str">
            <v>(L03)</v>
          </cell>
          <cell r="P1346" t="str">
            <v>jam</v>
          </cell>
          <cell r="Q1346">
            <v>1.3386880856760375E-4</v>
          </cell>
          <cell r="R1346">
            <v>8357</v>
          </cell>
          <cell r="U1346">
            <v>1.1187416331994646</v>
          </cell>
        </row>
        <row r="1349">
          <cell r="Q1349" t="str">
            <v xml:space="preserve">JUMLAH HARGA TENAGA   </v>
          </cell>
          <cell r="U1349">
            <v>1.1769116331994647</v>
          </cell>
        </row>
        <row r="1351">
          <cell r="L1351" t="str">
            <v>B.</v>
          </cell>
          <cell r="N1351" t="str">
            <v>BAHAN</v>
          </cell>
        </row>
        <row r="1359">
          <cell r="Q1359" t="str">
            <v xml:space="preserve">JUMLAH HARGA BAHAN   </v>
          </cell>
          <cell r="U1359">
            <v>0</v>
          </cell>
        </row>
        <row r="1361">
          <cell r="L1361" t="str">
            <v>C.</v>
          </cell>
          <cell r="N1361" t="str">
            <v>PERALATAN</v>
          </cell>
        </row>
        <row r="1363">
          <cell r="L1363" t="str">
            <v>1.</v>
          </cell>
          <cell r="N1363" t="str">
            <v>Trailer, 15 ton</v>
          </cell>
          <cell r="O1363" t="str">
            <v>E35</v>
          </cell>
          <cell r="P1363" t="str">
            <v>jam</v>
          </cell>
          <cell r="Q1363">
            <v>1.6827309236947792E-3</v>
          </cell>
          <cell r="R1363">
            <v>234728.86853980148</v>
          </cell>
          <cell r="U1363">
            <v>394.98552577581052</v>
          </cell>
        </row>
        <row r="1364">
          <cell r="L1364" t="str">
            <v>2.</v>
          </cell>
          <cell r="N1364" t="str">
            <v>Crane</v>
          </cell>
          <cell r="O1364" t="str">
            <v>E31</v>
          </cell>
          <cell r="P1364" t="str">
            <v>jam</v>
          </cell>
          <cell r="Q1364">
            <v>1.3386880856760375E-4</v>
          </cell>
          <cell r="R1364">
            <v>345785.3356401663</v>
          </cell>
          <cell r="U1364">
            <v>46.289870902298034</v>
          </cell>
        </row>
        <row r="1365">
          <cell r="L1365" t="str">
            <v>3.</v>
          </cell>
          <cell r="N1365" t="str">
            <v>Alat Bantu</v>
          </cell>
          <cell r="P1365" t="str">
            <v>Ls</v>
          </cell>
          <cell r="Q1365">
            <v>1</v>
          </cell>
          <cell r="R1365">
            <v>100</v>
          </cell>
          <cell r="U1365">
            <v>100</v>
          </cell>
        </row>
        <row r="1366">
          <cell r="L1366" t="str">
            <v>4.</v>
          </cell>
          <cell r="N1366" t="str">
            <v>Angkutan Kapal Laut</v>
          </cell>
          <cell r="P1366" t="str">
            <v>millaut</v>
          </cell>
          <cell r="Q1366">
            <v>0</v>
          </cell>
          <cell r="R1366">
            <v>0</v>
          </cell>
          <cell r="U1366">
            <v>0</v>
          </cell>
        </row>
        <row r="1371">
          <cell r="Q1371" t="str">
            <v xml:space="preserve">JUMLAH HARGA PERALATAN   </v>
          </cell>
          <cell r="U1371">
            <v>541.27539667810856</v>
          </cell>
        </row>
        <row r="1373">
          <cell r="L1373" t="str">
            <v>D.</v>
          </cell>
          <cell r="N1373" t="str">
            <v>JUMLAH HARGA TENAGA, BAHAN DAN PERALATAN  ( A + B + C )</v>
          </cell>
          <cell r="U1373">
            <v>542.452308311308</v>
          </cell>
        </row>
        <row r="1374">
          <cell r="L1374" t="str">
            <v>E.</v>
          </cell>
          <cell r="N1374" t="str">
            <v>OVERHEAD &amp; PROFIT</v>
          </cell>
          <cell r="P1374">
            <v>10</v>
          </cell>
          <cell r="Q1374" t="str">
            <v>%  x  D</v>
          </cell>
          <cell r="U1374">
            <v>54.245230831130804</v>
          </cell>
        </row>
        <row r="1375">
          <cell r="L1375" t="str">
            <v>F.</v>
          </cell>
          <cell r="N1375" t="str">
            <v>HARGA SATUAN PEKERJAAN  ( D + E )</v>
          </cell>
          <cell r="U1375">
            <v>596</v>
          </cell>
        </row>
        <row r="1376">
          <cell r="L1376" t="str">
            <v>Note: 1</v>
          </cell>
          <cell r="N1376" t="str">
            <v>SATUAN dapat berdasarkan atas jam operasi untuk Tenaga Kerja dan Peralatan, volume dan/atau ukuran</v>
          </cell>
        </row>
        <row r="1377">
          <cell r="N1377" t="str">
            <v>berat untuk bahan-bahan.</v>
          </cell>
        </row>
        <row r="1378">
          <cell r="L1378">
            <v>2</v>
          </cell>
          <cell r="N1378" t="str">
            <v>Kuantitas satuan adalah kuantitas setiap komponen untuk menyelesaikan satu satuan pekerjaan dari nomor</v>
          </cell>
        </row>
        <row r="1379">
          <cell r="N1379" t="str">
            <v>mata pembayaran.</v>
          </cell>
        </row>
        <row r="1380">
          <cell r="L1380">
            <v>3</v>
          </cell>
          <cell r="N1380" t="str">
            <v>Biaya satuan untuk peralatan sudah termasuk bahan bakar, bahan habis dipakai dan operator.</v>
          </cell>
        </row>
        <row r="1381">
          <cell r="L1381">
            <v>4</v>
          </cell>
          <cell r="N1381" t="str">
            <v>Biaya satuan sudah termasuk pengeluaran untuk seluruh pajak yang berkaitan (tetapi tidak termasuk PPN</v>
          </cell>
        </row>
        <row r="1382">
          <cell r="N1382" t="str">
            <v>yang dibayar dari kontrak) dan biaya-biaya lainnya.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>
        <row r="4">
          <cell r="B4" t="str">
            <v xml:space="preserve">  Satuan Kerja</v>
          </cell>
        </row>
      </sheetData>
      <sheetData sheetId="4"/>
      <sheetData sheetId="5"/>
      <sheetData sheetId="6">
        <row r="74">
          <cell r="H74">
            <v>38447.958658696487</v>
          </cell>
        </row>
        <row r="89">
          <cell r="H89">
            <v>46105.27288773546</v>
          </cell>
        </row>
        <row r="302">
          <cell r="H302">
            <v>47097.638755579086</v>
          </cell>
        </row>
        <row r="430">
          <cell r="H430">
            <v>48745.365897882977</v>
          </cell>
        </row>
      </sheetData>
      <sheetData sheetId="7">
        <row r="79">
          <cell r="F79">
            <v>9477.4366844543947</v>
          </cell>
        </row>
        <row r="110">
          <cell r="F110">
            <v>42041.93851179097</v>
          </cell>
        </row>
        <row r="120">
          <cell r="F120">
            <v>135900</v>
          </cell>
        </row>
        <row r="232">
          <cell r="F232">
            <v>165500</v>
          </cell>
        </row>
        <row r="365">
          <cell r="F365">
            <v>162800</v>
          </cell>
        </row>
        <row r="456">
          <cell r="F456">
            <v>171900</v>
          </cell>
        </row>
        <row r="568">
          <cell r="F568">
            <v>159400</v>
          </cell>
        </row>
        <row r="680">
          <cell r="F680">
            <v>114800</v>
          </cell>
        </row>
      </sheetData>
      <sheetData sheetId="8">
        <row r="21">
          <cell r="Q21">
            <v>800</v>
          </cell>
        </row>
        <row r="24">
          <cell r="Q24">
            <v>500</v>
          </cell>
        </row>
        <row r="27">
          <cell r="Q27">
            <v>8</v>
          </cell>
        </row>
        <row r="33">
          <cell r="Q33">
            <v>1.5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(MAJOR ITEM)"/>
      <sheetName val="PROGRESS"/>
      <sheetName val="Schdule (SISA)"/>
      <sheetName val="Schdule (ALAT&amp;BAHAN)"/>
      <sheetName val="ANATEK"/>
      <sheetName val="SCHDUL ALAT"/>
      <sheetName val="SCHDUL BAHAN"/>
      <sheetName val="RAB"/>
      <sheetName val="Schdule"/>
      <sheetName val="A_Ber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">
          <cell r="Z16">
            <v>77</v>
          </cell>
        </row>
        <row r="17">
          <cell r="Z17">
            <v>76</v>
          </cell>
        </row>
        <row r="18">
          <cell r="Z18">
            <v>75</v>
          </cell>
        </row>
        <row r="19">
          <cell r="Z19">
            <v>74</v>
          </cell>
        </row>
        <row r="21">
          <cell r="Z21">
            <v>73</v>
          </cell>
        </row>
        <row r="22">
          <cell r="Z22">
            <v>72</v>
          </cell>
        </row>
        <row r="23">
          <cell r="Z23">
            <v>71</v>
          </cell>
        </row>
        <row r="24">
          <cell r="Z24">
            <v>69</v>
          </cell>
        </row>
        <row r="25">
          <cell r="Z25">
            <v>68</v>
          </cell>
        </row>
        <row r="26">
          <cell r="Z26">
            <v>67</v>
          </cell>
        </row>
        <row r="28">
          <cell r="Z28">
            <v>66</v>
          </cell>
        </row>
        <row r="29">
          <cell r="Z29">
            <v>65</v>
          </cell>
        </row>
        <row r="31">
          <cell r="Z31">
            <v>64</v>
          </cell>
        </row>
        <row r="32">
          <cell r="Z32">
            <v>63</v>
          </cell>
        </row>
        <row r="34">
          <cell r="Z34">
            <v>62</v>
          </cell>
        </row>
        <row r="35">
          <cell r="Z35">
            <v>61</v>
          </cell>
        </row>
        <row r="37">
          <cell r="Z37">
            <v>60</v>
          </cell>
        </row>
        <row r="38">
          <cell r="Z38">
            <v>59</v>
          </cell>
        </row>
        <row r="40">
          <cell r="Z40">
            <v>58</v>
          </cell>
        </row>
        <row r="41">
          <cell r="Z41">
            <v>57</v>
          </cell>
        </row>
        <row r="43">
          <cell r="Z43">
            <v>56</v>
          </cell>
        </row>
        <row r="44">
          <cell r="Z44">
            <v>55</v>
          </cell>
        </row>
        <row r="46">
          <cell r="Z46">
            <v>54</v>
          </cell>
        </row>
        <row r="47">
          <cell r="Z47">
            <v>53</v>
          </cell>
        </row>
        <row r="49">
          <cell r="Z49">
            <v>52</v>
          </cell>
        </row>
        <row r="50">
          <cell r="Z50">
            <v>51</v>
          </cell>
        </row>
        <row r="52">
          <cell r="Z52">
            <v>50</v>
          </cell>
        </row>
        <row r="53">
          <cell r="Z53">
            <v>49</v>
          </cell>
        </row>
        <row r="54">
          <cell r="Z54">
            <v>48</v>
          </cell>
        </row>
        <row r="55">
          <cell r="Z55">
            <v>46</v>
          </cell>
        </row>
        <row r="56">
          <cell r="Z56">
            <v>45</v>
          </cell>
        </row>
        <row r="57">
          <cell r="Z57">
            <v>44</v>
          </cell>
        </row>
        <row r="59">
          <cell r="Z59">
            <v>43</v>
          </cell>
        </row>
        <row r="60">
          <cell r="Z60">
            <v>42</v>
          </cell>
        </row>
        <row r="62">
          <cell r="Z62">
            <v>41</v>
          </cell>
        </row>
        <row r="63">
          <cell r="Z63">
            <v>40</v>
          </cell>
        </row>
        <row r="65">
          <cell r="Z65">
            <v>39</v>
          </cell>
        </row>
        <row r="66">
          <cell r="Z66">
            <v>38</v>
          </cell>
        </row>
        <row r="68">
          <cell r="Z68">
            <v>37</v>
          </cell>
        </row>
        <row r="69">
          <cell r="Z69">
            <v>36</v>
          </cell>
        </row>
        <row r="71">
          <cell r="Z71">
            <v>35</v>
          </cell>
        </row>
        <row r="72">
          <cell r="Z72">
            <v>34</v>
          </cell>
        </row>
        <row r="74">
          <cell r="Z74">
            <v>33</v>
          </cell>
        </row>
        <row r="75">
          <cell r="Z75">
            <v>32</v>
          </cell>
        </row>
        <row r="77">
          <cell r="Z77">
            <v>31</v>
          </cell>
        </row>
        <row r="78">
          <cell r="Z78">
            <v>30</v>
          </cell>
        </row>
        <row r="80">
          <cell r="Z80">
            <v>29</v>
          </cell>
        </row>
        <row r="81">
          <cell r="Z81">
            <v>28</v>
          </cell>
        </row>
        <row r="83">
          <cell r="Z83">
            <v>27</v>
          </cell>
        </row>
        <row r="84">
          <cell r="Z84">
            <v>26</v>
          </cell>
        </row>
        <row r="86">
          <cell r="Z86">
            <v>25</v>
          </cell>
        </row>
        <row r="87">
          <cell r="Z87">
            <v>24</v>
          </cell>
        </row>
        <row r="89">
          <cell r="Z89">
            <v>23</v>
          </cell>
        </row>
        <row r="90">
          <cell r="Z90">
            <v>22</v>
          </cell>
        </row>
        <row r="92">
          <cell r="Z92">
            <v>21</v>
          </cell>
        </row>
        <row r="93">
          <cell r="Z93">
            <v>20</v>
          </cell>
        </row>
        <row r="94">
          <cell r="Z94">
            <v>19</v>
          </cell>
        </row>
        <row r="95">
          <cell r="Z95">
            <v>17</v>
          </cell>
        </row>
        <row r="96">
          <cell r="Z96">
            <v>16</v>
          </cell>
        </row>
        <row r="97">
          <cell r="Z97">
            <v>15</v>
          </cell>
        </row>
        <row r="99">
          <cell r="Z99">
            <v>14</v>
          </cell>
        </row>
        <row r="100">
          <cell r="Z100">
            <v>13</v>
          </cell>
        </row>
        <row r="101">
          <cell r="Z101">
            <v>12</v>
          </cell>
        </row>
        <row r="102">
          <cell r="Z102">
            <v>11</v>
          </cell>
        </row>
        <row r="103">
          <cell r="Z103">
            <v>9</v>
          </cell>
        </row>
        <row r="104">
          <cell r="Z104">
            <v>8</v>
          </cell>
        </row>
        <row r="106">
          <cell r="Z106">
            <v>7</v>
          </cell>
        </row>
        <row r="107">
          <cell r="Z107">
            <v>6</v>
          </cell>
        </row>
        <row r="108">
          <cell r="Z108">
            <v>5</v>
          </cell>
        </row>
        <row r="109">
          <cell r="Z109">
            <v>4</v>
          </cell>
        </row>
        <row r="110">
          <cell r="Z110">
            <v>3</v>
          </cell>
        </row>
        <row r="111">
          <cell r="Z111">
            <v>2</v>
          </cell>
        </row>
        <row r="112">
          <cell r="Z112">
            <v>1</v>
          </cell>
        </row>
      </sheetData>
      <sheetData sheetId="9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. K&amp;H"/>
      <sheetName val="Klas A"/>
      <sheetName val="Klas B"/>
      <sheetName val="Klas C"/>
      <sheetName val="Alat1"/>
      <sheetName val="Alat2"/>
      <sheetName val="Quarry"/>
      <sheetName val="daftar alat"/>
      <sheetName val="Basic"/>
      <sheetName val="10a"/>
      <sheetName val="10b"/>
      <sheetName val="10c"/>
      <sheetName val="9"/>
      <sheetName val="8"/>
      <sheetName val="7a"/>
      <sheetName val="7b"/>
      <sheetName val="6a"/>
      <sheetName val="6b"/>
      <sheetName val="5"/>
      <sheetName val="4"/>
      <sheetName val="3"/>
      <sheetName val="2"/>
      <sheetName val="Mobilisasi"/>
      <sheetName val="LL"/>
      <sheetName val="JS"/>
      <sheetName val="Kuantitas &amp; Harga"/>
      <sheetName val="Rekap"/>
      <sheetName val="Pek. Utama"/>
      <sheetName val="%"/>
      <sheetName val="Info"/>
      <sheetName val="pek. disubkontrakkan"/>
      <sheetName val="MATA PEMB.UTAMA"/>
      <sheetName val="Daftar Peralatan"/>
      <sheetName val="Daftar Personil"/>
      <sheetName val="Daftar Lampiran"/>
      <sheetName val="sche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0">
          <cell r="F40">
            <v>133900</v>
          </cell>
        </row>
        <row r="50">
          <cell r="F50">
            <v>140300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Sheet1"/>
      <sheetName val="Rekap"/>
      <sheetName val="Peta Quarry"/>
      <sheetName val="BOQ"/>
      <sheetName val="Lamp. 1"/>
      <sheetName val="Mobilisasi"/>
      <sheetName val="Perhitungan Mobilisasi Alat"/>
      <sheetName val="Lalu Lintas"/>
      <sheetName val="Jembatan Sementara"/>
      <sheetName val="Informasi"/>
      <sheetName val="Analisa K3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iv2"/>
      <sheetName val="Div3"/>
      <sheetName val="Div4"/>
      <sheetName val="Div5"/>
      <sheetName val="Div6"/>
      <sheetName val="D6 ASBT"/>
      <sheetName val="Div7(1)"/>
      <sheetName val="Div7(2)"/>
      <sheetName val="Div7(3)"/>
      <sheetName val="Div8(1)"/>
      <sheetName val="Div8(2)"/>
      <sheetName val="Div9"/>
      <sheetName val="D10 LS-Rutin"/>
      <sheetName val="D10 Kuantitas"/>
      <sheetName val="D10 Analisa HSP"/>
    </sheetNames>
    <sheetDataSet>
      <sheetData sheetId="0"/>
      <sheetData sheetId="1"/>
      <sheetData sheetId="2"/>
      <sheetData sheetId="3"/>
      <sheetData sheetId="4"/>
      <sheetData sheetId="5"/>
      <sheetData sheetId="6">
        <row r="29">
          <cell r="G29">
            <v>65396000</v>
          </cell>
        </row>
        <row r="54">
          <cell r="G54">
            <v>5119291.8443368562</v>
          </cell>
        </row>
        <row r="78">
          <cell r="G78">
            <v>64614003.882596225</v>
          </cell>
        </row>
        <row r="91">
          <cell r="G91">
            <v>1798616.45</v>
          </cell>
        </row>
        <row r="108">
          <cell r="G108">
            <v>97614537.88512063</v>
          </cell>
        </row>
        <row r="162">
          <cell r="G162">
            <v>236478157.85497063</v>
          </cell>
        </row>
        <row r="291">
          <cell r="G291">
            <v>452710898.01791221</v>
          </cell>
        </row>
        <row r="351">
          <cell r="G351">
            <v>121279332.83255732</v>
          </cell>
        </row>
        <row r="377">
          <cell r="G377">
            <v>0</v>
          </cell>
        </row>
        <row r="388">
          <cell r="G38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8">
          <cell r="F8">
            <v>5138.8888888888887</v>
          </cell>
        </row>
        <row r="9">
          <cell r="F9">
            <v>6567.4603174603171</v>
          </cell>
        </row>
        <row r="10">
          <cell r="F10">
            <v>8710.3174603174593</v>
          </cell>
        </row>
        <row r="50">
          <cell r="F50">
            <v>208063.56380910322</v>
          </cell>
        </row>
        <row r="51">
          <cell r="F51">
            <v>208063.56380910322</v>
          </cell>
        </row>
        <row r="52">
          <cell r="F52">
            <v>1500</v>
          </cell>
        </row>
        <row r="57">
          <cell r="F57">
            <v>8911.4249999999993</v>
          </cell>
        </row>
        <row r="59">
          <cell r="F59">
            <v>6700</v>
          </cell>
        </row>
        <row r="60">
          <cell r="F60">
            <v>60000</v>
          </cell>
        </row>
        <row r="65">
          <cell r="F65">
            <v>138300</v>
          </cell>
        </row>
        <row r="68">
          <cell r="F68">
            <v>10000</v>
          </cell>
        </row>
        <row r="69">
          <cell r="F69">
            <v>640000</v>
          </cell>
        </row>
        <row r="76">
          <cell r="F76">
            <v>226304.65223849134</v>
          </cell>
        </row>
        <row r="77">
          <cell r="F77">
            <v>182530.5599586415</v>
          </cell>
        </row>
        <row r="88">
          <cell r="F88">
            <v>1108128.3755638339</v>
          </cell>
        </row>
        <row r="89">
          <cell r="F89">
            <v>10000</v>
          </cell>
        </row>
        <row r="96">
          <cell r="F96">
            <v>198200</v>
          </cell>
        </row>
        <row r="99">
          <cell r="F99">
            <v>802693.41450932017</v>
          </cell>
        </row>
        <row r="100">
          <cell r="F100">
            <v>10000</v>
          </cell>
        </row>
      </sheetData>
      <sheetData sheetId="15"/>
      <sheetData sheetId="16"/>
      <sheetData sheetId="17">
        <row r="9">
          <cell r="AW9">
            <v>284671.6755853208</v>
          </cell>
        </row>
        <row r="12">
          <cell r="AW12">
            <v>130075.70998960536</v>
          </cell>
        </row>
        <row r="13">
          <cell r="AW13">
            <v>74331.111111111095</v>
          </cell>
        </row>
        <row r="14">
          <cell r="AW14">
            <v>425896.81862418947</v>
          </cell>
        </row>
        <row r="15">
          <cell r="AW15">
            <v>222774.60941795213</v>
          </cell>
        </row>
        <row r="16">
          <cell r="AW16">
            <v>395645.63224722602</v>
          </cell>
        </row>
        <row r="17">
          <cell r="AW17">
            <v>402898.53344458557</v>
          </cell>
        </row>
        <row r="18">
          <cell r="AW18">
            <v>358362.41929821618</v>
          </cell>
        </row>
        <row r="20">
          <cell r="AW20">
            <v>381277.05814524565</v>
          </cell>
        </row>
        <row r="22">
          <cell r="AW22">
            <v>330641.79579491564</v>
          </cell>
        </row>
        <row r="23">
          <cell r="AW23">
            <v>162437.34706762209</v>
          </cell>
        </row>
        <row r="24">
          <cell r="AW24">
            <v>229211.93909600817</v>
          </cell>
        </row>
        <row r="26">
          <cell r="AW26">
            <v>243876.6695226187</v>
          </cell>
        </row>
        <row r="29">
          <cell r="AW29">
            <v>29257.599249508457</v>
          </cell>
        </row>
        <row r="30">
          <cell r="AW30">
            <v>208358.43374433499</v>
          </cell>
        </row>
        <row r="34">
          <cell r="AW34">
            <v>780435.29022121674</v>
          </cell>
        </row>
        <row r="36">
          <cell r="AW36">
            <v>375346.99781096372</v>
          </cell>
        </row>
        <row r="38">
          <cell r="AW38">
            <v>426547.52751240658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iaya"/>
      <sheetName val="Kuantitas &amp; Harga"/>
      <sheetName val="Mobilisasi"/>
      <sheetName val="Div 2"/>
      <sheetName val="Div. 3"/>
      <sheetName val="Div. 4"/>
      <sheetName val="Div. 5"/>
      <sheetName val="Div. 6"/>
      <sheetName val="Div. 7(1)"/>
      <sheetName val="Div. 7(2)"/>
      <sheetName val="Basic Price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"/>
      <sheetName val="Progress"/>
      <sheetName val="Material"/>
      <sheetName val="Koef"/>
      <sheetName val="Mixer"/>
    </sheetNames>
    <sheetDataSet>
      <sheetData sheetId="0"/>
      <sheetData sheetId="1">
        <row r="21">
          <cell r="C21">
            <v>2.79</v>
          </cell>
        </row>
        <row r="22">
          <cell r="C22">
            <v>4.1849999999999996</v>
          </cell>
        </row>
        <row r="49">
          <cell r="C49">
            <v>1</v>
          </cell>
        </row>
      </sheetData>
      <sheetData sheetId="2"/>
      <sheetData sheetId="3"/>
      <sheetData sheetId="4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9">
          <cell r="E39">
            <v>500000</v>
          </cell>
        </row>
        <row r="40">
          <cell r="E40">
            <v>5000</v>
          </cell>
        </row>
        <row r="70">
          <cell r="E70">
            <v>70000</v>
          </cell>
        </row>
        <row r="71">
          <cell r="E71">
            <v>15000</v>
          </cell>
        </row>
        <row r="86">
          <cell r="E86">
            <v>70000</v>
          </cell>
        </row>
        <row r="94">
          <cell r="E94">
            <v>7000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-Alt"/>
      <sheetName val="D"/>
      <sheetName val="C"/>
      <sheetName val="SAT-DAS"/>
      <sheetName val="Ls-Mob"/>
      <sheetName val="Ur-Anl"/>
      <sheetName val="ANL"/>
      <sheetName val="BQ"/>
      <sheetName val="REKAP"/>
      <sheetName val="SCH"/>
      <sheetName val="ONSITE"/>
      <sheetName val="PLANT"/>
      <sheetName val="LAMP"/>
      <sheetName val="DF-UTM"/>
      <sheetName val="DF-ALT"/>
      <sheetName val="STAF"/>
      <sheetName val="SUBKON"/>
      <sheetName val="In-Umum"/>
    </sheetNames>
    <sheetDataSet>
      <sheetData sheetId="0"/>
      <sheetData sheetId="1"/>
      <sheetData sheetId="2"/>
      <sheetData sheetId="3">
        <row r="27">
          <cell r="I27">
            <v>35200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Rekap Biaya"/>
      <sheetName val="Kuantitas &amp; Harga"/>
      <sheetName val="K&amp;H AIR BERSIH"/>
      <sheetName val="Mobilisasi (2)"/>
      <sheetName val="Analisa"/>
      <sheetName val="ANL PIPA"/>
      <sheetName val="Analisa2"/>
      <sheetName val="DIV 4"/>
      <sheetName val="DIV 5"/>
      <sheetName val="DIV6"/>
      <sheetName val="Anl. Teknik"/>
      <sheetName val="Anl Teknik 2"/>
      <sheetName val="Harga Satuan"/>
      <sheetName val="DAFTAR aLAT"/>
      <sheetName val="Basic Price"/>
      <sheetName val="Mata Utama"/>
      <sheetName val="Personalia"/>
      <sheetName val="Personalia (2)"/>
      <sheetName val="Peralatan"/>
      <sheetName val="Subkontrak"/>
      <sheetName val="MO Site"/>
      <sheetName val="Jdwl Pelksnn"/>
      <sheetName val="Jadwal Alat"/>
      <sheetName val="JP"/>
      <sheetName val="P.Batu"/>
      <sheetName val="P. Aspal"/>
      <sheetName val="Dftr Lmp Pnwr"/>
      <sheetName val="Dftr Simak"/>
      <sheetName val="SBR"/>
      <sheetName val="MPU"/>
    </sheetNames>
    <sheetDataSet>
      <sheetData sheetId="0"/>
      <sheetData sheetId="1"/>
      <sheetData sheetId="2">
        <row r="87">
          <cell r="A87" t="str">
            <v>4.2 (1)</v>
          </cell>
          <cell r="C87" t="str">
            <v>Lapis Pondasi Agregat Kelas A</v>
          </cell>
          <cell r="F87" t="str">
            <v>M3</v>
          </cell>
          <cell r="H87">
            <v>596434.47751322738</v>
          </cell>
          <cell r="I87">
            <v>0</v>
          </cell>
        </row>
        <row r="88">
          <cell r="A88" t="str">
            <v>4.2 (2)</v>
          </cell>
          <cell r="C88" t="str">
            <v>Lapis Pondasi Agregat Kelas B Untuk Bahu Jalan</v>
          </cell>
          <cell r="F88" t="str">
            <v>M3</v>
          </cell>
          <cell r="G88">
            <v>300</v>
          </cell>
          <cell r="H88">
            <v>492700</v>
          </cell>
          <cell r="I88">
            <v>147810000</v>
          </cell>
        </row>
        <row r="89">
          <cell r="A89" t="str">
            <v>4.2 (3)</v>
          </cell>
          <cell r="C89" t="str">
            <v>Lapis Pondasi Semen Tanah</v>
          </cell>
          <cell r="F89" t="str">
            <v>Ton</v>
          </cell>
        </row>
        <row r="90">
          <cell r="A90" t="str">
            <v>4.2 (4)</v>
          </cell>
          <cell r="C90" t="str">
            <v>Semen Untuk Lapis Pondasi Semen Tanah</v>
          </cell>
          <cell r="F90" t="str">
            <v>M3</v>
          </cell>
        </row>
        <row r="91">
          <cell r="A91" t="str">
            <v>4.2 (5)</v>
          </cell>
          <cell r="C91" t="str">
            <v>Laburan Aspal Satu Lapis (BURTU)</v>
          </cell>
          <cell r="F91" t="str">
            <v>M2</v>
          </cell>
        </row>
        <row r="92">
          <cell r="A92" t="str">
            <v>4.2 (6)</v>
          </cell>
          <cell r="C92" t="str">
            <v>Bahan Aspal Untuk Pekerjaan Pelaburan</v>
          </cell>
          <cell r="F92" t="str">
            <v>Liter</v>
          </cell>
          <cell r="G92">
            <v>3000</v>
          </cell>
          <cell r="H92">
            <v>6900</v>
          </cell>
          <cell r="I92">
            <v>20700000</v>
          </cell>
        </row>
        <row r="93">
          <cell r="A93" t="str">
            <v>4.2 (7)</v>
          </cell>
          <cell r="C93" t="str">
            <v>Lapis Resap Pengikat</v>
          </cell>
          <cell r="F93" t="str">
            <v>Liter</v>
          </cell>
          <cell r="H93">
            <v>8729.6330000000016</v>
          </cell>
          <cell r="I93">
            <v>0</v>
          </cell>
        </row>
        <row r="97">
          <cell r="B97" t="str">
            <v>Jumlah Harga Pekerjaan DIVISI 4  (masuk pada Rekapitulasi Perkiraan Harga Pekerjaan)</v>
          </cell>
          <cell r="I97">
            <v>168510000</v>
          </cell>
        </row>
        <row r="100">
          <cell r="D100" t="str">
            <v>DIVISI  5.  PERKERASAN  BERBUTIR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regat Halus &amp; Kasar"/>
      <sheetName val="Agregat Kelas A"/>
      <sheetName val="Agregat Kelas B"/>
      <sheetName val="Agregat Kelas C"/>
    </sheetNames>
    <sheetDataSet>
      <sheetData sheetId="0">
        <row r="13">
          <cell r="H13">
            <v>45</v>
          </cell>
        </row>
        <row r="14">
          <cell r="H14">
            <v>55</v>
          </cell>
        </row>
        <row r="15">
          <cell r="H15">
            <v>30</v>
          </cell>
        </row>
        <row r="16">
          <cell r="H16">
            <v>70</v>
          </cell>
        </row>
        <row r="17">
          <cell r="H17">
            <v>1.8</v>
          </cell>
        </row>
        <row r="18">
          <cell r="H18">
            <v>1.67</v>
          </cell>
        </row>
        <row r="19">
          <cell r="H19">
            <v>1.8</v>
          </cell>
        </row>
        <row r="20">
          <cell r="H20">
            <v>92000</v>
          </cell>
        </row>
      </sheetData>
      <sheetData sheetId="1"/>
      <sheetData sheetId="2"/>
      <sheetData sheetId="3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KULIT"/>
      <sheetName val="Rekap Bill"/>
      <sheetName val="Bill"/>
      <sheetName val="Daftar Harga"/>
      <sheetName val="Analisa Harga"/>
      <sheetName val="URAIAN"/>
      <sheetName val="R"/>
      <sheetName val="Schedule"/>
      <sheetName val="Lamp. 1"/>
      <sheetName val="Mat.On.site"/>
      <sheetName val="Lamp. 5"/>
      <sheetName val="Lamp. 6a"/>
      <sheetName val="Lamp. 6b"/>
      <sheetName val="Lamp. 7"/>
      <sheetName val="Lamp. 9 (ECR)"/>
      <sheetName val="Lamp. 9"/>
      <sheetName val="Lamp. 10"/>
      <sheetName val="Lamp. 11"/>
      <sheetName val="Lamp. 12"/>
      <sheetName val="Lamp. 12 (2)"/>
      <sheetName val="Lamp. 13"/>
      <sheetName val="Lamp. 14"/>
      <sheetName val="Surat"/>
      <sheetName val="A,B,C,D,E"/>
      <sheetName val="Neraca"/>
      <sheetName val="F"/>
      <sheetName val="G"/>
      <sheetName val="H"/>
      <sheetName val="I"/>
      <sheetName val="For.1d"/>
      <sheetName val="df-kwalif."/>
    </sheetNames>
    <sheetDataSet>
      <sheetData sheetId="0">
        <row r="2">
          <cell r="B2" t="str">
            <v>Proyek</v>
          </cell>
        </row>
      </sheetData>
      <sheetData sheetId="1"/>
      <sheetData sheetId="2">
        <row r="31">
          <cell r="H31">
            <v>95350000</v>
          </cell>
        </row>
      </sheetData>
      <sheetData sheetId="3">
        <row r="20">
          <cell r="I20">
            <v>6888000</v>
          </cell>
        </row>
        <row r="44">
          <cell r="I44">
            <v>0</v>
          </cell>
        </row>
        <row r="67">
          <cell r="I67">
            <v>6840809.8399999999</v>
          </cell>
        </row>
        <row r="93">
          <cell r="I93">
            <v>0</v>
          </cell>
        </row>
        <row r="103">
          <cell r="I103">
            <v>0</v>
          </cell>
        </row>
        <row r="130">
          <cell r="I130">
            <v>0</v>
          </cell>
        </row>
        <row r="270">
          <cell r="I270">
            <v>72953641.890000001</v>
          </cell>
        </row>
        <row r="327">
          <cell r="I327">
            <v>0</v>
          </cell>
        </row>
        <row r="385">
          <cell r="I385">
            <v>0</v>
          </cell>
        </row>
        <row r="399">
          <cell r="I399">
            <v>0</v>
          </cell>
        </row>
      </sheetData>
      <sheetData sheetId="4">
        <row r="17">
          <cell r="E17" t="str">
            <v>Mandor</v>
          </cell>
        </row>
        <row r="18">
          <cell r="E18" t="str">
            <v>Tukang</v>
          </cell>
        </row>
        <row r="20">
          <cell r="E20" t="str">
            <v>Pekerja</v>
          </cell>
        </row>
      </sheetData>
      <sheetData sheetId="5">
        <row r="99">
          <cell r="K99">
            <v>6888000</v>
          </cell>
        </row>
        <row r="212">
          <cell r="K212">
            <v>475530</v>
          </cell>
        </row>
        <row r="453">
          <cell r="K453">
            <v>52881</v>
          </cell>
        </row>
        <row r="574">
          <cell r="K574">
            <v>2050</v>
          </cell>
        </row>
        <row r="637">
          <cell r="K637">
            <v>255633</v>
          </cell>
        </row>
        <row r="700">
          <cell r="K700">
            <v>328911</v>
          </cell>
        </row>
        <row r="1502">
          <cell r="K1502">
            <v>574598</v>
          </cell>
        </row>
      </sheetData>
      <sheetData sheetId="6">
        <row r="889">
          <cell r="J889">
            <v>2.9629629629629617E-2</v>
          </cell>
        </row>
        <row r="1173">
          <cell r="J1173">
            <v>4.0650406504065045E-3</v>
          </cell>
        </row>
        <row r="1184">
          <cell r="J1184">
            <v>3.0487804878048786E-3</v>
          </cell>
        </row>
        <row r="1204">
          <cell r="J1204">
            <v>5.3353658536585379E-3</v>
          </cell>
        </row>
        <row r="1218">
          <cell r="J1218">
            <v>1.2195121951219514E-2</v>
          </cell>
        </row>
        <row r="1219">
          <cell r="J1219">
            <v>3.0487804878048786E-3</v>
          </cell>
        </row>
        <row r="1641">
          <cell r="J1641">
            <v>5.9259259259259234E-2</v>
          </cell>
        </row>
        <row r="1657">
          <cell r="J1657">
            <v>0.37125925925925929</v>
          </cell>
        </row>
        <row r="1681">
          <cell r="J1681">
            <v>3.518518518518518E-2</v>
          </cell>
        </row>
        <row r="1692">
          <cell r="J1692">
            <v>2.4691358024691357E-2</v>
          </cell>
        </row>
        <row r="1714">
          <cell r="J1714">
            <v>2.3333333333333334E-2</v>
          </cell>
        </row>
        <row r="1787">
          <cell r="J1787">
            <v>2.5679012345679007E-2</v>
          </cell>
        </row>
        <row r="1810">
          <cell r="J1810">
            <v>0.33212121212121209</v>
          </cell>
        </row>
        <row r="1826">
          <cell r="J1826">
            <v>3.518518518518518E-2</v>
          </cell>
        </row>
        <row r="1836">
          <cell r="J1836">
            <v>1.9753086419753086E-2</v>
          </cell>
        </row>
        <row r="1859">
          <cell r="J1859">
            <v>2.3333333333333334E-2</v>
          </cell>
        </row>
        <row r="1927">
          <cell r="J1927">
            <v>1.2</v>
          </cell>
        </row>
        <row r="1942">
          <cell r="J1942">
            <v>2.5679012345679007E-2</v>
          </cell>
        </row>
        <row r="1965">
          <cell r="J1965">
            <v>6.531986531986532E-2</v>
          </cell>
        </row>
        <row r="1981">
          <cell r="J1981">
            <v>2.7777777777777776E-2</v>
          </cell>
        </row>
        <row r="1992">
          <cell r="J1992">
            <v>1.9753086419753086E-2</v>
          </cell>
        </row>
        <row r="2002">
          <cell r="J2002">
            <v>2.3333333333333334E-2</v>
          </cell>
        </row>
        <row r="2027">
          <cell r="J2027">
            <v>0.17975308641975304</v>
          </cell>
        </row>
        <row r="2028">
          <cell r="J2028">
            <v>2.5679012345679004E-2</v>
          </cell>
        </row>
        <row r="2088">
          <cell r="J2088">
            <v>3.3333333333333335E-3</v>
          </cell>
        </row>
        <row r="2096">
          <cell r="J2096">
            <v>3.5714285714285713E-3</v>
          </cell>
        </row>
        <row r="2111">
          <cell r="J2111">
            <v>3.3333333333333335E-3</v>
          </cell>
        </row>
        <row r="3812">
          <cell r="J3812">
            <v>0.875</v>
          </cell>
        </row>
        <row r="3813">
          <cell r="J3813">
            <v>1.75</v>
          </cell>
        </row>
        <row r="3814">
          <cell r="J3814">
            <v>5.25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AB2"/>
      <sheetName val="RAB2 (2)"/>
      <sheetName val="R"/>
      <sheetName val="S_DAYA"/>
      <sheetName val="AHS"/>
      <sheetName val="Terbilang"/>
      <sheetName val="Hitung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5">
          <cell r="C95" t="str">
            <v>PERALATAN</v>
          </cell>
        </row>
        <row r="97">
          <cell r="C97" t="str">
            <v>Vibro Compactor</v>
          </cell>
          <cell r="D97" t="str">
            <v>jam</v>
          </cell>
          <cell r="E97">
            <v>165000</v>
          </cell>
        </row>
        <row r="98">
          <cell r="C98" t="str">
            <v>Dump Truck</v>
          </cell>
          <cell r="D98" t="str">
            <v>jam</v>
          </cell>
          <cell r="E98">
            <v>100000</v>
          </cell>
        </row>
        <row r="99">
          <cell r="C99" t="str">
            <v>Cargo Truck</v>
          </cell>
          <cell r="D99" t="str">
            <v>jam</v>
          </cell>
          <cell r="E99">
            <v>60000</v>
          </cell>
        </row>
        <row r="100">
          <cell r="C100" t="str">
            <v>Water Tank Truck</v>
          </cell>
          <cell r="D100" t="str">
            <v>jam</v>
          </cell>
          <cell r="E100">
            <v>55000</v>
          </cell>
        </row>
        <row r="101">
          <cell r="C101" t="str">
            <v>Bulldozer</v>
          </cell>
          <cell r="D101" t="str">
            <v>jam</v>
          </cell>
          <cell r="E101">
            <v>150000</v>
          </cell>
        </row>
        <row r="102">
          <cell r="C102" t="str">
            <v>Motor Grader</v>
          </cell>
          <cell r="D102" t="str">
            <v>jam</v>
          </cell>
          <cell r="E102">
            <v>150000</v>
          </cell>
        </row>
        <row r="103">
          <cell r="C103" t="str">
            <v>Excavator PC-200</v>
          </cell>
          <cell r="D103" t="str">
            <v>jam</v>
          </cell>
          <cell r="E103">
            <v>160000</v>
          </cell>
        </row>
        <row r="104">
          <cell r="C104" t="str">
            <v>Wheel Loader</v>
          </cell>
          <cell r="D104" t="str">
            <v>jam</v>
          </cell>
          <cell r="E104">
            <v>140000</v>
          </cell>
        </row>
        <row r="105">
          <cell r="C105" t="str">
            <v>Crawler Crane 150 ton</v>
          </cell>
          <cell r="D105" t="str">
            <v>jam</v>
          </cell>
          <cell r="E105">
            <v>420000</v>
          </cell>
        </row>
        <row r="106">
          <cell r="C106" t="str">
            <v>Crawler Crane 45 ton</v>
          </cell>
          <cell r="D106" t="str">
            <v>jam</v>
          </cell>
          <cell r="E106">
            <v>320000</v>
          </cell>
        </row>
        <row r="107">
          <cell r="C107" t="str">
            <v>Crawler Crane 25 ton</v>
          </cell>
          <cell r="D107" t="str">
            <v>jam</v>
          </cell>
          <cell r="E107">
            <v>200000</v>
          </cell>
        </row>
        <row r="108">
          <cell r="C108" t="str">
            <v>Crane Pancang</v>
          </cell>
          <cell r="D108" t="str">
            <v>jam</v>
          </cell>
          <cell r="E108">
            <v>225000</v>
          </cell>
        </row>
        <row r="109">
          <cell r="C109" t="str">
            <v>Diesel Hammer K-45</v>
          </cell>
          <cell r="D109" t="str">
            <v>jam</v>
          </cell>
          <cell r="E109">
            <v>139000</v>
          </cell>
        </row>
        <row r="110">
          <cell r="C110" t="str">
            <v>Diesel Hammer K-60</v>
          </cell>
          <cell r="D110" t="str">
            <v>jam</v>
          </cell>
          <cell r="E110">
            <v>250000</v>
          </cell>
        </row>
        <row r="111">
          <cell r="C111" t="str">
            <v>Vibrating Hammer</v>
          </cell>
          <cell r="D111" t="str">
            <v>jam</v>
          </cell>
          <cell r="E111">
            <v>200000</v>
          </cell>
        </row>
        <row r="112">
          <cell r="C112" t="str">
            <v>Ponton Kerja</v>
          </cell>
          <cell r="D112" t="str">
            <v>jam</v>
          </cell>
          <cell r="E112">
            <v>160000</v>
          </cell>
        </row>
        <row r="113">
          <cell r="C113" t="str">
            <v>Ponton Material</v>
          </cell>
          <cell r="D113" t="str">
            <v>jam</v>
          </cell>
          <cell r="E113">
            <v>225000</v>
          </cell>
        </row>
        <row r="114">
          <cell r="C114" t="str">
            <v>Ponton Pancang</v>
          </cell>
          <cell r="D114" t="str">
            <v>jam</v>
          </cell>
          <cell r="E114">
            <v>175000</v>
          </cell>
        </row>
        <row r="115">
          <cell r="C115" t="str">
            <v>Tug Boat</v>
          </cell>
          <cell r="D115" t="str">
            <v>jam</v>
          </cell>
          <cell r="E115">
            <v>200000</v>
          </cell>
        </row>
        <row r="116">
          <cell r="C116" t="str">
            <v>Speed Boat</v>
          </cell>
          <cell r="D116" t="str">
            <v>jam</v>
          </cell>
          <cell r="E116">
            <v>75000</v>
          </cell>
        </row>
        <row r="117">
          <cell r="C117" t="str">
            <v>Compressor</v>
          </cell>
          <cell r="D117" t="str">
            <v>jam</v>
          </cell>
          <cell r="E117">
            <v>75000</v>
          </cell>
        </row>
        <row r="118">
          <cell r="C118" t="str">
            <v>Trafo Las</v>
          </cell>
          <cell r="D118" t="str">
            <v>jam</v>
          </cell>
          <cell r="E118">
            <v>8000</v>
          </cell>
        </row>
        <row r="119">
          <cell r="C119" t="str">
            <v>Nald Vibrator</v>
          </cell>
          <cell r="D119" t="str">
            <v>jam</v>
          </cell>
          <cell r="E119">
            <v>17500</v>
          </cell>
        </row>
        <row r="120">
          <cell r="C120" t="str">
            <v>Concrete Pump</v>
          </cell>
          <cell r="D120" t="str">
            <v>jam</v>
          </cell>
          <cell r="E120">
            <v>150000</v>
          </cell>
        </row>
        <row r="121">
          <cell r="C121" t="str">
            <v>Concrete Mixer</v>
          </cell>
          <cell r="D121" t="str">
            <v>jam</v>
          </cell>
          <cell r="E121">
            <v>36200</v>
          </cell>
        </row>
        <row r="122">
          <cell r="C122" t="str">
            <v>Batching Plant</v>
          </cell>
          <cell r="D122" t="str">
            <v>jam</v>
          </cell>
          <cell r="E122">
            <v>175000</v>
          </cell>
        </row>
        <row r="123">
          <cell r="C123" t="str">
            <v xml:space="preserve">Genset </v>
          </cell>
          <cell r="D123" t="str">
            <v>jam</v>
          </cell>
          <cell r="E123">
            <v>65000</v>
          </cell>
        </row>
        <row r="124">
          <cell r="C124" t="str">
            <v>Water Pump</v>
          </cell>
          <cell r="D124" t="str">
            <v>jam</v>
          </cell>
          <cell r="E124">
            <v>10000</v>
          </cell>
        </row>
        <row r="125">
          <cell r="C125" t="str">
            <v>Water Jet Pump</v>
          </cell>
          <cell r="D125" t="str">
            <v>jam</v>
          </cell>
          <cell r="E125">
            <v>30000</v>
          </cell>
        </row>
        <row r="126">
          <cell r="C126" t="str">
            <v>Waste Water Pump</v>
          </cell>
          <cell r="D126" t="str">
            <v>jam</v>
          </cell>
          <cell r="E126">
            <v>25000</v>
          </cell>
        </row>
        <row r="127">
          <cell r="C127" t="str">
            <v>Stamper</v>
          </cell>
          <cell r="D127" t="str">
            <v>jam</v>
          </cell>
          <cell r="E127">
            <v>16000</v>
          </cell>
        </row>
        <row r="128">
          <cell r="C128" t="str">
            <v>Chain Saw</v>
          </cell>
          <cell r="D128" t="str">
            <v>jam</v>
          </cell>
          <cell r="E128">
            <v>17500</v>
          </cell>
        </row>
        <row r="129">
          <cell r="C129" t="str">
            <v>Bar Bender</v>
          </cell>
          <cell r="D129" t="str">
            <v>jam</v>
          </cell>
          <cell r="E129">
            <v>4500</v>
          </cell>
        </row>
        <row r="130">
          <cell r="C130" t="str">
            <v>Bar Cutter</v>
          </cell>
          <cell r="D130" t="str">
            <v>jam</v>
          </cell>
          <cell r="E130">
            <v>4500</v>
          </cell>
        </row>
        <row r="131">
          <cell r="C131" t="str">
            <v>Landing Ship Tank</v>
          </cell>
          <cell r="D131" t="str">
            <v>jam</v>
          </cell>
          <cell r="E131">
            <v>225000</v>
          </cell>
        </row>
        <row r="132">
          <cell r="C132" t="str">
            <v>Power Pack</v>
          </cell>
          <cell r="D132" t="str">
            <v>jam</v>
          </cell>
          <cell r="E132">
            <v>45000</v>
          </cell>
        </row>
        <row r="133">
          <cell r="C133" t="str">
            <v>Hydraulic Jack 150 ton</v>
          </cell>
          <cell r="D133" t="str">
            <v>jam</v>
          </cell>
          <cell r="E133">
            <v>35000</v>
          </cell>
        </row>
        <row r="134">
          <cell r="C134" t="str">
            <v>Alat Test Ultrasonic</v>
          </cell>
          <cell r="D134" t="str">
            <v>jam</v>
          </cell>
          <cell r="E134">
            <v>22500</v>
          </cell>
        </row>
        <row r="135">
          <cell r="C135" t="str">
            <v>Truck Mixer</v>
          </cell>
          <cell r="D135" t="str">
            <v>jam</v>
          </cell>
          <cell r="E135">
            <v>100000</v>
          </cell>
        </row>
        <row r="136">
          <cell r="C136" t="str">
            <v>Asphalt Sprayer</v>
          </cell>
          <cell r="D136" t="str">
            <v>jam</v>
          </cell>
          <cell r="E136">
            <v>50000</v>
          </cell>
        </row>
        <row r="137">
          <cell r="C137" t="str">
            <v>AMP</v>
          </cell>
          <cell r="D137" t="str">
            <v>jam</v>
          </cell>
          <cell r="E137">
            <v>900000</v>
          </cell>
        </row>
        <row r="138">
          <cell r="C138" t="str">
            <v>Asphalt Finisher</v>
          </cell>
          <cell r="D138" t="str">
            <v>jam</v>
          </cell>
          <cell r="E138">
            <v>300000</v>
          </cell>
        </row>
        <row r="139">
          <cell r="C139" t="str">
            <v>Tandem Roller</v>
          </cell>
          <cell r="D139" t="str">
            <v>jam</v>
          </cell>
          <cell r="E139">
            <v>125000</v>
          </cell>
        </row>
        <row r="140">
          <cell r="C140" t="str">
            <v>P. Tyre Roller</v>
          </cell>
          <cell r="D140" t="str">
            <v>jam</v>
          </cell>
          <cell r="E140">
            <v>150000</v>
          </cell>
        </row>
        <row r="141">
          <cell r="D141" t="str">
            <v>jam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Anl-2 (2)"/>
      <sheetName val="Anl-2"/>
      <sheetName val="Lbr-Pngs"/>
      <sheetName val="KULIT-1 (2)"/>
      <sheetName val="KULIT-1"/>
      <sheetName val="rab2001"/>
      <sheetName val="rekap"/>
    </sheetNames>
    <sheetDataSet>
      <sheetData sheetId="0">
        <row r="21">
          <cell r="D21">
            <v>57500</v>
          </cell>
        </row>
        <row r="40">
          <cell r="D40">
            <v>5700</v>
          </cell>
        </row>
        <row r="88">
          <cell r="D88">
            <v>48300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 o Q"/>
      <sheetName val="anlsa"/>
      <sheetName val="a-2"/>
      <sheetName val="a-3"/>
      <sheetName val="a-4"/>
      <sheetName val="analisa teknik"/>
      <sheetName val="Upah&amp;Bhn"/>
      <sheetName val="Anl.bahan"/>
      <sheetName val="CURVA S "/>
      <sheetName val="CURVA balok"/>
      <sheetName val="anlsa alat"/>
    </sheetNames>
    <sheetDataSet>
      <sheetData sheetId="0"/>
      <sheetData sheetId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URAIAN PENGGUNAAN ALAT / ANALISA ALAT</v>
          </cell>
          <cell r="AO1" t="str">
            <v>DAFTAR BIAYA SEWA PERALATAN PER JAM KERJA</v>
          </cell>
          <cell r="BA1" t="str">
            <v>KONFIRMASI KAPASITAS PLANT PEMECAH BATU</v>
          </cell>
        </row>
        <row r="2">
          <cell r="BA2" t="str">
            <v>STONE CRUSHER</v>
          </cell>
        </row>
        <row r="3">
          <cell r="AW3" t="str">
            <v>BIAYA</v>
          </cell>
        </row>
        <row r="4">
          <cell r="A4" t="str">
            <v>No.</v>
          </cell>
          <cell r="C4" t="str">
            <v>U R A I A N</v>
          </cell>
          <cell r="G4" t="str">
            <v>KODE</v>
          </cell>
          <cell r="H4" t="str">
            <v>KOEF.</v>
          </cell>
          <cell r="I4" t="str">
            <v>SATUAN</v>
          </cell>
          <cell r="J4" t="str">
            <v>KET.</v>
          </cell>
          <cell r="AO4" t="str">
            <v>No.</v>
          </cell>
          <cell r="AP4" t="str">
            <v>URAIAN</v>
          </cell>
          <cell r="AR4" t="str">
            <v>KO</v>
          </cell>
          <cell r="AS4" t="str">
            <v>HP</v>
          </cell>
          <cell r="AT4" t="str">
            <v>KAP.</v>
          </cell>
          <cell r="AV4" t="str">
            <v>HARGA</v>
          </cell>
          <cell r="AW4" t="str">
            <v>SEWA</v>
          </cell>
          <cell r="AX4" t="str">
            <v>KET.</v>
          </cell>
        </row>
        <row r="5">
          <cell r="AR5" t="str">
            <v>DE</v>
          </cell>
          <cell r="AV5" t="str">
            <v>ALAT</v>
          </cell>
          <cell r="AW5" t="str">
            <v>ALAT/JAM</v>
          </cell>
          <cell r="BA5" t="str">
            <v>No.</v>
          </cell>
          <cell r="BC5" t="str">
            <v>U R A I A N</v>
          </cell>
          <cell r="BG5" t="str">
            <v>KODE</v>
          </cell>
          <cell r="BH5" t="str">
            <v>KOEF.</v>
          </cell>
          <cell r="BI5" t="str">
            <v>SATUAN</v>
          </cell>
          <cell r="BJ5" t="str">
            <v>KET.</v>
          </cell>
        </row>
        <row r="6">
          <cell r="AW6" t="str">
            <v>(di luar PPN)</v>
          </cell>
        </row>
        <row r="7">
          <cell r="A7" t="str">
            <v>A.</v>
          </cell>
          <cell r="C7" t="str">
            <v>URAIAN PERALATAN</v>
          </cell>
        </row>
        <row r="8">
          <cell r="A8" t="str">
            <v xml:space="preserve">       1.</v>
          </cell>
          <cell r="C8" t="str">
            <v>Jenis Peralatan</v>
          </cell>
          <cell r="G8" t="str">
            <v>ASPHALT MIXING PLANT</v>
          </cell>
          <cell r="J8" t="str">
            <v>E01</v>
          </cell>
          <cell r="AO8" t="str">
            <v>1.</v>
          </cell>
          <cell r="AQ8" t="str">
            <v>ASPHALT MIXING PLANT</v>
          </cell>
          <cell r="AR8" t="str">
            <v>E01</v>
          </cell>
          <cell r="AS8">
            <v>150</v>
          </cell>
          <cell r="AT8">
            <v>50</v>
          </cell>
          <cell r="AU8" t="str">
            <v>T/Jam</v>
          </cell>
          <cell r="AV8">
            <v>1917000000</v>
          </cell>
          <cell r="AW8">
            <v>2557173</v>
          </cell>
          <cell r="AX8" t="str">
            <v xml:space="preserve"> Alat Baru</v>
          </cell>
          <cell r="BA8" t="str">
            <v>I</v>
          </cell>
          <cell r="BC8" t="str">
            <v>BERAT JENIS BAHAN</v>
          </cell>
        </row>
        <row r="9">
          <cell r="A9" t="str">
            <v xml:space="preserve">       2.</v>
          </cell>
          <cell r="C9" t="str">
            <v>Tenaga</v>
          </cell>
          <cell r="G9" t="str">
            <v>Pw</v>
          </cell>
          <cell r="H9">
            <v>150</v>
          </cell>
          <cell r="I9" t="str">
            <v>HP</v>
          </cell>
          <cell r="AO9" t="str">
            <v>2.</v>
          </cell>
          <cell r="AQ9" t="str">
            <v>ASPHALT FINISHER</v>
          </cell>
          <cell r="AR9" t="str">
            <v>E02</v>
          </cell>
          <cell r="AS9">
            <v>47</v>
          </cell>
          <cell r="AT9">
            <v>6</v>
          </cell>
          <cell r="AU9" t="str">
            <v>Ton</v>
          </cell>
          <cell r="AV9">
            <v>402600000.00000006</v>
          </cell>
          <cell r="AW9">
            <v>128461</v>
          </cell>
          <cell r="AX9" t="str">
            <v xml:space="preserve"> Alat Baru</v>
          </cell>
        </row>
        <row r="10">
          <cell r="A10" t="str">
            <v xml:space="preserve">       3.</v>
          </cell>
          <cell r="C10" t="str">
            <v>Kapasitas</v>
          </cell>
          <cell r="G10" t="str">
            <v>Cp</v>
          </cell>
          <cell r="H10">
            <v>50</v>
          </cell>
          <cell r="I10" t="str">
            <v>T/Jam</v>
          </cell>
          <cell r="AO10" t="str">
            <v>3.</v>
          </cell>
          <cell r="AQ10" t="str">
            <v>ASPHALT SPRAYER</v>
          </cell>
          <cell r="AR10" t="str">
            <v>E03</v>
          </cell>
          <cell r="AS10">
            <v>15</v>
          </cell>
          <cell r="AT10">
            <v>800</v>
          </cell>
          <cell r="AU10" t="str">
            <v>Liter</v>
          </cell>
          <cell r="AV10">
            <v>132000000.00000001</v>
          </cell>
          <cell r="AW10">
            <v>53119</v>
          </cell>
          <cell r="AX10" t="str">
            <v xml:space="preserve"> Alat Baru</v>
          </cell>
          <cell r="BA10" t="str">
            <v>1.</v>
          </cell>
          <cell r="BC10" t="str">
            <v>Agregat Base</v>
          </cell>
          <cell r="BG10" t="str">
            <v>D1</v>
          </cell>
          <cell r="BH10">
            <v>2.2000000000000002</v>
          </cell>
          <cell r="BI10" t="str">
            <v>Ton/M3</v>
          </cell>
        </row>
        <row r="11">
          <cell r="A11" t="str">
            <v xml:space="preserve">       4.</v>
          </cell>
          <cell r="C11" t="str">
            <v>Alat Baru              :</v>
          </cell>
          <cell r="D11" t="str">
            <v xml:space="preserve">  a.  Umur Ekonomis</v>
          </cell>
          <cell r="G11" t="str">
            <v>A</v>
          </cell>
          <cell r="H11">
            <v>10</v>
          </cell>
          <cell r="I11" t="str">
            <v>Tahun</v>
          </cell>
          <cell r="AO11" t="str">
            <v>4.</v>
          </cell>
          <cell r="AQ11" t="str">
            <v>BULLDOZER 100-150 HP</v>
          </cell>
          <cell r="AR11" t="str">
            <v>E04</v>
          </cell>
          <cell r="AS11">
            <v>140</v>
          </cell>
          <cell r="AT11" t="str">
            <v xml:space="preserve">          -</v>
          </cell>
          <cell r="AU11" t="str">
            <v/>
          </cell>
          <cell r="AV11">
            <v>1210000000</v>
          </cell>
          <cell r="AW11">
            <v>372059</v>
          </cell>
          <cell r="AX11" t="str">
            <v xml:space="preserve"> Alat Baru</v>
          </cell>
          <cell r="BA11" t="str">
            <v>2.</v>
          </cell>
          <cell r="BC11" t="str">
            <v>ATB / ATBL / AC / HRS</v>
          </cell>
          <cell r="BG11" t="str">
            <v>D2</v>
          </cell>
          <cell r="BH11">
            <v>2.2999999999999998</v>
          </cell>
          <cell r="BI11" t="str">
            <v>Ton/M3</v>
          </cell>
        </row>
        <row r="12">
          <cell r="D12" t="str">
            <v xml:space="preserve">  b.  Jam Kerja Dalam 1 Tahun</v>
          </cell>
          <cell r="G12" t="str">
            <v>W</v>
          </cell>
          <cell r="H12">
            <v>1500</v>
          </cell>
          <cell r="I12" t="str">
            <v>Jam</v>
          </cell>
          <cell r="AO12" t="str">
            <v>5.</v>
          </cell>
          <cell r="AQ12" t="str">
            <v>COMPRESSOR 4000-6500 L\M</v>
          </cell>
          <cell r="AR12" t="str">
            <v>E05</v>
          </cell>
          <cell r="AS12">
            <v>80</v>
          </cell>
          <cell r="AT12" t="str">
            <v xml:space="preserve">          -</v>
          </cell>
          <cell r="AU12" t="str">
            <v/>
          </cell>
          <cell r="AV12">
            <v>85800000</v>
          </cell>
          <cell r="AW12">
            <v>106017</v>
          </cell>
          <cell r="AX12" t="str">
            <v xml:space="preserve"> Alat Baru</v>
          </cell>
          <cell r="BA12" t="str">
            <v>3.</v>
          </cell>
          <cell r="BC12" t="str">
            <v>SBST / DBST</v>
          </cell>
          <cell r="BG12" t="str">
            <v>D3</v>
          </cell>
          <cell r="BH12">
            <v>2</v>
          </cell>
          <cell r="BI12" t="str">
            <v>Ton/M3</v>
          </cell>
        </row>
        <row r="13">
          <cell r="D13" t="str">
            <v xml:space="preserve">  c.  Harga Alat</v>
          </cell>
          <cell r="G13" t="str">
            <v>B</v>
          </cell>
          <cell r="H13">
            <v>1917000000</v>
          </cell>
          <cell r="I13" t="str">
            <v>Rupiah</v>
          </cell>
          <cell r="AO13" t="str">
            <v>6.</v>
          </cell>
          <cell r="AQ13" t="str">
            <v>CONCRETE MIXER 0.3-0.6 M3</v>
          </cell>
          <cell r="AR13" t="str">
            <v>E06</v>
          </cell>
          <cell r="AS13">
            <v>15</v>
          </cell>
          <cell r="AT13">
            <v>500</v>
          </cell>
          <cell r="AU13" t="str">
            <v>Liter</v>
          </cell>
          <cell r="AV13">
            <v>39600000</v>
          </cell>
          <cell r="AW13">
            <v>36723</v>
          </cell>
          <cell r="AX13" t="str">
            <v xml:space="preserve"> Alat Baru</v>
          </cell>
        </row>
        <row r="14">
          <cell r="A14" t="str">
            <v xml:space="preserve">       5.</v>
          </cell>
          <cell r="C14" t="str">
            <v>Alat Yang Dipakai  :</v>
          </cell>
          <cell r="D14" t="str">
            <v xml:space="preserve">  a.  Umur Ekonomis</v>
          </cell>
          <cell r="G14" t="str">
            <v>A'</v>
          </cell>
          <cell r="H14">
            <v>10</v>
          </cell>
          <cell r="I14" t="str">
            <v>Tahun</v>
          </cell>
          <cell r="J14" t="str">
            <v xml:space="preserve"> Alat Baru</v>
          </cell>
          <cell r="AO14" t="str">
            <v>7.</v>
          </cell>
          <cell r="AQ14" t="str">
            <v>CRANE 10-15 TON</v>
          </cell>
          <cell r="AR14" t="str">
            <v>E07</v>
          </cell>
          <cell r="AS14">
            <v>150</v>
          </cell>
          <cell r="AT14">
            <v>15</v>
          </cell>
          <cell r="AU14" t="str">
            <v>Ton</v>
          </cell>
          <cell r="AV14">
            <v>836000000.00000012</v>
          </cell>
          <cell r="AW14">
            <v>311899</v>
          </cell>
          <cell r="AX14" t="str">
            <v xml:space="preserve"> Alat Baru</v>
          </cell>
          <cell r="BA14" t="str">
            <v>II</v>
          </cell>
          <cell r="BC14" t="str">
            <v>TEBAL RATA-RATA HAMPARAN PADAT</v>
          </cell>
        </row>
        <row r="15">
          <cell r="D15" t="str">
            <v xml:space="preserve">  b.  Jam Kerja Dalam 1 Tahun </v>
          </cell>
          <cell r="G15" t="str">
            <v>W'</v>
          </cell>
          <cell r="H15">
            <v>1500</v>
          </cell>
          <cell r="I15" t="str">
            <v>Jam</v>
          </cell>
          <cell r="J15" t="str">
            <v xml:space="preserve"> Alat Baru</v>
          </cell>
          <cell r="AO15" t="str">
            <v>8.</v>
          </cell>
          <cell r="AQ15" t="str">
            <v>DUMP TRUCK 3-4 M3</v>
          </cell>
          <cell r="AR15" t="str">
            <v>E08</v>
          </cell>
          <cell r="AS15">
            <v>100</v>
          </cell>
          <cell r="AT15">
            <v>6</v>
          </cell>
          <cell r="AU15" t="str">
            <v>Ton</v>
          </cell>
          <cell r="AV15">
            <v>209000000.00000003</v>
          </cell>
          <cell r="AW15">
            <v>147873</v>
          </cell>
          <cell r="AX15" t="str">
            <v xml:space="preserve"> Alat Baru</v>
          </cell>
        </row>
        <row r="16">
          <cell r="D16" t="str">
            <v xml:space="preserve">  c.  Harga Alat   (*)</v>
          </cell>
          <cell r="G16" t="str">
            <v>B'</v>
          </cell>
          <cell r="H16">
            <v>1917000000</v>
          </cell>
          <cell r="I16" t="str">
            <v>Rupiah</v>
          </cell>
          <cell r="J16" t="str">
            <v xml:space="preserve"> Alat Baru</v>
          </cell>
          <cell r="AO16" t="str">
            <v>9.</v>
          </cell>
          <cell r="AQ16" t="str">
            <v>DUMP TRUCK</v>
          </cell>
          <cell r="AR16" t="str">
            <v>E09</v>
          </cell>
          <cell r="AS16">
            <v>125</v>
          </cell>
          <cell r="AT16">
            <v>8</v>
          </cell>
          <cell r="AU16" t="str">
            <v>Ton</v>
          </cell>
          <cell r="AV16">
            <v>330000000</v>
          </cell>
          <cell r="AW16">
            <v>194051</v>
          </cell>
          <cell r="AX16" t="str">
            <v xml:space="preserve"> Alat Baru</v>
          </cell>
          <cell r="BA16" t="str">
            <v>1.</v>
          </cell>
          <cell r="BC16" t="str">
            <v>Agregat Base</v>
          </cell>
          <cell r="BG16" t="str">
            <v>t1</v>
          </cell>
          <cell r="BH16">
            <v>0.15</v>
          </cell>
          <cell r="BI16" t="str">
            <v>M</v>
          </cell>
        </row>
        <row r="17">
          <cell r="AO17" t="str">
            <v>10.</v>
          </cell>
          <cell r="AQ17" t="str">
            <v>EXCAVATOR 80-140 HP</v>
          </cell>
          <cell r="AR17" t="str">
            <v>E10</v>
          </cell>
          <cell r="AS17">
            <v>80</v>
          </cell>
          <cell r="AT17">
            <v>0.5</v>
          </cell>
          <cell r="AU17" t="str">
            <v>M3</v>
          </cell>
          <cell r="AV17">
            <v>770000000.00000012</v>
          </cell>
          <cell r="AW17">
            <v>233384</v>
          </cell>
          <cell r="AX17" t="str">
            <v xml:space="preserve"> Alat Baru</v>
          </cell>
          <cell r="BA17" t="str">
            <v>2.</v>
          </cell>
          <cell r="BC17" t="str">
            <v>Asphalt Concrete (AC)</v>
          </cell>
          <cell r="BG17" t="str">
            <v>t2</v>
          </cell>
          <cell r="BH17">
            <v>0.04</v>
          </cell>
          <cell r="BI17" t="str">
            <v>M</v>
          </cell>
        </row>
        <row r="18">
          <cell r="A18" t="str">
            <v>B.</v>
          </cell>
          <cell r="C18" t="str">
            <v>BIAYA PASTI PER JAM KERJA</v>
          </cell>
          <cell r="AO18" t="str">
            <v>11.</v>
          </cell>
          <cell r="AQ18" t="str">
            <v>FLAT BED TRUCK 3-4 M3</v>
          </cell>
          <cell r="AR18" t="str">
            <v>E11</v>
          </cell>
          <cell r="AS18">
            <v>100</v>
          </cell>
          <cell r="AT18">
            <v>4</v>
          </cell>
          <cell r="AU18" t="str">
            <v>M3</v>
          </cell>
          <cell r="AV18">
            <v>165000000</v>
          </cell>
          <cell r="AW18">
            <v>139683</v>
          </cell>
          <cell r="AX18" t="str">
            <v xml:space="preserve"> Alat Baru</v>
          </cell>
          <cell r="BA18" t="str">
            <v>3.</v>
          </cell>
          <cell r="BC18" t="str">
            <v>Hot Rolled Sheet (HRS)</v>
          </cell>
          <cell r="BG18" t="str">
            <v>t3</v>
          </cell>
          <cell r="BH18">
            <v>0.03</v>
          </cell>
          <cell r="BI18" t="str">
            <v>M</v>
          </cell>
        </row>
        <row r="19">
          <cell r="A19" t="str">
            <v xml:space="preserve">       1.</v>
          </cell>
          <cell r="C19" t="str">
            <v>Nilai Sisa Alat</v>
          </cell>
          <cell r="D19" t="str">
            <v>=  10 % x B</v>
          </cell>
          <cell r="G19" t="str">
            <v>C</v>
          </cell>
          <cell r="H19">
            <v>191700000</v>
          </cell>
          <cell r="I19" t="str">
            <v>Rupiah</v>
          </cell>
          <cell r="AO19" t="str">
            <v>12.</v>
          </cell>
          <cell r="AQ19" t="str">
            <v>GENERATOR SET</v>
          </cell>
          <cell r="AR19" t="str">
            <v>E12</v>
          </cell>
          <cell r="AS19">
            <v>175</v>
          </cell>
          <cell r="AT19">
            <v>125</v>
          </cell>
          <cell r="AU19" t="str">
            <v>KVA</v>
          </cell>
          <cell r="AV19">
            <v>140800000</v>
          </cell>
          <cell r="AW19">
            <v>206137</v>
          </cell>
          <cell r="AX19" t="str">
            <v xml:space="preserve"> Alat Baru</v>
          </cell>
          <cell r="BA19" t="str">
            <v>4.</v>
          </cell>
          <cell r="BC19" t="str">
            <v>SBST</v>
          </cell>
          <cell r="BG19" t="str">
            <v>t4</v>
          </cell>
          <cell r="BH19">
            <v>0.02</v>
          </cell>
          <cell r="BI19" t="str">
            <v>M</v>
          </cell>
        </row>
        <row r="20">
          <cell r="AO20" t="str">
            <v>13.</v>
          </cell>
          <cell r="AQ20" t="str">
            <v>MOTOR GRADER &gt;100 HP</v>
          </cell>
          <cell r="AR20" t="str">
            <v>E13</v>
          </cell>
          <cell r="AS20">
            <v>125</v>
          </cell>
          <cell r="AT20" t="str">
            <v xml:space="preserve">          -</v>
          </cell>
          <cell r="AU20" t="str">
            <v/>
          </cell>
          <cell r="AV20">
            <v>660000000</v>
          </cell>
          <cell r="AW20">
            <v>255482</v>
          </cell>
          <cell r="AX20" t="str">
            <v xml:space="preserve"> Alat Baru</v>
          </cell>
          <cell r="BA20" t="str">
            <v>5.</v>
          </cell>
          <cell r="BC20" t="str">
            <v>DBST</v>
          </cell>
          <cell r="BG20" t="str">
            <v>t5</v>
          </cell>
          <cell r="BH20">
            <v>0.03</v>
          </cell>
          <cell r="BI20" t="str">
            <v>M</v>
          </cell>
        </row>
        <row r="21">
          <cell r="A21" t="str">
            <v xml:space="preserve">       2.</v>
          </cell>
          <cell r="C21" t="str">
            <v>Faktor Angsuran Modal    =</v>
          </cell>
          <cell r="E21" t="str">
            <v>i x (1 + i)^A'</v>
          </cell>
          <cell r="G21" t="str">
            <v>D</v>
          </cell>
          <cell r="H21">
            <v>0.23852275688285915</v>
          </cell>
          <cell r="I21" t="str">
            <v>-</v>
          </cell>
          <cell r="AO21" t="str">
            <v>14.</v>
          </cell>
          <cell r="AQ21" t="str">
            <v>TRACK LOADER 75-100 HP</v>
          </cell>
          <cell r="AR21" t="str">
            <v>E14</v>
          </cell>
          <cell r="AS21">
            <v>90</v>
          </cell>
          <cell r="AT21">
            <v>1.6</v>
          </cell>
          <cell r="AU21" t="str">
            <v>M3</v>
          </cell>
          <cell r="AV21">
            <v>623700000</v>
          </cell>
          <cell r="AW21">
            <v>215610</v>
          </cell>
          <cell r="AX21" t="str">
            <v xml:space="preserve"> Alat Baru</v>
          </cell>
        </row>
        <row r="22">
          <cell r="E22" t="str">
            <v>(1 + i)^A' - 1</v>
          </cell>
          <cell r="AO22" t="str">
            <v>15.</v>
          </cell>
          <cell r="AQ22" t="str">
            <v>WHEEL LOADER 1.0-1.6 M3</v>
          </cell>
          <cell r="AR22" t="str">
            <v>E15</v>
          </cell>
          <cell r="AS22">
            <v>105</v>
          </cell>
          <cell r="AT22">
            <v>1.5</v>
          </cell>
          <cell r="AU22" t="str">
            <v>M3</v>
          </cell>
          <cell r="AV22">
            <v>715000000</v>
          </cell>
          <cell r="AW22">
            <v>246798</v>
          </cell>
          <cell r="AX22" t="str">
            <v xml:space="preserve"> Alat Baru</v>
          </cell>
          <cell r="BA22" t="str">
            <v>III</v>
          </cell>
          <cell r="BC22" t="str">
            <v>VOLUME PEKERJAAN</v>
          </cell>
        </row>
        <row r="23">
          <cell r="A23" t="str">
            <v xml:space="preserve">       3.</v>
          </cell>
          <cell r="C23" t="str">
            <v>Biaya Pasti per Jam  :</v>
          </cell>
          <cell r="AO23" t="str">
            <v>16.</v>
          </cell>
          <cell r="AQ23" t="str">
            <v>THREE WHEEL ROLLER 6-8 T</v>
          </cell>
          <cell r="AR23" t="str">
            <v>E16</v>
          </cell>
          <cell r="AS23">
            <v>55</v>
          </cell>
          <cell r="AT23">
            <v>8</v>
          </cell>
          <cell r="AU23" t="str">
            <v>Ton</v>
          </cell>
          <cell r="AV23">
            <v>264000000.00000003</v>
          </cell>
          <cell r="AW23">
            <v>115536</v>
          </cell>
          <cell r="AX23" t="str">
            <v xml:space="preserve"> Alat Baru</v>
          </cell>
        </row>
        <row r="24">
          <cell r="C24" t="str">
            <v>a.  Biaya Pengembalian Modal  =</v>
          </cell>
          <cell r="E24" t="str">
            <v>( B' - C ) x D</v>
          </cell>
          <cell r="G24" t="str">
            <v>E</v>
          </cell>
          <cell r="H24">
            <v>274348.87496666459</v>
          </cell>
          <cell r="I24" t="str">
            <v>Rupiah</v>
          </cell>
          <cell r="AO24" t="str">
            <v>17.</v>
          </cell>
          <cell r="AQ24" t="str">
            <v>TANDEM ROLLER 6-8 T.</v>
          </cell>
          <cell r="AR24" t="str">
            <v>E17</v>
          </cell>
          <cell r="AS24">
            <v>50</v>
          </cell>
          <cell r="AT24">
            <v>8</v>
          </cell>
          <cell r="AU24" t="str">
            <v>Ton</v>
          </cell>
          <cell r="AV24">
            <v>366300000</v>
          </cell>
          <cell r="AW24">
            <v>129849</v>
          </cell>
          <cell r="AX24" t="str">
            <v xml:space="preserve"> Alat Baru</v>
          </cell>
          <cell r="BA24" t="str">
            <v>1.</v>
          </cell>
          <cell r="BC24" t="str">
            <v>Agregat Kelas A</v>
          </cell>
          <cell r="BG24" t="str">
            <v>v1</v>
          </cell>
          <cell r="BH24">
            <v>0</v>
          </cell>
          <cell r="BI24" t="str">
            <v>M3</v>
          </cell>
        </row>
        <row r="25">
          <cell r="E25" t="str">
            <v>W'</v>
          </cell>
          <cell r="AO25" t="str">
            <v>18.</v>
          </cell>
          <cell r="AQ25" t="str">
            <v>TIRE ROLLER 8-10 T.</v>
          </cell>
          <cell r="AR25" t="str">
            <v>E18</v>
          </cell>
          <cell r="AS25">
            <v>60</v>
          </cell>
          <cell r="AT25">
            <v>10</v>
          </cell>
          <cell r="AU25" t="str">
            <v>Ton</v>
          </cell>
          <cell r="AV25">
            <v>386100000.00000006</v>
          </cell>
          <cell r="AW25">
            <v>150982</v>
          </cell>
          <cell r="AX25" t="str">
            <v xml:space="preserve"> Alat Baru</v>
          </cell>
          <cell r="BA25" t="str">
            <v>2.</v>
          </cell>
          <cell r="BC25" t="str">
            <v>Agregat Kelas B</v>
          </cell>
          <cell r="BG25" t="str">
            <v>v2</v>
          </cell>
          <cell r="BH25">
            <v>0</v>
          </cell>
          <cell r="BI25" t="str">
            <v>M3</v>
          </cell>
        </row>
        <row r="26">
          <cell r="AO26" t="str">
            <v>19.</v>
          </cell>
          <cell r="AQ26" t="str">
            <v>VIBRATORY ROLLER 5-8 T.</v>
          </cell>
          <cell r="AR26" t="str">
            <v>E19</v>
          </cell>
          <cell r="AS26">
            <v>75</v>
          </cell>
          <cell r="AT26">
            <v>7</v>
          </cell>
          <cell r="AU26" t="str">
            <v>Ton</v>
          </cell>
          <cell r="AV26">
            <v>431200000.00000006</v>
          </cell>
          <cell r="AW26">
            <v>174347</v>
          </cell>
          <cell r="AX26" t="str">
            <v xml:space="preserve"> Alat Baru</v>
          </cell>
          <cell r="BA26" t="str">
            <v>3.</v>
          </cell>
          <cell r="BC26" t="str">
            <v>ATB</v>
          </cell>
          <cell r="BG26" t="str">
            <v>v3</v>
          </cell>
          <cell r="BH26" t="e">
            <v>#REF!</v>
          </cell>
          <cell r="BI26" t="str">
            <v>M3</v>
          </cell>
        </row>
        <row r="27">
          <cell r="C27" t="str">
            <v>b.  Asuransi, dll =</v>
          </cell>
          <cell r="D27">
            <v>2E-3</v>
          </cell>
          <cell r="E27" t="str">
            <v xml:space="preserve">  x   B'</v>
          </cell>
          <cell r="G27" t="str">
            <v>F</v>
          </cell>
          <cell r="H27">
            <v>2556</v>
          </cell>
          <cell r="I27" t="str">
            <v>Rupiah</v>
          </cell>
          <cell r="AO27" t="str">
            <v>20.</v>
          </cell>
          <cell r="AQ27" t="str">
            <v>CONCRETE VIBRATOR</v>
          </cell>
          <cell r="AR27" t="str">
            <v>E20</v>
          </cell>
          <cell r="AS27">
            <v>10</v>
          </cell>
          <cell r="AT27" t="str">
            <v xml:space="preserve">          -</v>
          </cell>
          <cell r="AU27" t="str">
            <v/>
          </cell>
          <cell r="AV27">
            <v>21120000</v>
          </cell>
          <cell r="AW27">
            <v>32537</v>
          </cell>
          <cell r="AX27" t="str">
            <v xml:space="preserve"> Alat Baru</v>
          </cell>
          <cell r="BA27" t="str">
            <v>4.</v>
          </cell>
          <cell r="BC27" t="str">
            <v>ATBL</v>
          </cell>
          <cell r="BG27" t="str">
            <v>v4</v>
          </cell>
          <cell r="BH27" t="e">
            <v>#REF!</v>
          </cell>
          <cell r="BI27" t="str">
            <v>Ton</v>
          </cell>
        </row>
        <row r="28">
          <cell r="E28" t="str">
            <v>W'</v>
          </cell>
          <cell r="AO28" t="str">
            <v>21.</v>
          </cell>
          <cell r="AQ28" t="str">
            <v>STONE CRUSHER</v>
          </cell>
          <cell r="AR28" t="str">
            <v>E21</v>
          </cell>
          <cell r="AS28">
            <v>220</v>
          </cell>
          <cell r="AT28">
            <v>30</v>
          </cell>
          <cell r="AU28" t="str">
            <v>T/Jam</v>
          </cell>
          <cell r="AV28">
            <v>693000000</v>
          </cell>
          <cell r="AW28">
            <v>357162</v>
          </cell>
          <cell r="AX28" t="str">
            <v xml:space="preserve"> Alat Baru</v>
          </cell>
          <cell r="BA28" t="str">
            <v>5.</v>
          </cell>
          <cell r="BC28" t="str">
            <v>AC</v>
          </cell>
          <cell r="BG28" t="str">
            <v>v5</v>
          </cell>
          <cell r="BH28" t="e">
            <v>#REF!</v>
          </cell>
          <cell r="BI28" t="str">
            <v>M2</v>
          </cell>
        </row>
        <row r="29">
          <cell r="AO29" t="str">
            <v>22.</v>
          </cell>
          <cell r="AQ29" t="str">
            <v>WATER PUMP 70-100 mm</v>
          </cell>
          <cell r="AR29" t="str">
            <v>E22</v>
          </cell>
          <cell r="AS29">
            <v>6</v>
          </cell>
          <cell r="AT29" t="str">
            <v xml:space="preserve">          -</v>
          </cell>
          <cell r="AU29" t="str">
            <v/>
          </cell>
          <cell r="AV29">
            <v>19800000</v>
          </cell>
          <cell r="AW29">
            <v>26199</v>
          </cell>
          <cell r="AX29" t="str">
            <v xml:space="preserve"> Alat Baru</v>
          </cell>
          <cell r="BA29" t="str">
            <v>6.</v>
          </cell>
          <cell r="BC29" t="str">
            <v>HRS</v>
          </cell>
          <cell r="BG29" t="str">
            <v>v6</v>
          </cell>
          <cell r="BH29" t="e">
            <v>#REF!</v>
          </cell>
          <cell r="BI29" t="str">
            <v>M2</v>
          </cell>
        </row>
        <row r="30">
          <cell r="C30" t="str">
            <v>Biaya Pasti per Jam             =</v>
          </cell>
          <cell r="E30" t="str">
            <v>( E + F )</v>
          </cell>
          <cell r="G30" t="str">
            <v>G</v>
          </cell>
          <cell r="H30">
            <v>276904.87496666459</v>
          </cell>
          <cell r="I30" t="str">
            <v>Rupiah</v>
          </cell>
          <cell r="AO30" t="str">
            <v>23.</v>
          </cell>
          <cell r="AQ30" t="str">
            <v>WATER TANKER 3000-4500 L.</v>
          </cell>
          <cell r="AR30" t="str">
            <v>E23</v>
          </cell>
          <cell r="AS30">
            <v>100</v>
          </cell>
          <cell r="AT30">
            <v>4000</v>
          </cell>
          <cell r="AU30" t="str">
            <v>Liter</v>
          </cell>
          <cell r="AV30">
            <v>145200000</v>
          </cell>
          <cell r="AW30">
            <v>135997</v>
          </cell>
          <cell r="AX30" t="str">
            <v xml:space="preserve"> Alat Baru</v>
          </cell>
          <cell r="BA30" t="str">
            <v>7.</v>
          </cell>
          <cell r="BC30" t="str">
            <v>SBST</v>
          </cell>
          <cell r="BG30" t="str">
            <v>v7</v>
          </cell>
          <cell r="BH30" t="e">
            <v>#REF!</v>
          </cell>
          <cell r="BI30" t="str">
            <v>M2</v>
          </cell>
        </row>
        <row r="31">
          <cell r="AO31" t="str">
            <v>24.</v>
          </cell>
          <cell r="AQ31" t="str">
            <v>PEDESTRIAN ROLLER</v>
          </cell>
          <cell r="AR31" t="str">
            <v>E24</v>
          </cell>
          <cell r="AS31">
            <v>11</v>
          </cell>
          <cell r="AT31">
            <v>0.98</v>
          </cell>
          <cell r="AU31" t="str">
            <v>Ton</v>
          </cell>
          <cell r="AV31">
            <v>77000000</v>
          </cell>
          <cell r="AW31">
            <v>40661</v>
          </cell>
          <cell r="AX31" t="str">
            <v xml:space="preserve"> Alat Baru</v>
          </cell>
          <cell r="BA31" t="str">
            <v>8.</v>
          </cell>
          <cell r="BC31" t="str">
            <v>DBST</v>
          </cell>
          <cell r="BG31" t="str">
            <v>v8</v>
          </cell>
          <cell r="BH31" t="e">
            <v>#REF!</v>
          </cell>
          <cell r="BI31" t="str">
            <v>M2</v>
          </cell>
        </row>
        <row r="32">
          <cell r="A32" t="str">
            <v>C.</v>
          </cell>
          <cell r="C32" t="str">
            <v>BIAYA OPERASI PER JAM KERJA</v>
          </cell>
          <cell r="AO32" t="str">
            <v>25.</v>
          </cell>
          <cell r="AQ32" t="str">
            <v>TAMPER</v>
          </cell>
          <cell r="AR32" t="str">
            <v>E25</v>
          </cell>
          <cell r="AS32">
            <v>5</v>
          </cell>
          <cell r="AT32">
            <v>0.17</v>
          </cell>
          <cell r="AU32" t="str">
            <v>Ton</v>
          </cell>
          <cell r="AV32">
            <v>29150000.000000004</v>
          </cell>
          <cell r="AW32">
            <v>31123</v>
          </cell>
          <cell r="AX32" t="str">
            <v xml:space="preserve"> Alat Baru</v>
          </cell>
        </row>
        <row r="33">
          <cell r="AO33" t="str">
            <v>26.</v>
          </cell>
          <cell r="AQ33" t="str">
            <v>JACK HAMMER</v>
          </cell>
          <cell r="AR33" t="str">
            <v>E26</v>
          </cell>
          <cell r="AS33">
            <v>3</v>
          </cell>
          <cell r="AT33" t="str">
            <v xml:space="preserve">          -</v>
          </cell>
          <cell r="AU33" t="str">
            <v/>
          </cell>
          <cell r="AV33">
            <v>29150000.000000004</v>
          </cell>
          <cell r="AW33">
            <v>29230</v>
          </cell>
          <cell r="AX33" t="str">
            <v xml:space="preserve"> Alat Baru</v>
          </cell>
          <cell r="BA33" t="str">
            <v>IV</v>
          </cell>
          <cell r="BC33" t="str">
            <v>VOLUME PEKERJAAN ALAT</v>
          </cell>
        </row>
        <row r="34">
          <cell r="A34" t="str">
            <v xml:space="preserve">       1.</v>
          </cell>
          <cell r="C34" t="str">
            <v xml:space="preserve">Bahan Bakar  =  (0.125-0.175 Ltr/HP/Jam)   x Pw x Ms </v>
          </cell>
          <cell r="G34" t="str">
            <v>H1</v>
          </cell>
          <cell r="H34">
            <v>103125</v>
          </cell>
          <cell r="I34" t="str">
            <v>Rupiah</v>
          </cell>
          <cell r="AO34" t="str">
            <v>27.</v>
          </cell>
          <cell r="AQ34" t="str">
            <v>FULVI MIXER</v>
          </cell>
          <cell r="AR34" t="str">
            <v>E27</v>
          </cell>
          <cell r="AS34">
            <v>75</v>
          </cell>
          <cell r="AT34" t="str">
            <v xml:space="preserve">          -</v>
          </cell>
          <cell r="AU34" t="str">
            <v/>
          </cell>
          <cell r="AV34">
            <v>159500000</v>
          </cell>
          <cell r="AW34">
            <v>115006</v>
          </cell>
          <cell r="AX34" t="str">
            <v xml:space="preserve"> Alat Baru</v>
          </cell>
        </row>
        <row r="35">
          <cell r="C35" t="str">
            <v>Bahan Bakar Pemanasan Material</v>
          </cell>
          <cell r="E35" t="str">
            <v>= 12 x 0.7Cp x Ms</v>
          </cell>
          <cell r="G35" t="str">
            <v>H2</v>
          </cell>
          <cell r="H35">
            <v>2310000</v>
          </cell>
          <cell r="I35" t="str">
            <v>Rupiah</v>
          </cell>
          <cell r="J35" t="str">
            <v xml:space="preserve"> Khusus AMP</v>
          </cell>
          <cell r="AO35" t="str">
            <v>28.</v>
          </cell>
          <cell r="AQ35" t="str">
            <v>CONCRETE PUMP</v>
          </cell>
          <cell r="AR35" t="str">
            <v>E28</v>
          </cell>
          <cell r="AS35">
            <v>100</v>
          </cell>
          <cell r="AT35">
            <v>8</v>
          </cell>
          <cell r="AU35" t="str">
            <v>M3</v>
          </cell>
          <cell r="AV35">
            <v>176000000</v>
          </cell>
          <cell r="AW35">
            <v>139410</v>
          </cell>
          <cell r="AX35" t="str">
            <v xml:space="preserve"> Alat Baru</v>
          </cell>
          <cell r="BA35" t="str">
            <v>1.</v>
          </cell>
          <cell r="BC35" t="str">
            <v>Agregat Kelas A</v>
          </cell>
          <cell r="BD35" t="str">
            <v>=  v1 x D1 x 80% x 1.05</v>
          </cell>
          <cell r="BG35" t="str">
            <v>w1</v>
          </cell>
          <cell r="BH35">
            <v>0</v>
          </cell>
          <cell r="BI35" t="str">
            <v>Ton</v>
          </cell>
        </row>
        <row r="36">
          <cell r="AO36" t="str">
            <v>29.</v>
          </cell>
          <cell r="AQ36" t="str">
            <v>TRAILER 20 TON</v>
          </cell>
          <cell r="AR36" t="str">
            <v>E29</v>
          </cell>
          <cell r="AS36">
            <v>175</v>
          </cell>
          <cell r="AT36">
            <v>20</v>
          </cell>
          <cell r="AU36" t="str">
            <v>Ton</v>
          </cell>
          <cell r="AV36">
            <v>337427050</v>
          </cell>
          <cell r="AW36">
            <v>237828</v>
          </cell>
          <cell r="AX36" t="str">
            <v xml:space="preserve"> Alat Baru</v>
          </cell>
          <cell r="BA36" t="str">
            <v>2.</v>
          </cell>
          <cell r="BC36" t="str">
            <v>Agregat Kelas B</v>
          </cell>
          <cell r="BD36" t="str">
            <v>=  v2 x D1 x 80% x 1.05</v>
          </cell>
          <cell r="BG36" t="str">
            <v>w2</v>
          </cell>
          <cell r="BH36">
            <v>0</v>
          </cell>
          <cell r="BI36" t="str">
            <v>Ton</v>
          </cell>
        </row>
        <row r="37">
          <cell r="A37" t="str">
            <v xml:space="preserve">       2.</v>
          </cell>
          <cell r="C37" t="str">
            <v>Pelumas         =  (0.01-0.02 Ltr/HP/Jam) x Pw x Mp</v>
          </cell>
          <cell r="G37" t="str">
            <v>I</v>
          </cell>
          <cell r="H37">
            <v>60000</v>
          </cell>
          <cell r="I37" t="str">
            <v>Rupiah</v>
          </cell>
          <cell r="AO37" t="str">
            <v>30.</v>
          </cell>
          <cell r="AQ37" t="str">
            <v>PILE DRIVER + HAMMER</v>
          </cell>
          <cell r="AR37" t="str">
            <v>E30</v>
          </cell>
          <cell r="AS37">
            <v>25</v>
          </cell>
          <cell r="AT37">
            <v>2.5</v>
          </cell>
          <cell r="AU37" t="str">
            <v>Ton</v>
          </cell>
          <cell r="AV37">
            <v>122100000.00000001</v>
          </cell>
          <cell r="AW37">
            <v>60737</v>
          </cell>
          <cell r="AX37" t="str">
            <v xml:space="preserve"> Alat Baru</v>
          </cell>
          <cell r="BA37" t="str">
            <v>3.</v>
          </cell>
          <cell r="BC37" t="str">
            <v>ATB</v>
          </cell>
          <cell r="BD37" t="str">
            <v>=  v3 x D2 x 1.05</v>
          </cell>
          <cell r="BG37" t="str">
            <v>w3</v>
          </cell>
          <cell r="BH37" t="e">
            <v>#REF!</v>
          </cell>
          <cell r="BI37" t="str">
            <v>Ton</v>
          </cell>
        </row>
        <row r="38">
          <cell r="AO38" t="str">
            <v>31.</v>
          </cell>
          <cell r="AQ38" t="str">
            <v>CRANE ON TRACK 35 TON</v>
          </cell>
          <cell r="AR38" t="str">
            <v>E31</v>
          </cell>
          <cell r="AS38">
            <v>125</v>
          </cell>
          <cell r="AT38">
            <v>35</v>
          </cell>
          <cell r="AU38" t="str">
            <v>Ton</v>
          </cell>
          <cell r="AV38">
            <v>1000000000</v>
          </cell>
          <cell r="AW38">
            <v>305591</v>
          </cell>
          <cell r="AX38" t="str">
            <v xml:space="preserve"> Alat Baru</v>
          </cell>
          <cell r="BA38" t="str">
            <v>4.</v>
          </cell>
          <cell r="BC38" t="str">
            <v>ATBL</v>
          </cell>
          <cell r="BD38" t="str">
            <v>=  v4 x 1.05</v>
          </cell>
          <cell r="BG38" t="str">
            <v>w4</v>
          </cell>
          <cell r="BH38" t="e">
            <v>#REF!</v>
          </cell>
          <cell r="BI38" t="str">
            <v>Ton</v>
          </cell>
        </row>
        <row r="39">
          <cell r="A39" t="str">
            <v xml:space="preserve">       3.</v>
          </cell>
          <cell r="C39" t="str">
            <v>Perawatan dan     =</v>
          </cell>
          <cell r="D39" t="str">
            <v>(12,5 % - 17,5 %)  x  B'</v>
          </cell>
          <cell r="G39" t="str">
            <v>K</v>
          </cell>
          <cell r="H39">
            <v>159750</v>
          </cell>
          <cell r="I39" t="str">
            <v>Rupiah</v>
          </cell>
          <cell r="AO39" t="str">
            <v>32.</v>
          </cell>
          <cell r="AQ39" t="str">
            <v>WELDING SET</v>
          </cell>
          <cell r="AR39" t="str">
            <v>E32</v>
          </cell>
          <cell r="AS39">
            <v>40</v>
          </cell>
          <cell r="AT39">
            <v>250</v>
          </cell>
          <cell r="AU39" t="str">
            <v>Amp</v>
          </cell>
          <cell r="AV39">
            <v>23100000.000000004</v>
          </cell>
          <cell r="AW39">
            <v>56500</v>
          </cell>
          <cell r="AX39" t="str">
            <v xml:space="preserve"> Alat Baru</v>
          </cell>
          <cell r="BA39" t="str">
            <v>5.</v>
          </cell>
          <cell r="BC39" t="str">
            <v>AC</v>
          </cell>
          <cell r="BD39" t="str">
            <v>=  v5 x t2 x D2 x 1.05</v>
          </cell>
          <cell r="BG39" t="str">
            <v>w5</v>
          </cell>
          <cell r="BH39" t="e">
            <v>#REF!</v>
          </cell>
          <cell r="BI39" t="str">
            <v>Ton</v>
          </cell>
        </row>
        <row r="40">
          <cell r="C40" t="str">
            <v xml:space="preserve">        perbaikan</v>
          </cell>
          <cell r="D40" t="str">
            <v>W'</v>
          </cell>
          <cell r="AO40" t="str">
            <v>33.</v>
          </cell>
          <cell r="AQ40" t="str">
            <v>BORE PILE MACHINE</v>
          </cell>
          <cell r="AR40" t="str">
            <v>E33</v>
          </cell>
          <cell r="AS40">
            <v>150</v>
          </cell>
          <cell r="AT40">
            <v>2000</v>
          </cell>
          <cell r="AU40" t="str">
            <v>Meter</v>
          </cell>
          <cell r="AV40">
            <v>2250000000</v>
          </cell>
          <cell r="AW40">
            <v>545459</v>
          </cell>
          <cell r="AX40" t="str">
            <v xml:space="preserve"> Alat Baru</v>
          </cell>
          <cell r="BA40" t="str">
            <v>6.</v>
          </cell>
          <cell r="BC40" t="str">
            <v>HRS</v>
          </cell>
          <cell r="BD40" t="str">
            <v>=  v6 x t3 x D2 x 1.05</v>
          </cell>
          <cell r="BG40" t="str">
            <v>w6</v>
          </cell>
          <cell r="BH40" t="e">
            <v>#REF!</v>
          </cell>
          <cell r="BI40" t="str">
            <v>Ton</v>
          </cell>
        </row>
        <row r="41">
          <cell r="A41" t="str">
            <v xml:space="preserve">       4.</v>
          </cell>
          <cell r="C41" t="str">
            <v>Operator</v>
          </cell>
          <cell r="D41" t="str">
            <v>=   ( 1  Orang / Jam )  x  U1</v>
          </cell>
          <cell r="G41" t="str">
            <v>L</v>
          </cell>
          <cell r="H41">
            <v>10000</v>
          </cell>
          <cell r="I41" t="str">
            <v>Rupiah</v>
          </cell>
          <cell r="AO41" t="str">
            <v>34.</v>
          </cell>
          <cell r="AQ41" t="str">
            <v>ASPHALT LIQUID MIXER</v>
          </cell>
          <cell r="AR41" t="str">
            <v>E34</v>
          </cell>
          <cell r="AS41">
            <v>5</v>
          </cell>
          <cell r="AT41">
            <v>1000</v>
          </cell>
          <cell r="AU41" t="str">
            <v>Liter</v>
          </cell>
          <cell r="AV41">
            <v>16500000.000000002</v>
          </cell>
          <cell r="AW41">
            <v>22492</v>
          </cell>
          <cell r="AX41" t="str">
            <v xml:space="preserve"> Alat Baru</v>
          </cell>
          <cell r="BA41" t="str">
            <v>7.</v>
          </cell>
          <cell r="BC41" t="str">
            <v>SBST</v>
          </cell>
          <cell r="BD41" t="str">
            <v>=  v7 x t4 x D3 x 1.05</v>
          </cell>
          <cell r="BG41" t="str">
            <v>w7</v>
          </cell>
          <cell r="BH41" t="e">
            <v>#REF!</v>
          </cell>
          <cell r="BI41" t="str">
            <v>Ton</v>
          </cell>
        </row>
        <row r="42">
          <cell r="A42" t="str">
            <v xml:space="preserve">       5.</v>
          </cell>
          <cell r="C42" t="str">
            <v>Pembantu Operator</v>
          </cell>
          <cell r="D42" t="str">
            <v>=   ( 3  Orang / Jam )  x  U2</v>
          </cell>
          <cell r="G42" t="str">
            <v>M</v>
          </cell>
          <cell r="H42">
            <v>19500</v>
          </cell>
          <cell r="I42" t="str">
            <v>Rupiah</v>
          </cell>
          <cell r="AO42" t="str">
            <v>35.</v>
          </cell>
          <cell r="AQ42" t="str">
            <v>TRAILLER 15 TON</v>
          </cell>
          <cell r="AR42" t="str">
            <v>E35</v>
          </cell>
          <cell r="AS42">
            <v>150</v>
          </cell>
          <cell r="AT42">
            <v>15</v>
          </cell>
          <cell r="AU42" t="str">
            <v>Ton</v>
          </cell>
          <cell r="AV42">
            <v>276000000</v>
          </cell>
          <cell r="AW42">
            <v>210968</v>
          </cell>
          <cell r="AX42" t="str">
            <v xml:space="preserve"> Alat Baru</v>
          </cell>
          <cell r="BA42" t="str">
            <v>8.</v>
          </cell>
          <cell r="BC42" t="str">
            <v>DBST</v>
          </cell>
          <cell r="BD42" t="str">
            <v>=  v8 x t4 x D3 x 1.05</v>
          </cell>
          <cell r="BG42" t="str">
            <v>w8</v>
          </cell>
          <cell r="BH42" t="e">
            <v>#REF!</v>
          </cell>
          <cell r="BI42" t="str">
            <v>Ton</v>
          </cell>
        </row>
        <row r="43">
          <cell r="AO43" t="str">
            <v>36.</v>
          </cell>
          <cell r="AQ43" t="str">
            <v>GRASS CUTTER</v>
          </cell>
          <cell r="AR43" t="str">
            <v>E36</v>
          </cell>
          <cell r="AS43">
            <v>3</v>
          </cell>
          <cell r="AT43">
            <v>32</v>
          </cell>
          <cell r="AU43" t="str">
            <v>cc</v>
          </cell>
          <cell r="AV43">
            <v>3000000</v>
          </cell>
          <cell r="AW43">
            <v>18283</v>
          </cell>
          <cell r="AX43" t="str">
            <v xml:space="preserve"> Alat Baru</v>
          </cell>
        </row>
        <row r="44">
          <cell r="C44" t="str">
            <v>Biaya Operasi per Jam        =</v>
          </cell>
          <cell r="E44" t="str">
            <v>(H+I+K+L+M)</v>
          </cell>
          <cell r="G44" t="str">
            <v>P</v>
          </cell>
          <cell r="H44">
            <v>2662375</v>
          </cell>
          <cell r="I44" t="str">
            <v>Rupiah</v>
          </cell>
          <cell r="AO44" t="str">
            <v>37.</v>
          </cell>
          <cell r="AQ44" t="str">
            <v>JUMBO BREAKER 80-140 HP</v>
          </cell>
          <cell r="AR44" t="str">
            <v>E37</v>
          </cell>
          <cell r="AS44">
            <v>80</v>
          </cell>
          <cell r="AT44">
            <v>0.5</v>
          </cell>
          <cell r="AU44" t="str">
            <v>M3</v>
          </cell>
          <cell r="AV44">
            <v>770000000.00000012</v>
          </cell>
          <cell r="AW44">
            <v>235740</v>
          </cell>
          <cell r="AX44" t="str">
            <v xml:space="preserve"> Alat Baru</v>
          </cell>
          <cell r="BC44" t="str">
            <v>Total Volume Pekerjaan Alat</v>
          </cell>
          <cell r="BE44" t="str">
            <v>=  w1 + . . . + w8</v>
          </cell>
          <cell r="BG44" t="str">
            <v>W</v>
          </cell>
          <cell r="BH44" t="e">
            <v>#REF!</v>
          </cell>
          <cell r="BI44" t="str">
            <v>Ton</v>
          </cell>
        </row>
        <row r="46">
          <cell r="A46" t="str">
            <v>D.</v>
          </cell>
          <cell r="C46" t="str">
            <v>TOTAL BIAYA SEWA ALAT / JAM   =  ( G + P )</v>
          </cell>
          <cell r="G46" t="str">
            <v>T</v>
          </cell>
          <cell r="H46">
            <v>2939279.8749666647</v>
          </cell>
          <cell r="I46" t="str">
            <v>Rupiah</v>
          </cell>
          <cell r="BA46" t="str">
            <v>V</v>
          </cell>
          <cell r="BC46" t="str">
            <v>PERHITUNGAN KAPASITAS ALAT</v>
          </cell>
        </row>
        <row r="47">
          <cell r="BA47" t="str">
            <v>1.</v>
          </cell>
          <cell r="BC47" t="str">
            <v>Masa Mobilisasi / Demobilisasi</v>
          </cell>
          <cell r="BG47" t="str">
            <v>Tm</v>
          </cell>
          <cell r="BH47">
            <v>3</v>
          </cell>
          <cell r="BI47" t="str">
            <v>Bulan</v>
          </cell>
        </row>
        <row r="48">
          <cell r="BA48" t="str">
            <v>2.</v>
          </cell>
          <cell r="BC48" t="str">
            <v>Waktu Produksi (Di luar masa Mobilisasi &amp; Hari Libur)</v>
          </cell>
          <cell r="BG48" t="str">
            <v>T</v>
          </cell>
          <cell r="BH48">
            <v>3.3333333333333335</v>
          </cell>
          <cell r="BI48" t="str">
            <v>Bulan</v>
          </cell>
        </row>
        <row r="49">
          <cell r="A49" t="str">
            <v>E.</v>
          </cell>
          <cell r="C49" t="str">
            <v>LAIN - LAIN</v>
          </cell>
          <cell r="BA49" t="str">
            <v>3.</v>
          </cell>
          <cell r="BC49" t="str">
            <v>Jumlah hari kerja efektif / bulan</v>
          </cell>
          <cell r="BG49" t="str">
            <v>Te1</v>
          </cell>
          <cell r="BH49">
            <v>25</v>
          </cell>
          <cell r="BI49" t="str">
            <v>Hari/Bln</v>
          </cell>
        </row>
        <row r="50">
          <cell r="A50" t="str">
            <v xml:space="preserve">       1.</v>
          </cell>
          <cell r="C50" t="str">
            <v>Tingkat Suku Bunga</v>
          </cell>
          <cell r="G50" t="str">
            <v>i</v>
          </cell>
          <cell r="H50">
            <v>20</v>
          </cell>
          <cell r="I50" t="str">
            <v>% / Tahun</v>
          </cell>
          <cell r="BA50" t="str">
            <v>4.</v>
          </cell>
          <cell r="BC50" t="str">
            <v>Jumlah jam kerja efektif / hari</v>
          </cell>
          <cell r="BG50" t="str">
            <v>Te2</v>
          </cell>
          <cell r="BH50">
            <v>7</v>
          </cell>
          <cell r="BI50" t="str">
            <v>Jam/Hari</v>
          </cell>
        </row>
        <row r="51">
          <cell r="A51" t="str">
            <v xml:space="preserve">       2.</v>
          </cell>
          <cell r="C51" t="str">
            <v>Upah Operator / Sopir</v>
          </cell>
          <cell r="G51" t="str">
            <v>U1</v>
          </cell>
          <cell r="H51">
            <v>10000</v>
          </cell>
          <cell r="I51" t="str">
            <v>Rp./Jam</v>
          </cell>
          <cell r="BA51" t="str">
            <v>5.</v>
          </cell>
          <cell r="BC51" t="str">
            <v>Faktor efisiensi alat</v>
          </cell>
          <cell r="BG51" t="str">
            <v>Fa</v>
          </cell>
          <cell r="BH51">
            <v>0.7</v>
          </cell>
          <cell r="BI51" t="str">
            <v>-</v>
          </cell>
        </row>
        <row r="52">
          <cell r="A52" t="str">
            <v xml:space="preserve">       3.</v>
          </cell>
          <cell r="C52" t="str">
            <v>Upah Pembantu Operator / Pmb.Sopir</v>
          </cell>
          <cell r="G52" t="str">
            <v>U2</v>
          </cell>
          <cell r="H52">
            <v>6500</v>
          </cell>
          <cell r="I52" t="str">
            <v>Rp./Jam</v>
          </cell>
        </row>
        <row r="53">
          <cell r="A53" t="str">
            <v xml:space="preserve">       4.</v>
          </cell>
          <cell r="C53" t="str">
            <v>Bahan Bakar Bensin</v>
          </cell>
          <cell r="G53" t="str">
            <v>Mb</v>
          </cell>
          <cell r="H53">
            <v>6500</v>
          </cell>
          <cell r="I53" t="str">
            <v>Liter</v>
          </cell>
          <cell r="BC53" t="str">
            <v>Kapasitas alat yang diperlukan =</v>
          </cell>
          <cell r="BE53" t="str">
            <v>W</v>
          </cell>
          <cell r="BG53" t="str">
            <v>SC</v>
          </cell>
          <cell r="BH53" t="e">
            <v>#REF!</v>
          </cell>
          <cell r="BI53" t="str">
            <v>Ton/Jam</v>
          </cell>
        </row>
        <row r="54">
          <cell r="A54" t="str">
            <v xml:space="preserve">       5.</v>
          </cell>
          <cell r="C54" t="str">
            <v>Bahan Bakar Solar</v>
          </cell>
          <cell r="G54" t="str">
            <v>Ms</v>
          </cell>
          <cell r="H54">
            <v>5500</v>
          </cell>
          <cell r="I54" t="str">
            <v>Liter</v>
          </cell>
          <cell r="BE54" t="str">
            <v>T x Te1 x Te2 x Fa</v>
          </cell>
        </row>
        <row r="55">
          <cell r="A55" t="str">
            <v xml:space="preserve">       6.</v>
          </cell>
          <cell r="C55" t="str">
            <v>Minyak Pelumas</v>
          </cell>
          <cell r="G55" t="str">
            <v>Mp</v>
          </cell>
          <cell r="H55">
            <v>40000</v>
          </cell>
          <cell r="I55" t="str">
            <v>Liter</v>
          </cell>
        </row>
        <row r="56">
          <cell r="A56" t="str">
            <v xml:space="preserve">       7.</v>
          </cell>
          <cell r="C56" t="str">
            <v>PPN diperhitungkan pada lembar Rekapitulasi</v>
          </cell>
          <cell r="BA56" t="str">
            <v>VI.</v>
          </cell>
          <cell r="BC56" t="str">
            <v>ALAT YANG DIPAKAI</v>
          </cell>
        </row>
        <row r="57">
          <cell r="C57" t="str">
            <v>Biaya Pekerjaan</v>
          </cell>
          <cell r="BC57" t="str">
            <v>Kapasitas alat yang dipakai pada proyek ini</v>
          </cell>
          <cell r="BG57" t="str">
            <v>SCa</v>
          </cell>
          <cell r="BH57">
            <v>30</v>
          </cell>
          <cell r="BI57" t="str">
            <v>Ton/Jam</v>
          </cell>
          <cell r="BJ57" t="e">
            <v>#REF!</v>
          </cell>
        </row>
        <row r="60">
          <cell r="BA60" t="str">
            <v>KONFIRMASI KAPASITAS AMP</v>
          </cell>
        </row>
        <row r="61">
          <cell r="BA61" t="str">
            <v>( ASPHALT MIXING PLANT )</v>
          </cell>
        </row>
        <row r="64">
          <cell r="BA64" t="str">
            <v>No.</v>
          </cell>
          <cell r="BC64" t="str">
            <v>U R A I A N</v>
          </cell>
          <cell r="BG64" t="str">
            <v>KODE</v>
          </cell>
          <cell r="BH64" t="str">
            <v>KOEF.</v>
          </cell>
          <cell r="BI64" t="str">
            <v>SATUAN</v>
          </cell>
          <cell r="BJ64" t="str">
            <v>KET.</v>
          </cell>
        </row>
        <row r="67">
          <cell r="BA67" t="str">
            <v>I</v>
          </cell>
          <cell r="BC67" t="str">
            <v>BERAT JENIS BAHAN</v>
          </cell>
        </row>
        <row r="69">
          <cell r="BA69" t="str">
            <v>1.</v>
          </cell>
          <cell r="BC69" t="str">
            <v>Agregat Base</v>
          </cell>
          <cell r="BG69" t="str">
            <v>D1</v>
          </cell>
          <cell r="BH69">
            <v>2.2000000000000002</v>
          </cell>
          <cell r="BI69" t="str">
            <v>Ton/M3</v>
          </cell>
        </row>
        <row r="70">
          <cell r="BA70" t="str">
            <v>2.</v>
          </cell>
          <cell r="BC70" t="str">
            <v>ATB / ATBL / AC / HRS</v>
          </cell>
          <cell r="BG70" t="str">
            <v>D2</v>
          </cell>
          <cell r="BH70">
            <v>2.2999999999999998</v>
          </cell>
          <cell r="BI70" t="str">
            <v>Ton/M3</v>
          </cell>
        </row>
        <row r="71">
          <cell r="BA71" t="str">
            <v>3.</v>
          </cell>
          <cell r="BC71" t="str">
            <v>SBST / DBST</v>
          </cell>
          <cell r="BG71" t="str">
            <v>D3</v>
          </cell>
          <cell r="BH71">
            <v>2</v>
          </cell>
          <cell r="BI71" t="str">
            <v>Ton/M3</v>
          </cell>
        </row>
        <row r="73">
          <cell r="BA73" t="str">
            <v>II</v>
          </cell>
          <cell r="BC73" t="str">
            <v>TEBAL RATA-RATA HAMPARAN PADAT</v>
          </cell>
        </row>
        <row r="75">
          <cell r="BA75" t="str">
            <v>1.</v>
          </cell>
          <cell r="BC75" t="str">
            <v>Agregat Base</v>
          </cell>
          <cell r="BG75" t="str">
            <v>t1</v>
          </cell>
          <cell r="BH75">
            <v>0.15</v>
          </cell>
          <cell r="BI75" t="str">
            <v>M</v>
          </cell>
        </row>
        <row r="76">
          <cell r="BA76" t="str">
            <v>2.</v>
          </cell>
          <cell r="BC76" t="str">
            <v>Asphalt Concrete (AC)</v>
          </cell>
          <cell r="BG76" t="str">
            <v>t2</v>
          </cell>
          <cell r="BH76">
            <v>0.04</v>
          </cell>
          <cell r="BI76" t="str">
            <v>M</v>
          </cell>
        </row>
        <row r="77">
          <cell r="BA77" t="str">
            <v>3.</v>
          </cell>
          <cell r="BC77" t="str">
            <v>Hot Rolled Sheet (HRS)</v>
          </cell>
          <cell r="BG77" t="str">
            <v>t3</v>
          </cell>
          <cell r="BH77">
            <v>0.03</v>
          </cell>
          <cell r="BI77" t="str">
            <v>M</v>
          </cell>
        </row>
        <row r="78">
          <cell r="BA78" t="str">
            <v>4.</v>
          </cell>
          <cell r="BC78" t="str">
            <v>SBST</v>
          </cell>
          <cell r="BG78" t="str">
            <v>t4</v>
          </cell>
          <cell r="BH78">
            <v>0.02</v>
          </cell>
          <cell r="BI78" t="str">
            <v>M</v>
          </cell>
        </row>
        <row r="79">
          <cell r="BA79" t="str">
            <v>5.</v>
          </cell>
          <cell r="BC79" t="str">
            <v>DBST</v>
          </cell>
          <cell r="BG79" t="str">
            <v>t5</v>
          </cell>
          <cell r="BH79">
            <v>0.03</v>
          </cell>
          <cell r="BI79" t="str">
            <v>M</v>
          </cell>
        </row>
        <row r="81">
          <cell r="BA81" t="str">
            <v>III</v>
          </cell>
          <cell r="BC81" t="str">
            <v>VOLUME PEKERJAAN</v>
          </cell>
        </row>
        <row r="83">
          <cell r="BA83" t="str">
            <v>1.</v>
          </cell>
          <cell r="BC83" t="str">
            <v>Agregat Kelas A</v>
          </cell>
          <cell r="BG83" t="str">
            <v>v1</v>
          </cell>
          <cell r="BH83" t="str">
            <v xml:space="preserve">-  </v>
          </cell>
          <cell r="BI83" t="str">
            <v>M3</v>
          </cell>
        </row>
        <row r="84">
          <cell r="BA84" t="str">
            <v>2.</v>
          </cell>
          <cell r="BC84" t="str">
            <v>Agregat Kelas B</v>
          </cell>
          <cell r="BG84" t="str">
            <v>v2</v>
          </cell>
          <cell r="BH84" t="str">
            <v xml:space="preserve">-  </v>
          </cell>
          <cell r="BI84" t="str">
            <v>M3</v>
          </cell>
        </row>
        <row r="85">
          <cell r="BA85" t="str">
            <v>3.</v>
          </cell>
          <cell r="BC85" t="str">
            <v>ATB</v>
          </cell>
          <cell r="BG85" t="str">
            <v>v3</v>
          </cell>
          <cell r="BH85" t="e">
            <v>#REF!</v>
          </cell>
          <cell r="BI85" t="str">
            <v>M3</v>
          </cell>
        </row>
        <row r="86">
          <cell r="BA86" t="str">
            <v>4.</v>
          </cell>
          <cell r="BC86" t="str">
            <v>ATBL</v>
          </cell>
          <cell r="BG86" t="str">
            <v>v4</v>
          </cell>
          <cell r="BH86" t="e">
            <v>#REF!</v>
          </cell>
          <cell r="BI86" t="str">
            <v>Ton</v>
          </cell>
        </row>
        <row r="87">
          <cell r="BA87" t="str">
            <v>5.</v>
          </cell>
          <cell r="BC87" t="str">
            <v>AC</v>
          </cell>
          <cell r="BG87" t="str">
            <v>v5</v>
          </cell>
          <cell r="BH87" t="e">
            <v>#REF!</v>
          </cell>
          <cell r="BI87" t="str">
            <v>M2</v>
          </cell>
        </row>
        <row r="88">
          <cell r="BA88" t="str">
            <v>6.</v>
          </cell>
          <cell r="BC88" t="str">
            <v>HRS</v>
          </cell>
          <cell r="BG88" t="str">
            <v>v6</v>
          </cell>
          <cell r="BH88" t="e">
            <v>#REF!</v>
          </cell>
          <cell r="BI88" t="str">
            <v>M2</v>
          </cell>
        </row>
        <row r="89">
          <cell r="BA89" t="str">
            <v>7.</v>
          </cell>
          <cell r="BC89" t="str">
            <v>SBST</v>
          </cell>
          <cell r="BG89" t="str">
            <v>v7</v>
          </cell>
          <cell r="BH89" t="e">
            <v>#REF!</v>
          </cell>
          <cell r="BI89" t="str">
            <v>M2</v>
          </cell>
        </row>
        <row r="90">
          <cell r="BA90" t="str">
            <v>8.</v>
          </cell>
          <cell r="BC90" t="str">
            <v>DBST</v>
          </cell>
          <cell r="BG90" t="str">
            <v>v8</v>
          </cell>
          <cell r="BH90" t="e">
            <v>#REF!</v>
          </cell>
          <cell r="BI90" t="str">
            <v>M2</v>
          </cell>
        </row>
        <row r="92">
          <cell r="BA92" t="str">
            <v>IV</v>
          </cell>
          <cell r="BC92" t="str">
            <v>VOLUME PEKERJAAN ALAT</v>
          </cell>
        </row>
        <row r="94">
          <cell r="BA94" t="str">
            <v>1.</v>
          </cell>
          <cell r="BC94" t="str">
            <v>Agregat Kelas A</v>
          </cell>
          <cell r="BD94" t="str">
            <v>=  v1 x D1 x 80% x 1.05</v>
          </cell>
          <cell r="BG94" t="str">
            <v>w1</v>
          </cell>
          <cell r="BH94">
            <v>0</v>
          </cell>
          <cell r="BI94" t="str">
            <v>Ton</v>
          </cell>
        </row>
        <row r="95">
          <cell r="BA95" t="str">
            <v>2.</v>
          </cell>
          <cell r="BC95" t="str">
            <v>Agregat Kelas B</v>
          </cell>
          <cell r="BD95" t="str">
            <v>=  v2 x D1 x 80% x 1.05</v>
          </cell>
          <cell r="BG95" t="str">
            <v>w2</v>
          </cell>
          <cell r="BH95">
            <v>0</v>
          </cell>
          <cell r="BI95" t="str">
            <v>Ton</v>
          </cell>
        </row>
        <row r="96">
          <cell r="BA96" t="str">
            <v>3.</v>
          </cell>
          <cell r="BC96" t="str">
            <v>ATB</v>
          </cell>
          <cell r="BD96" t="str">
            <v>=  v3 x D2 x 1.05</v>
          </cell>
          <cell r="BG96" t="str">
            <v>w3</v>
          </cell>
          <cell r="BH96" t="e">
            <v>#REF!</v>
          </cell>
          <cell r="BI96" t="str">
            <v>Ton</v>
          </cell>
        </row>
        <row r="97">
          <cell r="BA97" t="str">
            <v>4.</v>
          </cell>
          <cell r="BC97" t="str">
            <v>ATBL</v>
          </cell>
          <cell r="BD97" t="str">
            <v>=  v4 x 1.05</v>
          </cell>
          <cell r="BG97" t="str">
            <v>w4</v>
          </cell>
          <cell r="BH97" t="e">
            <v>#REF!</v>
          </cell>
          <cell r="BI97" t="str">
            <v>Ton</v>
          </cell>
        </row>
        <row r="98">
          <cell r="BA98" t="str">
            <v>5.</v>
          </cell>
          <cell r="BC98" t="str">
            <v>AC</v>
          </cell>
          <cell r="BD98" t="str">
            <v>=  v5 x t2 x D2 x 1.05</v>
          </cell>
          <cell r="BG98" t="str">
            <v>w5</v>
          </cell>
          <cell r="BH98" t="e">
            <v>#REF!</v>
          </cell>
          <cell r="BI98" t="str">
            <v>Ton</v>
          </cell>
        </row>
        <row r="99">
          <cell r="BA99" t="str">
            <v>6.</v>
          </cell>
          <cell r="BC99" t="str">
            <v>HRS</v>
          </cell>
          <cell r="BD99" t="str">
            <v>=  v6 x t3 x D2 x 1.05</v>
          </cell>
          <cell r="BG99" t="str">
            <v>w6</v>
          </cell>
          <cell r="BH99" t="e">
            <v>#REF!</v>
          </cell>
          <cell r="BI99" t="str">
            <v>Ton</v>
          </cell>
        </row>
        <row r="100">
          <cell r="BA100" t="str">
            <v>7.</v>
          </cell>
          <cell r="BC100" t="str">
            <v>SBST</v>
          </cell>
          <cell r="BD100" t="str">
            <v>=  v7 x t4 x D3 x 1.05</v>
          </cell>
          <cell r="BG100" t="str">
            <v>w7</v>
          </cell>
          <cell r="BH100" t="e">
            <v>#REF!</v>
          </cell>
          <cell r="BI100" t="str">
            <v>Ton</v>
          </cell>
        </row>
        <row r="101">
          <cell r="BA101" t="str">
            <v>8.</v>
          </cell>
          <cell r="BC101" t="str">
            <v>DBST</v>
          </cell>
          <cell r="BD101" t="str">
            <v>=  v8 x t4 x D3 x 1.05</v>
          </cell>
          <cell r="BG101" t="str">
            <v>w8</v>
          </cell>
          <cell r="BH101" t="e">
            <v>#REF!</v>
          </cell>
          <cell r="BI101" t="str">
            <v>Ton</v>
          </cell>
        </row>
        <row r="103">
          <cell r="BC103" t="str">
            <v>Total Volume Pekerjaan Alat</v>
          </cell>
          <cell r="BE103" t="str">
            <v>=  w1 + . . . + w8</v>
          </cell>
          <cell r="BG103" t="str">
            <v>W</v>
          </cell>
          <cell r="BH103" t="e">
            <v>#REF!</v>
          </cell>
          <cell r="BI103" t="str">
            <v>Ton</v>
          </cell>
        </row>
        <row r="105">
          <cell r="BA105" t="str">
            <v>V</v>
          </cell>
          <cell r="BC105" t="str">
            <v>PERHITUNGAN KAPASITAS ALAT</v>
          </cell>
        </row>
        <row r="106">
          <cell r="BA106" t="str">
            <v>1.</v>
          </cell>
          <cell r="BC106" t="str">
            <v>Masa Mobilisasi / Demobilisasi</v>
          </cell>
          <cell r="BG106" t="str">
            <v>Tm</v>
          </cell>
          <cell r="BH106">
            <v>3</v>
          </cell>
          <cell r="BI106" t="str">
            <v>Bulan</v>
          </cell>
        </row>
        <row r="107">
          <cell r="BA107" t="str">
            <v>2.</v>
          </cell>
          <cell r="BC107" t="str">
            <v>Waktu Produksi (Di luar masa Mobilisasi &amp; Hari Libur)</v>
          </cell>
          <cell r="BG107" t="str">
            <v>T</v>
          </cell>
          <cell r="BH107">
            <v>3.3333333333333335</v>
          </cell>
          <cell r="BI107" t="str">
            <v>Bulan</v>
          </cell>
        </row>
        <row r="108">
          <cell r="BA108" t="str">
            <v>3.</v>
          </cell>
          <cell r="BC108" t="str">
            <v>Jumlah hari kerja efektif / bulan</v>
          </cell>
          <cell r="BG108" t="str">
            <v>Te1</v>
          </cell>
          <cell r="BH108">
            <v>25</v>
          </cell>
          <cell r="BI108" t="str">
            <v>Hari/Bln</v>
          </cell>
        </row>
        <row r="109">
          <cell r="BA109" t="str">
            <v>4.</v>
          </cell>
          <cell r="BC109" t="str">
            <v>Jumlah jam kerja efektif / hari</v>
          </cell>
          <cell r="BG109" t="str">
            <v>Te2</v>
          </cell>
          <cell r="BH109">
            <v>7</v>
          </cell>
          <cell r="BI109" t="str">
            <v>Jam/Hari</v>
          </cell>
        </row>
        <row r="110">
          <cell r="BA110" t="str">
            <v>5.</v>
          </cell>
          <cell r="BC110" t="str">
            <v>Faktor efisiensi alat</v>
          </cell>
          <cell r="BG110" t="str">
            <v>Fa</v>
          </cell>
          <cell r="BH110">
            <v>0.7</v>
          </cell>
          <cell r="BI110" t="str">
            <v>-</v>
          </cell>
        </row>
        <row r="112">
          <cell r="BC112" t="str">
            <v>Kapasitas alat yang diperlukan =</v>
          </cell>
          <cell r="BE112" t="str">
            <v>W</v>
          </cell>
          <cell r="BG112" t="str">
            <v>SC</v>
          </cell>
          <cell r="BH112" t="e">
            <v>#REF!</v>
          </cell>
          <cell r="BI112" t="str">
            <v>Ton/Jam</v>
          </cell>
        </row>
        <row r="113">
          <cell r="BE113" t="str">
            <v>T x Te1 x Te2 x Fa</v>
          </cell>
        </row>
        <row r="115">
          <cell r="BA115" t="str">
            <v>VI.</v>
          </cell>
          <cell r="BC115" t="str">
            <v>ALAT YANG DIPAKAI</v>
          </cell>
        </row>
        <row r="116">
          <cell r="BC116" t="str">
            <v>Kapasitas alat yang dipakai pada proyek ini</v>
          </cell>
          <cell r="BG116" t="str">
            <v>SCa</v>
          </cell>
          <cell r="BH116">
            <v>50</v>
          </cell>
          <cell r="BI116" t="str">
            <v>Ton/Jam</v>
          </cell>
          <cell r="BJ116" t="e">
            <v>#REF!</v>
          </cell>
        </row>
        <row r="178">
          <cell r="A178" t="str">
            <v>URAIAN PENGGUNAAN ALAT / ANALISA ALAT</v>
          </cell>
        </row>
        <row r="181">
          <cell r="A181" t="str">
            <v>No.</v>
          </cell>
          <cell r="C181" t="str">
            <v>U R A I A N</v>
          </cell>
          <cell r="G181" t="str">
            <v>KODE</v>
          </cell>
          <cell r="H181" t="str">
            <v>KOEF.</v>
          </cell>
          <cell r="I181" t="str">
            <v>SATUAN</v>
          </cell>
          <cell r="J181" t="str">
            <v>KET.</v>
          </cell>
        </row>
        <row r="184">
          <cell r="A184" t="str">
            <v>A.</v>
          </cell>
          <cell r="C184" t="str">
            <v>URAIAN PERALATAN</v>
          </cell>
        </row>
        <row r="185">
          <cell r="A185" t="str">
            <v xml:space="preserve">       1.</v>
          </cell>
          <cell r="C185" t="str">
            <v>Jenis Peralatan</v>
          </cell>
          <cell r="G185" t="str">
            <v>BULLDOZER 100-150 HP</v>
          </cell>
          <cell r="J185" t="str">
            <v>E04</v>
          </cell>
        </row>
        <row r="186">
          <cell r="A186" t="str">
            <v xml:space="preserve">       2.</v>
          </cell>
          <cell r="C186" t="str">
            <v>Tenaga</v>
          </cell>
          <cell r="G186" t="str">
            <v>Pw</v>
          </cell>
          <cell r="H186">
            <v>140</v>
          </cell>
          <cell r="I186" t="str">
            <v>HP</v>
          </cell>
        </row>
        <row r="187">
          <cell r="A187" t="str">
            <v xml:space="preserve">       3.</v>
          </cell>
          <cell r="C187" t="str">
            <v>Kapasitas</v>
          </cell>
          <cell r="G187" t="str">
            <v>Cp</v>
          </cell>
          <cell r="H187" t="str">
            <v xml:space="preserve">-  </v>
          </cell>
          <cell r="I187" t="str">
            <v>-</v>
          </cell>
        </row>
        <row r="188">
          <cell r="A188" t="str">
            <v xml:space="preserve">       4.</v>
          </cell>
          <cell r="C188" t="str">
            <v>Alat Baru                :</v>
          </cell>
          <cell r="D188" t="str">
            <v xml:space="preserve">  a.  Umur Ekonomis</v>
          </cell>
          <cell r="G188" t="str">
            <v>A</v>
          </cell>
          <cell r="H188">
            <v>5</v>
          </cell>
          <cell r="I188" t="str">
            <v>Tahun</v>
          </cell>
        </row>
        <row r="189">
          <cell r="D189" t="str">
            <v xml:space="preserve">  b.  Jam Kerja Dalam 1 Tahun</v>
          </cell>
          <cell r="G189" t="str">
            <v>W</v>
          </cell>
          <cell r="H189">
            <v>2000</v>
          </cell>
          <cell r="I189" t="str">
            <v>Jam</v>
          </cell>
        </row>
        <row r="190">
          <cell r="D190" t="str">
            <v xml:space="preserve">  c.  Harga Alat</v>
          </cell>
          <cell r="G190" t="str">
            <v>B</v>
          </cell>
          <cell r="H190">
            <v>1210000000</v>
          </cell>
          <cell r="I190" t="str">
            <v>Rupiah</v>
          </cell>
        </row>
        <row r="191">
          <cell r="A191" t="str">
            <v xml:space="preserve">       5.</v>
          </cell>
          <cell r="C191" t="str">
            <v>Alat Yang Dipakai  :</v>
          </cell>
          <cell r="D191" t="str">
            <v xml:space="preserve">  a.  Umur Ekonomis</v>
          </cell>
          <cell r="G191" t="str">
            <v>A'</v>
          </cell>
          <cell r="H191">
            <v>5</v>
          </cell>
          <cell r="I191" t="str">
            <v>Tahun</v>
          </cell>
          <cell r="J191" t="str">
            <v xml:space="preserve"> Alat Baru</v>
          </cell>
        </row>
        <row r="192">
          <cell r="D192" t="str">
            <v xml:space="preserve">  b.  Jam Kerja Dalam 1 Tahun </v>
          </cell>
          <cell r="G192" t="str">
            <v>W'</v>
          </cell>
          <cell r="H192">
            <v>2000</v>
          </cell>
          <cell r="I192" t="str">
            <v>Jam</v>
          </cell>
          <cell r="J192" t="str">
            <v xml:space="preserve"> Alat Baru</v>
          </cell>
        </row>
        <row r="193">
          <cell r="D193" t="str">
            <v xml:space="preserve">  c.  Harga Alat   (*)</v>
          </cell>
          <cell r="G193" t="str">
            <v>B'</v>
          </cell>
          <cell r="H193">
            <v>1210000000</v>
          </cell>
          <cell r="I193" t="str">
            <v>Rupiah</v>
          </cell>
          <cell r="J193" t="str">
            <v xml:space="preserve"> Alat Baru</v>
          </cell>
        </row>
        <row r="195">
          <cell r="A195" t="str">
            <v>B.</v>
          </cell>
          <cell r="C195" t="str">
            <v>BIAYA PASTI PER JAM KERJA</v>
          </cell>
        </row>
        <row r="196">
          <cell r="A196" t="str">
            <v xml:space="preserve">       1.</v>
          </cell>
          <cell r="C196" t="str">
            <v>Nilai Sisa Alat</v>
          </cell>
          <cell r="D196" t="str">
            <v>=  10 % x B</v>
          </cell>
          <cell r="G196" t="str">
            <v>C</v>
          </cell>
          <cell r="H196">
            <v>121000000</v>
          </cell>
          <cell r="I196" t="str">
            <v>Rupiah</v>
          </cell>
        </row>
        <row r="198">
          <cell r="A198" t="str">
            <v xml:space="preserve">       2.</v>
          </cell>
          <cell r="C198" t="str">
            <v>Faktor Angsuran Modal    =</v>
          </cell>
          <cell r="E198" t="str">
            <v>i x (1 + i)^A'</v>
          </cell>
          <cell r="G198" t="str">
            <v>D</v>
          </cell>
          <cell r="H198">
            <v>0.33437970328961514</v>
          </cell>
          <cell r="I198" t="str">
            <v>-</v>
          </cell>
        </row>
        <row r="199">
          <cell r="E199" t="str">
            <v>(1 + i)^A' - 1</v>
          </cell>
        </row>
        <row r="200">
          <cell r="A200" t="str">
            <v xml:space="preserve">       3.</v>
          </cell>
          <cell r="C200" t="str">
            <v>Biaya Pasti per Jam  :</v>
          </cell>
        </row>
        <row r="201">
          <cell r="C201" t="str">
            <v>a.  Biaya Pengembalian Modal  =</v>
          </cell>
          <cell r="E201" t="str">
            <v>( B' - C ) x D</v>
          </cell>
          <cell r="G201" t="str">
            <v>E</v>
          </cell>
          <cell r="H201">
            <v>182069.74844119544</v>
          </cell>
          <cell r="I201" t="str">
            <v>Rupiah</v>
          </cell>
        </row>
        <row r="202">
          <cell r="E202" t="str">
            <v>W'</v>
          </cell>
        </row>
        <row r="204">
          <cell r="C204" t="str">
            <v>b.  Asuransi, dll =</v>
          </cell>
          <cell r="D204">
            <v>2E-3</v>
          </cell>
          <cell r="E204" t="str">
            <v xml:space="preserve">  x   B'</v>
          </cell>
          <cell r="G204" t="str">
            <v>F</v>
          </cell>
          <cell r="H204">
            <v>1210</v>
          </cell>
          <cell r="I204" t="str">
            <v>Rupiah</v>
          </cell>
        </row>
        <row r="205">
          <cell r="E205" t="str">
            <v>W'</v>
          </cell>
        </row>
        <row r="207">
          <cell r="C207" t="str">
            <v>Biaya Pasti per Jam             =</v>
          </cell>
          <cell r="E207" t="str">
            <v>( E + F )</v>
          </cell>
          <cell r="G207" t="str">
            <v>G</v>
          </cell>
          <cell r="H207">
            <v>183279.74844119544</v>
          </cell>
          <cell r="I207" t="str">
            <v>Rupiah</v>
          </cell>
        </row>
        <row r="209">
          <cell r="A209" t="str">
            <v>C.</v>
          </cell>
          <cell r="C209" t="str">
            <v>BIAYA OPERASI PER JAM KERJA</v>
          </cell>
        </row>
        <row r="211">
          <cell r="A211" t="str">
            <v xml:space="preserve">       1.</v>
          </cell>
          <cell r="C211" t="str">
            <v xml:space="preserve">Bahan Bakar  =  (0.125-0.175 Ltr/HP/Jam)   x Pw x Ms </v>
          </cell>
          <cell r="G211" t="str">
            <v>H</v>
          </cell>
          <cell r="H211">
            <v>96250</v>
          </cell>
          <cell r="I211" t="str">
            <v>Rupiah</v>
          </cell>
        </row>
        <row r="213">
          <cell r="A213" t="str">
            <v xml:space="preserve">       2.</v>
          </cell>
          <cell r="C213" t="str">
            <v>Pelumas         =  (0.01-0.02 Ltr/HP/Jam) x Pw x Mp</v>
          </cell>
          <cell r="G213" t="str">
            <v>I</v>
          </cell>
          <cell r="H213">
            <v>56000.000000000007</v>
          </cell>
          <cell r="I213" t="str">
            <v>Rupiah</v>
          </cell>
        </row>
        <row r="215">
          <cell r="A215" t="str">
            <v xml:space="preserve">       3.</v>
          </cell>
          <cell r="C215" t="str">
            <v>Perawatan dan</v>
          </cell>
          <cell r="D215" t="str">
            <v>(12,5 % - 17,5 %)  x  B'</v>
          </cell>
          <cell r="G215" t="str">
            <v>K</v>
          </cell>
          <cell r="H215">
            <v>75625</v>
          </cell>
          <cell r="I215" t="str">
            <v>Rupiah</v>
          </cell>
        </row>
        <row r="216">
          <cell r="C216" t="str">
            <v xml:space="preserve">        perbaikan    =</v>
          </cell>
          <cell r="D216" t="str">
            <v>W'</v>
          </cell>
        </row>
        <row r="218">
          <cell r="A218" t="str">
            <v xml:space="preserve">       4.</v>
          </cell>
          <cell r="C218" t="str">
            <v>Operator</v>
          </cell>
          <cell r="D218" t="str">
            <v>=   ( 1  Orang / Jam )  x  U1</v>
          </cell>
          <cell r="G218" t="str">
            <v>L</v>
          </cell>
          <cell r="H218">
            <v>10000</v>
          </cell>
          <cell r="I218" t="str">
            <v>Rupiah</v>
          </cell>
        </row>
        <row r="219">
          <cell r="A219" t="str">
            <v xml:space="preserve">       5.</v>
          </cell>
          <cell r="C219" t="str">
            <v>Pembantu Operator</v>
          </cell>
          <cell r="D219" t="str">
            <v>=   ( 1  Orang / Jam )  x  U2</v>
          </cell>
          <cell r="G219" t="str">
            <v>M</v>
          </cell>
          <cell r="H219">
            <v>6500</v>
          </cell>
          <cell r="I219" t="str">
            <v>Rupiah</v>
          </cell>
        </row>
        <row r="221">
          <cell r="C221" t="str">
            <v>Biaya Operasi per Jam        =</v>
          </cell>
          <cell r="E221" t="str">
            <v>(H+I+K+L+M)</v>
          </cell>
          <cell r="G221" t="str">
            <v>P</v>
          </cell>
          <cell r="H221">
            <v>244375</v>
          </cell>
          <cell r="I221" t="str">
            <v>Rupiah</v>
          </cell>
        </row>
        <row r="223">
          <cell r="A223" t="str">
            <v>D.</v>
          </cell>
          <cell r="C223" t="str">
            <v>TOTAL BIAYA SEWA ALAT / JAM   =   ( G + P )</v>
          </cell>
          <cell r="G223" t="str">
            <v>S</v>
          </cell>
          <cell r="H223">
            <v>427654.74844119546</v>
          </cell>
          <cell r="I223" t="str">
            <v>Rupiah</v>
          </cell>
        </row>
        <row r="226">
          <cell r="A226" t="str">
            <v>E.</v>
          </cell>
          <cell r="C226" t="str">
            <v>LAIN - LAIN</v>
          </cell>
        </row>
        <row r="227">
          <cell r="A227" t="str">
            <v xml:space="preserve">       1.</v>
          </cell>
          <cell r="C227" t="str">
            <v>Tingkat Suku Bunga</v>
          </cell>
          <cell r="G227" t="str">
            <v>i</v>
          </cell>
          <cell r="H227">
            <v>20</v>
          </cell>
          <cell r="I227" t="str">
            <v>% / Tahun</v>
          </cell>
        </row>
        <row r="228">
          <cell r="A228" t="str">
            <v xml:space="preserve">       2.</v>
          </cell>
          <cell r="C228" t="str">
            <v>Upah Operator / Sopir</v>
          </cell>
          <cell r="G228" t="str">
            <v>U1</v>
          </cell>
          <cell r="H228">
            <v>10000</v>
          </cell>
          <cell r="I228" t="str">
            <v>Rp./Jam</v>
          </cell>
        </row>
        <row r="229">
          <cell r="A229" t="str">
            <v xml:space="preserve">       3.</v>
          </cell>
          <cell r="C229" t="str">
            <v>Upah Pembantu Operator / Pmb.Sopir</v>
          </cell>
          <cell r="G229" t="str">
            <v>U2</v>
          </cell>
          <cell r="H229">
            <v>6500</v>
          </cell>
          <cell r="I229" t="str">
            <v>Rp./Jam</v>
          </cell>
        </row>
        <row r="230">
          <cell r="A230" t="str">
            <v xml:space="preserve">       4.</v>
          </cell>
          <cell r="C230" t="str">
            <v>Bahan Bakar Bensin</v>
          </cell>
          <cell r="G230" t="str">
            <v>Mb</v>
          </cell>
          <cell r="H230">
            <v>6500</v>
          </cell>
          <cell r="I230" t="str">
            <v>Liter</v>
          </cell>
        </row>
        <row r="231">
          <cell r="A231" t="str">
            <v xml:space="preserve">       5.</v>
          </cell>
          <cell r="C231" t="str">
            <v>Bahan Bakar Solar</v>
          </cell>
          <cell r="G231" t="str">
            <v>Ms</v>
          </cell>
          <cell r="H231">
            <v>5500</v>
          </cell>
          <cell r="I231" t="str">
            <v>Liter</v>
          </cell>
        </row>
        <row r="232">
          <cell r="A232" t="str">
            <v xml:space="preserve">       6.</v>
          </cell>
          <cell r="C232" t="str">
            <v>Minyak Pelumas</v>
          </cell>
          <cell r="G232" t="str">
            <v>Mp</v>
          </cell>
          <cell r="H232">
            <v>40000</v>
          </cell>
          <cell r="I232" t="str">
            <v>Liter</v>
          </cell>
        </row>
        <row r="233">
          <cell r="A233" t="str">
            <v xml:space="preserve">       7.</v>
          </cell>
          <cell r="C233" t="str">
            <v>PPN diperhitungkan pada lembar Rekapitulasi</v>
          </cell>
        </row>
        <row r="234">
          <cell r="C234" t="str">
            <v>Biaya Pekerjaan</v>
          </cell>
        </row>
        <row r="296">
          <cell r="A296" t="str">
            <v>URAIAN PENGGUNAAN ALAT / ANALISA ALAT</v>
          </cell>
        </row>
        <row r="299">
          <cell r="A299" t="str">
            <v>No.</v>
          </cell>
          <cell r="C299" t="str">
            <v>U R A I A N</v>
          </cell>
          <cell r="G299" t="str">
            <v>KODE</v>
          </cell>
          <cell r="H299" t="str">
            <v>KOEF.</v>
          </cell>
          <cell r="I299" t="str">
            <v>SATUAN</v>
          </cell>
          <cell r="J299" t="str">
            <v>KET.</v>
          </cell>
        </row>
        <row r="302">
          <cell r="A302" t="str">
            <v>A.</v>
          </cell>
          <cell r="C302" t="str">
            <v>URAIAN PERALATAN</v>
          </cell>
        </row>
        <row r="303">
          <cell r="A303" t="str">
            <v xml:space="preserve">       1.</v>
          </cell>
          <cell r="C303" t="str">
            <v>Jenis Peralatan</v>
          </cell>
          <cell r="G303" t="str">
            <v>CONCRETE MIXER 0.3-0.6 M3</v>
          </cell>
          <cell r="J303" t="str">
            <v>E06</v>
          </cell>
        </row>
        <row r="304">
          <cell r="A304" t="str">
            <v xml:space="preserve">       2.</v>
          </cell>
          <cell r="C304" t="str">
            <v>Tenaga</v>
          </cell>
          <cell r="G304" t="str">
            <v>Pw</v>
          </cell>
          <cell r="H304">
            <v>15</v>
          </cell>
          <cell r="I304" t="str">
            <v>HP</v>
          </cell>
        </row>
        <row r="305">
          <cell r="A305" t="str">
            <v xml:space="preserve">       3.</v>
          </cell>
          <cell r="C305" t="str">
            <v>Kapasitas</v>
          </cell>
          <cell r="G305" t="str">
            <v>Cp</v>
          </cell>
          <cell r="H305">
            <v>500</v>
          </cell>
          <cell r="I305" t="str">
            <v>Liter</v>
          </cell>
        </row>
        <row r="306">
          <cell r="A306" t="str">
            <v xml:space="preserve">       4.</v>
          </cell>
          <cell r="C306" t="str">
            <v>Alat Baru                :</v>
          </cell>
          <cell r="D306" t="str">
            <v xml:space="preserve">  a.  Umur Ekonomis</v>
          </cell>
          <cell r="G306" t="str">
            <v>A</v>
          </cell>
          <cell r="H306">
            <v>4</v>
          </cell>
          <cell r="I306" t="str">
            <v>Tahun</v>
          </cell>
        </row>
        <row r="307">
          <cell r="D307" t="str">
            <v xml:space="preserve">  b.  Jam Kerja Dalam 1 Tahun</v>
          </cell>
          <cell r="G307" t="str">
            <v>W</v>
          </cell>
          <cell r="H307">
            <v>2000</v>
          </cell>
          <cell r="I307" t="str">
            <v>Jam</v>
          </cell>
        </row>
        <row r="308">
          <cell r="D308" t="str">
            <v xml:space="preserve">  c.  Harga Alat</v>
          </cell>
          <cell r="G308" t="str">
            <v>B</v>
          </cell>
          <cell r="H308">
            <v>39600000</v>
          </cell>
          <cell r="I308" t="str">
            <v>Rupiah</v>
          </cell>
        </row>
        <row r="309">
          <cell r="A309" t="str">
            <v xml:space="preserve">       5.</v>
          </cell>
          <cell r="C309" t="str">
            <v>Alat Yang Dipakai  :</v>
          </cell>
          <cell r="D309" t="str">
            <v xml:space="preserve">  a.  Umur Ekonomis</v>
          </cell>
          <cell r="G309" t="str">
            <v>A'</v>
          </cell>
          <cell r="H309">
            <v>4</v>
          </cell>
          <cell r="I309" t="str">
            <v>Tahun</v>
          </cell>
          <cell r="J309" t="str">
            <v xml:space="preserve"> Alat Baru</v>
          </cell>
        </row>
        <row r="310">
          <cell r="D310" t="str">
            <v xml:space="preserve">  b.  Jam Kerja Dalam 1 Tahun </v>
          </cell>
          <cell r="G310" t="str">
            <v>W'</v>
          </cell>
          <cell r="H310">
            <v>2000</v>
          </cell>
          <cell r="I310" t="str">
            <v>Jam</v>
          </cell>
          <cell r="J310" t="str">
            <v xml:space="preserve"> Alat Baru</v>
          </cell>
        </row>
        <row r="311">
          <cell r="D311" t="str">
            <v xml:space="preserve">  c.  Harga Alat   (*)</v>
          </cell>
          <cell r="G311" t="str">
            <v>B'</v>
          </cell>
          <cell r="H311">
            <v>39600000</v>
          </cell>
          <cell r="I311" t="str">
            <v>Rupiah</v>
          </cell>
          <cell r="J311" t="str">
            <v xml:space="preserve"> Alat Baru</v>
          </cell>
        </row>
        <row r="313">
          <cell r="A313" t="str">
            <v>B.</v>
          </cell>
          <cell r="C313" t="str">
            <v>BIAYA PASTI PER JAM KERJA</v>
          </cell>
        </row>
        <row r="314">
          <cell r="A314" t="str">
            <v xml:space="preserve">       1.</v>
          </cell>
          <cell r="C314" t="str">
            <v>Nilai Sisa Alat</v>
          </cell>
          <cell r="D314" t="str">
            <v>=  10 % x B</v>
          </cell>
          <cell r="G314" t="str">
            <v>C</v>
          </cell>
          <cell r="H314">
            <v>3960000</v>
          </cell>
          <cell r="I314" t="str">
            <v>Rupiah</v>
          </cell>
        </row>
        <row r="316">
          <cell r="A316" t="str">
            <v xml:space="preserve">       2.</v>
          </cell>
          <cell r="C316" t="str">
            <v>Faktor Angsuran Modal    =</v>
          </cell>
          <cell r="E316" t="str">
            <v>i x (1 + i)^A'</v>
          </cell>
          <cell r="G316" t="str">
            <v>D</v>
          </cell>
          <cell r="H316">
            <v>0.38628912071535026</v>
          </cell>
          <cell r="I316" t="str">
            <v>-</v>
          </cell>
        </row>
        <row r="317">
          <cell r="E317" t="str">
            <v>(1 + i)^A' - 1</v>
          </cell>
        </row>
        <row r="318">
          <cell r="A318" t="str">
            <v xml:space="preserve">       3.</v>
          </cell>
          <cell r="C318" t="str">
            <v>Biaya Pasti per Jam  :</v>
          </cell>
        </row>
        <row r="319">
          <cell r="C319" t="str">
            <v>a.  Biaya Pengembalian Modal  =</v>
          </cell>
          <cell r="E319" t="str">
            <v>( B' - C ) x D</v>
          </cell>
          <cell r="G319" t="str">
            <v>E</v>
          </cell>
          <cell r="H319">
            <v>6883.6721311475421</v>
          </cell>
          <cell r="I319" t="str">
            <v>Rupiah</v>
          </cell>
        </row>
        <row r="320">
          <cell r="E320" t="str">
            <v>W'</v>
          </cell>
        </row>
        <row r="322">
          <cell r="C322" t="str">
            <v>b.  Asuransi, dll =</v>
          </cell>
          <cell r="D322">
            <v>2E-3</v>
          </cell>
          <cell r="E322" t="str">
            <v xml:space="preserve">  x   B'</v>
          </cell>
          <cell r="G322" t="str">
            <v>F</v>
          </cell>
          <cell r="H322">
            <v>39.6</v>
          </cell>
          <cell r="I322" t="str">
            <v>Rupiah</v>
          </cell>
        </row>
        <row r="323">
          <cell r="E323" t="str">
            <v>W'</v>
          </cell>
        </row>
        <row r="325">
          <cell r="C325" t="str">
            <v>Biaya Pasti per Jam             =</v>
          </cell>
          <cell r="E325" t="str">
            <v>( E + F )</v>
          </cell>
          <cell r="G325" t="str">
            <v>G</v>
          </cell>
          <cell r="H325">
            <v>6923.2721311475425</v>
          </cell>
          <cell r="I325" t="str">
            <v>Rupiah</v>
          </cell>
        </row>
        <row r="327">
          <cell r="A327" t="str">
            <v>C.</v>
          </cell>
          <cell r="C327" t="str">
            <v>BIAYA OPERASI PER JAM KERJA</v>
          </cell>
        </row>
        <row r="329">
          <cell r="A329" t="str">
            <v xml:space="preserve">       1.</v>
          </cell>
          <cell r="C329" t="str">
            <v xml:space="preserve">Bahan Bakar  =  (0.125-0.175 Ltr/HP/Jam)   x Pw x Ms </v>
          </cell>
          <cell r="G329" t="str">
            <v>H</v>
          </cell>
          <cell r="H329">
            <v>10312.5</v>
          </cell>
          <cell r="I329" t="str">
            <v>Rupiah</v>
          </cell>
        </row>
        <row r="331">
          <cell r="A331" t="str">
            <v xml:space="preserve">       2.</v>
          </cell>
          <cell r="C331" t="str">
            <v>Pelumas         =  (0.01-0.02 Ltr/HP/Jam) x Pw x Mp</v>
          </cell>
          <cell r="G331" t="str">
            <v>I</v>
          </cell>
          <cell r="H331">
            <v>6000</v>
          </cell>
          <cell r="I331" t="str">
            <v>Rupiah</v>
          </cell>
        </row>
        <row r="333">
          <cell r="A333" t="str">
            <v xml:space="preserve">       3.</v>
          </cell>
          <cell r="C333" t="str">
            <v>Perawatan dan</v>
          </cell>
          <cell r="D333" t="str">
            <v>(12,5 % - 17,5 %)  x  B'</v>
          </cell>
          <cell r="G333" t="str">
            <v>K</v>
          </cell>
          <cell r="H333">
            <v>2475</v>
          </cell>
          <cell r="I333" t="str">
            <v>Rupiah</v>
          </cell>
        </row>
        <row r="334">
          <cell r="C334" t="str">
            <v xml:space="preserve">        perbaikan    =</v>
          </cell>
          <cell r="D334" t="str">
            <v>W'</v>
          </cell>
        </row>
        <row r="336">
          <cell r="A336" t="str">
            <v xml:space="preserve">       4.</v>
          </cell>
          <cell r="C336" t="str">
            <v>Operator</v>
          </cell>
          <cell r="D336" t="str">
            <v>=   ( 1  Orang / Jam )  x  U1</v>
          </cell>
          <cell r="G336" t="str">
            <v>L</v>
          </cell>
          <cell r="H336">
            <v>10000</v>
          </cell>
          <cell r="I336" t="str">
            <v>Rupiah</v>
          </cell>
        </row>
        <row r="337">
          <cell r="A337" t="str">
            <v xml:space="preserve">       5.</v>
          </cell>
          <cell r="C337" t="str">
            <v>Pembantu Operator</v>
          </cell>
          <cell r="D337" t="str">
            <v>=   ( 1  Orang / Jam )  x  U2</v>
          </cell>
          <cell r="G337" t="str">
            <v>M</v>
          </cell>
          <cell r="H337">
            <v>6500</v>
          </cell>
          <cell r="I337" t="str">
            <v>Rupiah</v>
          </cell>
        </row>
        <row r="339">
          <cell r="C339" t="str">
            <v>Biaya Operasi per Jam        =</v>
          </cell>
          <cell r="E339" t="str">
            <v>(H+I+K+L+M)</v>
          </cell>
          <cell r="G339" t="str">
            <v>P</v>
          </cell>
          <cell r="H339">
            <v>35287.5</v>
          </cell>
          <cell r="I339" t="str">
            <v>Rupiah</v>
          </cell>
        </row>
        <row r="341">
          <cell r="A341" t="str">
            <v>D.</v>
          </cell>
          <cell r="C341" t="str">
            <v>TOTAL BIAYA SEWA ALAT / JAM   =   ( G + P )</v>
          </cell>
          <cell r="G341" t="str">
            <v>S</v>
          </cell>
          <cell r="H341">
            <v>42210.77213114754</v>
          </cell>
          <cell r="I341" t="str">
            <v>Rupiah</v>
          </cell>
        </row>
        <row r="344">
          <cell r="A344" t="str">
            <v>E.</v>
          </cell>
          <cell r="C344" t="str">
            <v>LAIN - LAIN</v>
          </cell>
        </row>
        <row r="345">
          <cell r="A345" t="str">
            <v xml:space="preserve">       1.</v>
          </cell>
          <cell r="C345" t="str">
            <v>Tingkat Suku Bunga</v>
          </cell>
          <cell r="G345" t="str">
            <v>i</v>
          </cell>
          <cell r="H345">
            <v>20</v>
          </cell>
          <cell r="I345" t="str">
            <v>% / Tahun</v>
          </cell>
        </row>
        <row r="346">
          <cell r="A346" t="str">
            <v xml:space="preserve">       2.</v>
          </cell>
          <cell r="C346" t="str">
            <v>Upah Operator / Sopir</v>
          </cell>
          <cell r="G346" t="str">
            <v>U1</v>
          </cell>
          <cell r="H346">
            <v>10000</v>
          </cell>
          <cell r="I346" t="str">
            <v>Rp./Jam</v>
          </cell>
        </row>
        <row r="347">
          <cell r="A347" t="str">
            <v xml:space="preserve">       3.</v>
          </cell>
          <cell r="C347" t="str">
            <v>Upah Pembantu Operator / Pmb.Sopir</v>
          </cell>
          <cell r="G347" t="str">
            <v>U2</v>
          </cell>
          <cell r="H347">
            <v>6500</v>
          </cell>
          <cell r="I347" t="str">
            <v>Rp./Jam</v>
          </cell>
        </row>
        <row r="348">
          <cell r="A348" t="str">
            <v xml:space="preserve">       4.</v>
          </cell>
          <cell r="C348" t="str">
            <v>Bahan Bakar Bensin</v>
          </cell>
          <cell r="G348" t="str">
            <v>Mb</v>
          </cell>
          <cell r="H348">
            <v>6500</v>
          </cell>
          <cell r="I348" t="str">
            <v>Liter</v>
          </cell>
        </row>
        <row r="349">
          <cell r="A349" t="str">
            <v xml:space="preserve">       5.</v>
          </cell>
          <cell r="C349" t="str">
            <v>Bahan Bakar Solar</v>
          </cell>
          <cell r="G349" t="str">
            <v>Ms</v>
          </cell>
          <cell r="H349">
            <v>5500</v>
          </cell>
          <cell r="I349" t="str">
            <v>Liter</v>
          </cell>
        </row>
        <row r="350">
          <cell r="A350" t="str">
            <v xml:space="preserve">       6.</v>
          </cell>
          <cell r="C350" t="str">
            <v>Minyak Pelumas</v>
          </cell>
          <cell r="G350" t="str">
            <v>Mp</v>
          </cell>
          <cell r="H350">
            <v>40000</v>
          </cell>
          <cell r="I350" t="str">
            <v>Liter</v>
          </cell>
        </row>
        <row r="351">
          <cell r="A351" t="str">
            <v xml:space="preserve">       7.</v>
          </cell>
          <cell r="C351" t="str">
            <v>PPN diperhitungkan pada lembar Rekapitulasi</v>
          </cell>
        </row>
        <row r="352">
          <cell r="C352" t="str">
            <v>Biaya Pekerjaan</v>
          </cell>
        </row>
        <row r="355">
          <cell r="A355" t="str">
            <v>URAIAN PENGGUNAAN ALAT / ANALISA ALAT</v>
          </cell>
        </row>
        <row r="358">
          <cell r="A358" t="str">
            <v>No.</v>
          </cell>
          <cell r="C358" t="str">
            <v>U R A I A N</v>
          </cell>
          <cell r="G358" t="str">
            <v>KODE</v>
          </cell>
          <cell r="H358" t="str">
            <v>KOEF.</v>
          </cell>
          <cell r="I358" t="str">
            <v>SATUAN</v>
          </cell>
          <cell r="J358" t="str">
            <v>KET.</v>
          </cell>
        </row>
        <row r="361">
          <cell r="A361" t="str">
            <v>A.</v>
          </cell>
          <cell r="C361" t="str">
            <v>URAIAN PERALATAN</v>
          </cell>
        </row>
        <row r="362">
          <cell r="A362" t="str">
            <v xml:space="preserve">       1.</v>
          </cell>
          <cell r="C362" t="str">
            <v>Jenis Peralatan</v>
          </cell>
          <cell r="G362" t="str">
            <v>CRANE 10-15 TON</v>
          </cell>
          <cell r="J362" t="str">
            <v>E07</v>
          </cell>
        </row>
        <row r="363">
          <cell r="A363" t="str">
            <v xml:space="preserve">       2.</v>
          </cell>
          <cell r="C363" t="str">
            <v>Tenaga</v>
          </cell>
          <cell r="G363" t="str">
            <v>Pw</v>
          </cell>
          <cell r="H363">
            <v>150</v>
          </cell>
          <cell r="I363" t="str">
            <v>HP</v>
          </cell>
        </row>
        <row r="364">
          <cell r="A364" t="str">
            <v xml:space="preserve">       3.</v>
          </cell>
          <cell r="C364" t="str">
            <v>Kapasitas</v>
          </cell>
          <cell r="G364" t="str">
            <v>Cp</v>
          </cell>
          <cell r="H364">
            <v>15</v>
          </cell>
          <cell r="I364" t="str">
            <v>Ton</v>
          </cell>
        </row>
        <row r="365">
          <cell r="A365" t="str">
            <v xml:space="preserve">       4.</v>
          </cell>
          <cell r="C365" t="str">
            <v>Alat Baru                :</v>
          </cell>
          <cell r="D365" t="str">
            <v xml:space="preserve">  a.  Umur Ekonomis</v>
          </cell>
          <cell r="G365" t="str">
            <v>A</v>
          </cell>
          <cell r="H365">
            <v>5</v>
          </cell>
          <cell r="I365" t="str">
            <v>Tahun</v>
          </cell>
        </row>
        <row r="366">
          <cell r="D366" t="str">
            <v xml:space="preserve">  b.  Jam Kerja Dalam 1 Tahun</v>
          </cell>
          <cell r="G366" t="str">
            <v>W</v>
          </cell>
          <cell r="H366">
            <v>2000</v>
          </cell>
          <cell r="I366" t="str">
            <v>Jam</v>
          </cell>
        </row>
        <row r="367">
          <cell r="D367" t="str">
            <v xml:space="preserve">  c.  Harga Alat</v>
          </cell>
          <cell r="G367" t="str">
            <v>B</v>
          </cell>
          <cell r="H367">
            <v>836000000.00000012</v>
          </cell>
          <cell r="I367" t="str">
            <v>Rupiah</v>
          </cell>
        </row>
        <row r="368">
          <cell r="A368" t="str">
            <v xml:space="preserve">       5.</v>
          </cell>
          <cell r="C368" t="str">
            <v>Alat Yang Dipakai  :</v>
          </cell>
          <cell r="D368" t="str">
            <v xml:space="preserve">  a.  Umur Ekonomis</v>
          </cell>
          <cell r="G368" t="str">
            <v>A'</v>
          </cell>
          <cell r="H368">
            <v>5</v>
          </cell>
          <cell r="I368" t="str">
            <v>Tahun</v>
          </cell>
          <cell r="J368" t="str">
            <v xml:space="preserve"> Alat Baru</v>
          </cell>
        </row>
        <row r="369">
          <cell r="D369" t="str">
            <v xml:space="preserve">  b.  Jam Kerja Dalam 1 Tahun </v>
          </cell>
          <cell r="G369" t="str">
            <v>W'</v>
          </cell>
          <cell r="H369">
            <v>2000</v>
          </cell>
          <cell r="I369" t="str">
            <v>Jam</v>
          </cell>
          <cell r="J369" t="str">
            <v xml:space="preserve"> Alat Baru</v>
          </cell>
        </row>
        <row r="370">
          <cell r="D370" t="str">
            <v xml:space="preserve">  c.  Harga Alat   (*)</v>
          </cell>
          <cell r="G370" t="str">
            <v>B'</v>
          </cell>
          <cell r="H370">
            <v>836000000.00000012</v>
          </cell>
          <cell r="I370" t="str">
            <v>Rupiah</v>
          </cell>
          <cell r="J370" t="str">
            <v xml:space="preserve"> Alat Baru</v>
          </cell>
        </row>
        <row r="372">
          <cell r="A372" t="str">
            <v>B.</v>
          </cell>
          <cell r="C372" t="str">
            <v>BIAYA PASTI PER JAM KERJA</v>
          </cell>
        </row>
        <row r="373">
          <cell r="A373" t="str">
            <v xml:space="preserve">       1.</v>
          </cell>
          <cell r="C373" t="str">
            <v>Nilai Sisa Alat</v>
          </cell>
          <cell r="D373" t="str">
            <v>=  10 % x B</v>
          </cell>
          <cell r="G373" t="str">
            <v>C</v>
          </cell>
          <cell r="H373">
            <v>83600000.000000015</v>
          </cell>
          <cell r="I373" t="str">
            <v>Rupiah</v>
          </cell>
        </row>
        <row r="375">
          <cell r="A375" t="str">
            <v xml:space="preserve">       2.</v>
          </cell>
          <cell r="C375" t="str">
            <v>Faktor Angsuran Modal    =</v>
          </cell>
          <cell r="E375" t="str">
            <v>i x (1 + i)^A'</v>
          </cell>
          <cell r="G375" t="str">
            <v>D</v>
          </cell>
          <cell r="H375">
            <v>0.33437970328961514</v>
          </cell>
          <cell r="I375" t="str">
            <v>-</v>
          </cell>
        </row>
        <row r="376">
          <cell r="E376" t="str">
            <v>(1 + i)^A' - 1</v>
          </cell>
        </row>
        <row r="377">
          <cell r="A377" t="str">
            <v xml:space="preserve">       3.</v>
          </cell>
          <cell r="C377" t="str">
            <v>Biaya Pasti per Jam  :</v>
          </cell>
        </row>
        <row r="378">
          <cell r="C378" t="str">
            <v>a.  Biaya Pengembalian Modal  =</v>
          </cell>
          <cell r="E378" t="str">
            <v>( B' - C ) x D</v>
          </cell>
          <cell r="G378" t="str">
            <v>E</v>
          </cell>
          <cell r="H378">
            <v>125793.64437755324</v>
          </cell>
          <cell r="I378" t="str">
            <v>Rupiah</v>
          </cell>
        </row>
        <row r="379">
          <cell r="E379" t="str">
            <v>W'</v>
          </cell>
        </row>
        <row r="381">
          <cell r="C381" t="str">
            <v>b.  Asuransi, dll =</v>
          </cell>
          <cell r="D381">
            <v>2E-3</v>
          </cell>
          <cell r="E381" t="str">
            <v xml:space="preserve">  x   B'</v>
          </cell>
          <cell r="G381" t="str">
            <v>F</v>
          </cell>
          <cell r="H381">
            <v>836.00000000000011</v>
          </cell>
          <cell r="I381" t="str">
            <v>Rupiah</v>
          </cell>
        </row>
        <row r="382">
          <cell r="E382" t="str">
            <v>W'</v>
          </cell>
        </row>
        <row r="384">
          <cell r="C384" t="str">
            <v>Biaya Pasti per Jam             =</v>
          </cell>
          <cell r="E384" t="str">
            <v>( E + F )</v>
          </cell>
          <cell r="G384" t="str">
            <v>G</v>
          </cell>
          <cell r="H384">
            <v>126629.64437755324</v>
          </cell>
          <cell r="I384" t="str">
            <v>Rupiah</v>
          </cell>
        </row>
        <row r="386">
          <cell r="A386" t="str">
            <v>C.</v>
          </cell>
          <cell r="C386" t="str">
            <v>BIAYA OPERASI PER JAM KERJA</v>
          </cell>
        </row>
        <row r="388">
          <cell r="A388" t="str">
            <v xml:space="preserve">       1.</v>
          </cell>
          <cell r="C388" t="str">
            <v xml:space="preserve">Bahan Bakar  =  (0.125-0.175 Ltr/HP/Jam)   x Pw x Ms </v>
          </cell>
          <cell r="G388" t="str">
            <v>H</v>
          </cell>
          <cell r="H388">
            <v>103125</v>
          </cell>
          <cell r="I388" t="str">
            <v>Rupiah</v>
          </cell>
        </row>
        <row r="390">
          <cell r="A390" t="str">
            <v xml:space="preserve">       2.</v>
          </cell>
          <cell r="C390" t="str">
            <v>Pelumas         =  (0.01-0.02 Ltr/HP/Jam) x Pw x Mp</v>
          </cell>
          <cell r="G390" t="str">
            <v>I</v>
          </cell>
          <cell r="H390">
            <v>60000</v>
          </cell>
          <cell r="I390" t="str">
            <v>Rupiah</v>
          </cell>
        </row>
        <row r="392">
          <cell r="A392" t="str">
            <v xml:space="preserve">       3.</v>
          </cell>
          <cell r="C392" t="str">
            <v>Perawatan dan</v>
          </cell>
          <cell r="D392" t="str">
            <v>(12,5 % - 17,5 %)  x  B'</v>
          </cell>
          <cell r="G392" t="str">
            <v>K</v>
          </cell>
          <cell r="H392">
            <v>52250.000000000007</v>
          </cell>
          <cell r="I392" t="str">
            <v>Rupiah</v>
          </cell>
        </row>
        <row r="393">
          <cell r="C393" t="str">
            <v xml:space="preserve">        perbaikan    =</v>
          </cell>
          <cell r="D393" t="str">
            <v>W'</v>
          </cell>
        </row>
        <row r="395">
          <cell r="A395" t="str">
            <v xml:space="preserve">       4.</v>
          </cell>
          <cell r="C395" t="str">
            <v>Operator</v>
          </cell>
          <cell r="D395" t="str">
            <v>=   ( 1  Orang / Jam )  x  U1</v>
          </cell>
          <cell r="G395" t="str">
            <v>L</v>
          </cell>
          <cell r="H395">
            <v>10000</v>
          </cell>
          <cell r="I395" t="str">
            <v>Rupiah</v>
          </cell>
        </row>
        <row r="396">
          <cell r="A396" t="str">
            <v xml:space="preserve">       5.</v>
          </cell>
          <cell r="C396" t="str">
            <v>Pembantu Operator</v>
          </cell>
          <cell r="D396" t="str">
            <v>=   ( 1  Orang / Jam )  x  U2</v>
          </cell>
          <cell r="G396" t="str">
            <v>M</v>
          </cell>
          <cell r="H396">
            <v>6500</v>
          </cell>
          <cell r="I396" t="str">
            <v>Rupiah</v>
          </cell>
        </row>
        <row r="398">
          <cell r="C398" t="str">
            <v>Biaya Operasi per Jam        =</v>
          </cell>
          <cell r="E398" t="str">
            <v>(H+I+K+L+M)</v>
          </cell>
          <cell r="G398" t="str">
            <v>P</v>
          </cell>
          <cell r="H398">
            <v>231875</v>
          </cell>
          <cell r="I398" t="str">
            <v>Rupiah</v>
          </cell>
        </row>
        <row r="400">
          <cell r="A400" t="str">
            <v>D.</v>
          </cell>
          <cell r="C400" t="str">
            <v>TOTAL BIAYA SEWA ALAT / JAM   =   ( G + P )</v>
          </cell>
          <cell r="G400" t="str">
            <v>S</v>
          </cell>
          <cell r="H400">
            <v>358504.64437755325</v>
          </cell>
          <cell r="I400" t="str">
            <v>Rupiah</v>
          </cell>
        </row>
        <row r="403">
          <cell r="A403" t="str">
            <v>E.</v>
          </cell>
          <cell r="C403" t="str">
            <v>LAIN - LAIN</v>
          </cell>
        </row>
        <row r="404">
          <cell r="A404" t="str">
            <v xml:space="preserve">       1.</v>
          </cell>
          <cell r="C404" t="str">
            <v>Tingkat Suku Bunga</v>
          </cell>
          <cell r="G404" t="str">
            <v>i</v>
          </cell>
          <cell r="H404">
            <v>20</v>
          </cell>
          <cell r="I404" t="str">
            <v>% / Tahun</v>
          </cell>
        </row>
        <row r="405">
          <cell r="A405" t="str">
            <v xml:space="preserve">       2.</v>
          </cell>
          <cell r="C405" t="str">
            <v>Upah Operator / Sopir</v>
          </cell>
          <cell r="G405" t="str">
            <v>U1</v>
          </cell>
          <cell r="H405">
            <v>10000</v>
          </cell>
          <cell r="I405" t="str">
            <v>Rp./Jam</v>
          </cell>
        </row>
        <row r="406">
          <cell r="A406" t="str">
            <v xml:space="preserve">       3.</v>
          </cell>
          <cell r="C406" t="str">
            <v>Upah Pembantu Operator / Pmb.Sopir</v>
          </cell>
          <cell r="G406" t="str">
            <v>U2</v>
          </cell>
          <cell r="H406">
            <v>6500</v>
          </cell>
          <cell r="I406" t="str">
            <v>Rp./Jam</v>
          </cell>
        </row>
        <row r="407">
          <cell r="A407" t="str">
            <v xml:space="preserve">       4.</v>
          </cell>
          <cell r="C407" t="str">
            <v>Bahan Bakar Bensin</v>
          </cell>
          <cell r="G407" t="str">
            <v>Mb</v>
          </cell>
          <cell r="H407">
            <v>6500</v>
          </cell>
          <cell r="I407" t="str">
            <v>Liter</v>
          </cell>
        </row>
        <row r="408">
          <cell r="A408" t="str">
            <v xml:space="preserve">       5.</v>
          </cell>
          <cell r="C408" t="str">
            <v>Bahan Bakar Solar</v>
          </cell>
          <cell r="G408" t="str">
            <v>Ms</v>
          </cell>
          <cell r="H408">
            <v>5500</v>
          </cell>
          <cell r="I408" t="str">
            <v>Liter</v>
          </cell>
        </row>
        <row r="409">
          <cell r="A409" t="str">
            <v xml:space="preserve">       6.</v>
          </cell>
          <cell r="C409" t="str">
            <v>Minyak Pelumas</v>
          </cell>
          <cell r="G409" t="str">
            <v>Mp</v>
          </cell>
          <cell r="H409">
            <v>40000</v>
          </cell>
          <cell r="I409" t="str">
            <v>Liter</v>
          </cell>
        </row>
        <row r="410">
          <cell r="A410" t="str">
            <v xml:space="preserve">       7.</v>
          </cell>
          <cell r="C410" t="str">
            <v>PPN diperhitungkan pada lembar Rekapitulasi</v>
          </cell>
        </row>
        <row r="411">
          <cell r="C411" t="str">
            <v>Biaya Pekerjaan</v>
          </cell>
        </row>
        <row r="414">
          <cell r="A414" t="str">
            <v>URAIAN PENGGUNAAN ALAT / ANALISA ALAT</v>
          </cell>
        </row>
        <row r="417">
          <cell r="A417" t="str">
            <v>No.</v>
          </cell>
          <cell r="C417" t="str">
            <v>U R A I A N</v>
          </cell>
          <cell r="G417" t="str">
            <v>KODE</v>
          </cell>
          <cell r="H417" t="str">
            <v>KOEF.</v>
          </cell>
          <cell r="I417" t="str">
            <v>SATUAN</v>
          </cell>
          <cell r="J417" t="str">
            <v>KET.</v>
          </cell>
        </row>
        <row r="420">
          <cell r="A420" t="str">
            <v>A.</v>
          </cell>
          <cell r="C420" t="str">
            <v>URAIAN PERALATAN</v>
          </cell>
        </row>
        <row r="421">
          <cell r="A421" t="str">
            <v xml:space="preserve">       1.</v>
          </cell>
          <cell r="C421" t="str">
            <v>Jenis Peralatan</v>
          </cell>
          <cell r="G421" t="str">
            <v>DUMP TRUCK 3-4 M3</v>
          </cell>
          <cell r="J421" t="str">
            <v>E08</v>
          </cell>
        </row>
        <row r="422">
          <cell r="A422" t="str">
            <v xml:space="preserve">       2.</v>
          </cell>
          <cell r="C422" t="str">
            <v>Tenaga</v>
          </cell>
          <cell r="G422" t="str">
            <v>Pw</v>
          </cell>
          <cell r="H422">
            <v>100</v>
          </cell>
          <cell r="I422" t="str">
            <v>HP</v>
          </cell>
        </row>
        <row r="423">
          <cell r="A423" t="str">
            <v xml:space="preserve">       3.</v>
          </cell>
          <cell r="C423" t="str">
            <v>Kapasitas</v>
          </cell>
          <cell r="G423" t="str">
            <v>Cp</v>
          </cell>
          <cell r="H423">
            <v>6</v>
          </cell>
          <cell r="I423" t="str">
            <v>Ton</v>
          </cell>
        </row>
        <row r="424">
          <cell r="A424" t="str">
            <v xml:space="preserve">       4.</v>
          </cell>
          <cell r="C424" t="str">
            <v>Alat Baru                :</v>
          </cell>
          <cell r="D424" t="str">
            <v xml:space="preserve">  a.  Umur Ekonomis</v>
          </cell>
          <cell r="G424" t="str">
            <v>A</v>
          </cell>
          <cell r="H424">
            <v>5</v>
          </cell>
          <cell r="I424" t="str">
            <v>Tahun</v>
          </cell>
        </row>
        <row r="425">
          <cell r="D425" t="str">
            <v xml:space="preserve">  b.  Jam Kerja Dalam 1 Tahun</v>
          </cell>
          <cell r="G425" t="str">
            <v>W</v>
          </cell>
          <cell r="H425">
            <v>2000</v>
          </cell>
          <cell r="I425" t="str">
            <v>Jam</v>
          </cell>
        </row>
        <row r="426">
          <cell r="D426" t="str">
            <v xml:space="preserve">  c.  Harga Alat</v>
          </cell>
          <cell r="G426" t="str">
            <v>B</v>
          </cell>
          <cell r="H426">
            <v>209000000.00000003</v>
          </cell>
          <cell r="I426" t="str">
            <v>Rupiah</v>
          </cell>
        </row>
        <row r="427">
          <cell r="A427" t="str">
            <v xml:space="preserve">       5.</v>
          </cell>
          <cell r="C427" t="str">
            <v>Alat Yang Dipakai  :</v>
          </cell>
          <cell r="D427" t="str">
            <v xml:space="preserve">  a.  Umur Ekonomis</v>
          </cell>
          <cell r="G427" t="str">
            <v>A'</v>
          </cell>
          <cell r="H427">
            <v>5</v>
          </cell>
          <cell r="I427" t="str">
            <v>Tahun</v>
          </cell>
          <cell r="J427" t="str">
            <v xml:space="preserve"> Alat Baru</v>
          </cell>
        </row>
        <row r="428">
          <cell r="D428" t="str">
            <v xml:space="preserve">  b.  Jam Kerja Dalam 1 Tahun </v>
          </cell>
          <cell r="G428" t="str">
            <v>W'</v>
          </cell>
          <cell r="H428">
            <v>2000</v>
          </cell>
          <cell r="I428" t="str">
            <v>Jam</v>
          </cell>
          <cell r="J428" t="str">
            <v xml:space="preserve"> Alat Baru</v>
          </cell>
        </row>
        <row r="429">
          <cell r="D429" t="str">
            <v xml:space="preserve">  c.  Harga Alat   (*)</v>
          </cell>
          <cell r="G429" t="str">
            <v>B'</v>
          </cell>
          <cell r="H429">
            <v>209000000.00000003</v>
          </cell>
          <cell r="I429" t="str">
            <v>Rupiah</v>
          </cell>
          <cell r="J429" t="str">
            <v xml:space="preserve"> Alat Baru</v>
          </cell>
        </row>
        <row r="431">
          <cell r="A431" t="str">
            <v>B.</v>
          </cell>
          <cell r="C431" t="str">
            <v>BIAYA PASTI PER JAM KERJA</v>
          </cell>
        </row>
        <row r="432">
          <cell r="A432" t="str">
            <v xml:space="preserve">       1.</v>
          </cell>
          <cell r="C432" t="str">
            <v>Nilai Sisa Alat</v>
          </cell>
          <cell r="D432" t="str">
            <v>=  10 % x B</v>
          </cell>
          <cell r="G432" t="str">
            <v>C</v>
          </cell>
          <cell r="H432">
            <v>20900000.000000004</v>
          </cell>
          <cell r="I432" t="str">
            <v>Rupiah</v>
          </cell>
        </row>
        <row r="434">
          <cell r="A434" t="str">
            <v xml:space="preserve">       2.</v>
          </cell>
          <cell r="C434" t="str">
            <v>Faktor Angsuran Modal    =</v>
          </cell>
          <cell r="E434" t="str">
            <v>i x (1 + i)^A'</v>
          </cell>
          <cell r="G434" t="str">
            <v>D</v>
          </cell>
          <cell r="H434">
            <v>0.33437970328961514</v>
          </cell>
          <cell r="I434" t="str">
            <v>-</v>
          </cell>
        </row>
        <row r="435">
          <cell r="E435" t="str">
            <v>(1 + i)^A' - 1</v>
          </cell>
        </row>
        <row r="436">
          <cell r="A436" t="str">
            <v xml:space="preserve">       3.</v>
          </cell>
          <cell r="C436" t="str">
            <v>Biaya Pasti per Jam  :</v>
          </cell>
        </row>
        <row r="437">
          <cell r="C437" t="str">
            <v>a.  Biaya Pengembalian Modal  =</v>
          </cell>
          <cell r="E437" t="str">
            <v>( B' - C ) x D</v>
          </cell>
          <cell r="G437" t="str">
            <v>E</v>
          </cell>
          <cell r="H437">
            <v>31448.41109438831</v>
          </cell>
          <cell r="I437" t="str">
            <v>Rupiah</v>
          </cell>
        </row>
        <row r="438">
          <cell r="E438" t="str">
            <v>W'</v>
          </cell>
        </row>
        <row r="440">
          <cell r="C440" t="str">
            <v>b.  Asuransi, dll =</v>
          </cell>
          <cell r="D440">
            <v>2E-3</v>
          </cell>
          <cell r="E440" t="str">
            <v xml:space="preserve">  x   B'</v>
          </cell>
          <cell r="G440" t="str">
            <v>F</v>
          </cell>
          <cell r="H440">
            <v>209.00000000000003</v>
          </cell>
          <cell r="I440" t="str">
            <v>Rupiah</v>
          </cell>
        </row>
        <row r="441">
          <cell r="E441" t="str">
            <v>W'</v>
          </cell>
        </row>
        <row r="443">
          <cell r="C443" t="str">
            <v>Biaya Pasti per Jam             =</v>
          </cell>
          <cell r="E443" t="str">
            <v>( E + F )</v>
          </cell>
          <cell r="G443" t="str">
            <v>G</v>
          </cell>
          <cell r="H443">
            <v>31657.41109438831</v>
          </cell>
          <cell r="I443" t="str">
            <v>Rupiah</v>
          </cell>
        </row>
        <row r="445">
          <cell r="A445" t="str">
            <v>C.</v>
          </cell>
          <cell r="C445" t="str">
            <v>BIAYA OPERASI PER JAM KERJA</v>
          </cell>
        </row>
        <row r="447">
          <cell r="A447" t="str">
            <v xml:space="preserve">       1.</v>
          </cell>
          <cell r="C447" t="str">
            <v xml:space="preserve">Bahan Bakar  =  (0.125-0.175 Ltr/HP/Jam)   x Pw x Ms </v>
          </cell>
          <cell r="G447" t="str">
            <v>H</v>
          </cell>
          <cell r="H447">
            <v>68750</v>
          </cell>
          <cell r="I447" t="str">
            <v>Rupiah</v>
          </cell>
        </row>
        <row r="449">
          <cell r="A449" t="str">
            <v xml:space="preserve">       2.</v>
          </cell>
          <cell r="C449" t="str">
            <v>Pelumas         =  (0.01-0.02 Ltr/HP/Jam) x Pw x Mp</v>
          </cell>
          <cell r="G449" t="str">
            <v>I</v>
          </cell>
          <cell r="H449">
            <v>40000</v>
          </cell>
          <cell r="I449" t="str">
            <v>Rupiah</v>
          </cell>
        </row>
        <row r="451">
          <cell r="A451" t="str">
            <v xml:space="preserve">       3.</v>
          </cell>
          <cell r="C451" t="str">
            <v>Perawatan dan</v>
          </cell>
          <cell r="D451" t="str">
            <v>(12,5 % - 17,5 %)  x  B'</v>
          </cell>
          <cell r="G451" t="str">
            <v>K</v>
          </cell>
          <cell r="H451">
            <v>13062.500000000002</v>
          </cell>
          <cell r="I451" t="str">
            <v>Rupiah</v>
          </cell>
        </row>
        <row r="452">
          <cell r="C452" t="str">
            <v xml:space="preserve">        perbaikan    =</v>
          </cell>
          <cell r="D452" t="str">
            <v>W'</v>
          </cell>
        </row>
        <row r="454">
          <cell r="A454" t="str">
            <v xml:space="preserve">       4.</v>
          </cell>
          <cell r="C454" t="str">
            <v>Operator</v>
          </cell>
          <cell r="D454" t="str">
            <v>=   ( 1  Orang / Jam )  x  U1</v>
          </cell>
          <cell r="G454" t="str">
            <v>L</v>
          </cell>
          <cell r="H454">
            <v>10000</v>
          </cell>
          <cell r="I454" t="str">
            <v>Rupiah</v>
          </cell>
        </row>
        <row r="455">
          <cell r="A455" t="str">
            <v xml:space="preserve">       5.</v>
          </cell>
          <cell r="C455" t="str">
            <v>Pembantu Operator</v>
          </cell>
          <cell r="D455" t="str">
            <v>=   ( 1  Orang / Jam )  x  U2</v>
          </cell>
          <cell r="G455" t="str">
            <v>M</v>
          </cell>
          <cell r="H455">
            <v>6500</v>
          </cell>
          <cell r="I455" t="str">
            <v>Rupiah</v>
          </cell>
        </row>
        <row r="457">
          <cell r="C457" t="str">
            <v>Biaya Operasi per Jam        =</v>
          </cell>
          <cell r="E457" t="str">
            <v>(H+I+K+L+M)</v>
          </cell>
          <cell r="G457" t="str">
            <v>P</v>
          </cell>
          <cell r="H457">
            <v>138312.5</v>
          </cell>
          <cell r="I457" t="str">
            <v>Rupiah</v>
          </cell>
        </row>
        <row r="459">
          <cell r="A459" t="str">
            <v>D.</v>
          </cell>
          <cell r="C459" t="str">
            <v>TOTAL BIAYA SEWA ALAT / JAM   =   ( G + P )</v>
          </cell>
          <cell r="G459" t="str">
            <v>S</v>
          </cell>
          <cell r="H459">
            <v>169969.91109438831</v>
          </cell>
          <cell r="I459" t="str">
            <v>Rupiah</v>
          </cell>
        </row>
        <row r="462">
          <cell r="A462" t="str">
            <v>E.</v>
          </cell>
          <cell r="C462" t="str">
            <v>LAIN - LAIN</v>
          </cell>
        </row>
        <row r="463">
          <cell r="A463" t="str">
            <v xml:space="preserve">       1.</v>
          </cell>
          <cell r="C463" t="str">
            <v>Tingkat Suku Bunga</v>
          </cell>
          <cell r="G463" t="str">
            <v>i</v>
          </cell>
          <cell r="H463">
            <v>20</v>
          </cell>
          <cell r="I463" t="str">
            <v>% / Tahun</v>
          </cell>
        </row>
        <row r="464">
          <cell r="A464" t="str">
            <v xml:space="preserve">       2.</v>
          </cell>
          <cell r="C464" t="str">
            <v>Upah Operator / Sopir / Mekanik</v>
          </cell>
          <cell r="G464" t="str">
            <v>U1</v>
          </cell>
          <cell r="H464">
            <v>10000</v>
          </cell>
          <cell r="I464" t="str">
            <v>Rp./Jam</v>
          </cell>
        </row>
        <row r="465">
          <cell r="A465" t="str">
            <v xml:space="preserve">       3.</v>
          </cell>
          <cell r="C465" t="str">
            <v>Upah Pembantu Operator / Pmb.Sopir / Pmb.Mekanik</v>
          </cell>
          <cell r="G465" t="str">
            <v>U2</v>
          </cell>
          <cell r="H465">
            <v>6500</v>
          </cell>
          <cell r="I465" t="str">
            <v>Rp./Jam</v>
          </cell>
        </row>
        <row r="466">
          <cell r="A466" t="str">
            <v xml:space="preserve">       4.</v>
          </cell>
          <cell r="C466" t="str">
            <v>Bahan Bakar Bensin</v>
          </cell>
          <cell r="G466" t="str">
            <v>Mb</v>
          </cell>
          <cell r="H466">
            <v>6500</v>
          </cell>
          <cell r="I466" t="str">
            <v>Liter</v>
          </cell>
        </row>
        <row r="467">
          <cell r="A467" t="str">
            <v xml:space="preserve">       5.</v>
          </cell>
          <cell r="C467" t="str">
            <v>Bahan Bakar Solar</v>
          </cell>
          <cell r="G467" t="str">
            <v>Ms</v>
          </cell>
          <cell r="H467">
            <v>5500</v>
          </cell>
          <cell r="I467" t="str">
            <v>Liter</v>
          </cell>
        </row>
        <row r="468">
          <cell r="A468" t="str">
            <v xml:space="preserve">       6.</v>
          </cell>
          <cell r="C468" t="str">
            <v>Minyak Pelumas</v>
          </cell>
          <cell r="G468" t="str">
            <v>Mp</v>
          </cell>
          <cell r="H468">
            <v>40000</v>
          </cell>
          <cell r="I468" t="str">
            <v>Liter</v>
          </cell>
        </row>
        <row r="469">
          <cell r="A469" t="str">
            <v xml:space="preserve">       7.</v>
          </cell>
          <cell r="C469" t="str">
            <v>PPN diperhitungkan pada lembar Rekapitulasi</v>
          </cell>
        </row>
        <row r="470">
          <cell r="C470" t="str">
            <v>Biaya Pekerjaan</v>
          </cell>
        </row>
        <row r="473">
          <cell r="A473" t="str">
            <v>URAIAN PENGGUNAAN ALAT / ANALISA ALAT</v>
          </cell>
        </row>
        <row r="476">
          <cell r="A476" t="str">
            <v>No.</v>
          </cell>
          <cell r="C476" t="str">
            <v>U R A I A N</v>
          </cell>
          <cell r="G476" t="str">
            <v>KODE</v>
          </cell>
          <cell r="H476" t="str">
            <v>KOEF.</v>
          </cell>
          <cell r="I476" t="str">
            <v>SATUAN</v>
          </cell>
          <cell r="J476" t="str">
            <v>KET.</v>
          </cell>
        </row>
        <row r="479">
          <cell r="A479" t="str">
            <v>A.</v>
          </cell>
          <cell r="C479" t="str">
            <v>URAIAN PERALATAN</v>
          </cell>
        </row>
        <row r="480">
          <cell r="A480" t="str">
            <v xml:space="preserve">       1.</v>
          </cell>
          <cell r="C480" t="str">
            <v>Jenis Peralatan</v>
          </cell>
          <cell r="G480" t="str">
            <v>DUMP TRUCK</v>
          </cell>
          <cell r="J480" t="str">
            <v>E09</v>
          </cell>
        </row>
        <row r="481">
          <cell r="A481" t="str">
            <v xml:space="preserve">       2.</v>
          </cell>
          <cell r="C481" t="str">
            <v>Tenaga</v>
          </cell>
          <cell r="G481" t="str">
            <v>Pw</v>
          </cell>
          <cell r="H481">
            <v>125</v>
          </cell>
          <cell r="I481" t="str">
            <v>HP</v>
          </cell>
        </row>
        <row r="482">
          <cell r="A482" t="str">
            <v xml:space="preserve">       3.</v>
          </cell>
          <cell r="C482" t="str">
            <v>Kapasitas</v>
          </cell>
          <cell r="G482" t="str">
            <v>Cp</v>
          </cell>
          <cell r="H482">
            <v>8</v>
          </cell>
          <cell r="I482" t="str">
            <v>Ton</v>
          </cell>
        </row>
        <row r="483">
          <cell r="A483" t="str">
            <v xml:space="preserve">       4.</v>
          </cell>
          <cell r="C483" t="str">
            <v>Alat Baru                :</v>
          </cell>
          <cell r="D483" t="str">
            <v xml:space="preserve">  a.  Umur Ekonomis</v>
          </cell>
          <cell r="G483" t="str">
            <v>A</v>
          </cell>
          <cell r="H483">
            <v>5</v>
          </cell>
          <cell r="I483" t="str">
            <v>Tahun</v>
          </cell>
        </row>
        <row r="484">
          <cell r="D484" t="str">
            <v xml:space="preserve">  b.  Jam Kerja Dalam 1 Tahun</v>
          </cell>
          <cell r="G484" t="str">
            <v>W</v>
          </cell>
          <cell r="H484">
            <v>2000</v>
          </cell>
          <cell r="I484" t="str">
            <v>Jam</v>
          </cell>
        </row>
        <row r="485">
          <cell r="D485" t="str">
            <v xml:space="preserve">  c.  Harga Alat</v>
          </cell>
          <cell r="G485" t="str">
            <v>B</v>
          </cell>
          <cell r="H485">
            <v>330000000</v>
          </cell>
          <cell r="I485" t="str">
            <v>Rupiah</v>
          </cell>
        </row>
        <row r="486">
          <cell r="A486" t="str">
            <v xml:space="preserve">       5.</v>
          </cell>
          <cell r="C486" t="str">
            <v>Alat Yang Dipakai  :</v>
          </cell>
          <cell r="D486" t="str">
            <v xml:space="preserve">  a.  Umur Ekonomis</v>
          </cell>
          <cell r="G486" t="str">
            <v>A'</v>
          </cell>
          <cell r="H486">
            <v>5</v>
          </cell>
          <cell r="I486" t="str">
            <v>Tahun</v>
          </cell>
          <cell r="J486" t="str">
            <v xml:space="preserve"> Alat Baru</v>
          </cell>
        </row>
        <row r="487">
          <cell r="D487" t="str">
            <v xml:space="preserve">  b.  Jam Kerja Dalam 1 Tahun </v>
          </cell>
          <cell r="G487" t="str">
            <v>W'</v>
          </cell>
          <cell r="H487">
            <v>2000</v>
          </cell>
          <cell r="I487" t="str">
            <v>Jam</v>
          </cell>
          <cell r="J487" t="str">
            <v xml:space="preserve"> Alat Baru</v>
          </cell>
        </row>
        <row r="488">
          <cell r="D488" t="str">
            <v xml:space="preserve">  c.  Harga Alat   (*)</v>
          </cell>
          <cell r="G488" t="str">
            <v>B'</v>
          </cell>
          <cell r="H488">
            <v>330000000</v>
          </cell>
          <cell r="I488" t="str">
            <v>Rupiah</v>
          </cell>
          <cell r="J488" t="str">
            <v xml:space="preserve"> Alat Baru</v>
          </cell>
        </row>
        <row r="490">
          <cell r="A490" t="str">
            <v>B.</v>
          </cell>
          <cell r="C490" t="str">
            <v>BIAYA PASTI PER JAM KERJA</v>
          </cell>
        </row>
        <row r="491">
          <cell r="A491" t="str">
            <v xml:space="preserve">       1.</v>
          </cell>
          <cell r="C491" t="str">
            <v>Nilai Sisa Alat</v>
          </cell>
          <cell r="D491" t="str">
            <v>=  10 % x B</v>
          </cell>
          <cell r="G491" t="str">
            <v>C</v>
          </cell>
          <cell r="H491">
            <v>33000000</v>
          </cell>
          <cell r="I491" t="str">
            <v>Rupiah</v>
          </cell>
        </row>
        <row r="493">
          <cell r="A493" t="str">
            <v xml:space="preserve">       2.</v>
          </cell>
          <cell r="C493" t="str">
            <v>Faktor Angsuran Modal    =</v>
          </cell>
          <cell r="E493" t="str">
            <v>i x (1 + i)^A'</v>
          </cell>
          <cell r="G493" t="str">
            <v>D</v>
          </cell>
          <cell r="H493">
            <v>0.33437970328961514</v>
          </cell>
          <cell r="I493" t="str">
            <v>-</v>
          </cell>
        </row>
        <row r="494">
          <cell r="E494" t="str">
            <v>(1 + i)^A' - 1</v>
          </cell>
        </row>
        <row r="495">
          <cell r="A495" t="str">
            <v xml:space="preserve">       3.</v>
          </cell>
          <cell r="C495" t="str">
            <v>Biaya Pasti per Jam  :</v>
          </cell>
        </row>
        <row r="496">
          <cell r="C496" t="str">
            <v>a.  Biaya Pengembalian Modal  =</v>
          </cell>
          <cell r="E496" t="str">
            <v>( B' - C ) x D</v>
          </cell>
          <cell r="G496" t="str">
            <v>E</v>
          </cell>
          <cell r="H496">
            <v>49655.385938507847</v>
          </cell>
          <cell r="I496" t="str">
            <v>Rupiah</v>
          </cell>
        </row>
        <row r="497">
          <cell r="E497" t="str">
            <v>W'</v>
          </cell>
        </row>
        <row r="499">
          <cell r="C499" t="str">
            <v>b.  Asuransi, dll =</v>
          </cell>
          <cell r="D499">
            <v>2E-3</v>
          </cell>
          <cell r="E499" t="str">
            <v xml:space="preserve">  x   B'</v>
          </cell>
          <cell r="G499" t="str">
            <v>F</v>
          </cell>
          <cell r="H499">
            <v>330</v>
          </cell>
          <cell r="I499" t="str">
            <v>Rupiah</v>
          </cell>
        </row>
        <row r="500">
          <cell r="E500" t="str">
            <v>W'</v>
          </cell>
        </row>
        <row r="502">
          <cell r="C502" t="str">
            <v>Biaya Pasti per Jam             =</v>
          </cell>
          <cell r="E502" t="str">
            <v>( E + F )</v>
          </cell>
          <cell r="G502" t="str">
            <v>G</v>
          </cell>
          <cell r="H502">
            <v>49985.385938507847</v>
          </cell>
          <cell r="I502" t="str">
            <v>Rupiah</v>
          </cell>
        </row>
        <row r="504">
          <cell r="A504" t="str">
            <v>C.</v>
          </cell>
          <cell r="C504" t="str">
            <v>BIAYA OPERASI PER JAM KERJA</v>
          </cell>
        </row>
        <row r="506">
          <cell r="A506" t="str">
            <v xml:space="preserve">       1.</v>
          </cell>
          <cell r="C506" t="str">
            <v xml:space="preserve">Bahan Bakar  =  (0.125-0.175 Ltr/HP/Jam)   x Pw x Ms </v>
          </cell>
          <cell r="G506" t="str">
            <v>H</v>
          </cell>
          <cell r="H506">
            <v>85937.5</v>
          </cell>
          <cell r="I506" t="str">
            <v>Rupiah</v>
          </cell>
        </row>
        <row r="508">
          <cell r="A508" t="str">
            <v xml:space="preserve">       2.</v>
          </cell>
          <cell r="C508" t="str">
            <v>Pelumas         =  (0.01-0.02 Ltr/HP/Jam) x Pw x Mp</v>
          </cell>
          <cell r="G508" t="str">
            <v>I</v>
          </cell>
          <cell r="H508">
            <v>50000</v>
          </cell>
          <cell r="I508" t="str">
            <v>Rupiah</v>
          </cell>
        </row>
        <row r="510">
          <cell r="A510" t="str">
            <v xml:space="preserve">       3.</v>
          </cell>
          <cell r="C510" t="str">
            <v>Perawatan dan</v>
          </cell>
          <cell r="D510" t="str">
            <v>(12,5 % - 17,5 %)  x  B'</v>
          </cell>
          <cell r="G510" t="str">
            <v>K</v>
          </cell>
          <cell r="H510">
            <v>20625</v>
          </cell>
          <cell r="I510" t="str">
            <v>Rupiah</v>
          </cell>
        </row>
        <row r="511">
          <cell r="C511" t="str">
            <v xml:space="preserve">        perbaikan    =</v>
          </cell>
          <cell r="D511" t="str">
            <v>W'</v>
          </cell>
        </row>
        <row r="513">
          <cell r="A513" t="str">
            <v xml:space="preserve">       4.</v>
          </cell>
          <cell r="C513" t="str">
            <v>Operator</v>
          </cell>
          <cell r="D513" t="str">
            <v>=   ( 1  Orang / Jam )  x  U1</v>
          </cell>
          <cell r="G513" t="str">
            <v>L</v>
          </cell>
          <cell r="H513">
            <v>10000</v>
          </cell>
          <cell r="I513" t="str">
            <v>Rupiah</v>
          </cell>
        </row>
        <row r="514">
          <cell r="A514" t="str">
            <v xml:space="preserve">       5.</v>
          </cell>
          <cell r="C514" t="str">
            <v>Pembantu Operator</v>
          </cell>
          <cell r="D514" t="str">
            <v>=   ( 1  Orang / Jam )  x  U2</v>
          </cell>
          <cell r="G514" t="str">
            <v>M</v>
          </cell>
          <cell r="H514">
            <v>6500</v>
          </cell>
          <cell r="I514" t="str">
            <v>Rupiah</v>
          </cell>
        </row>
        <row r="516">
          <cell r="C516" t="str">
            <v>Biaya Operasi per Jam        =</v>
          </cell>
          <cell r="E516" t="str">
            <v>(H+I+K+L+M)</v>
          </cell>
          <cell r="G516" t="str">
            <v>P</v>
          </cell>
          <cell r="H516">
            <v>173062.5</v>
          </cell>
          <cell r="I516" t="str">
            <v>Rupiah</v>
          </cell>
        </row>
        <row r="518">
          <cell r="A518" t="str">
            <v>D.</v>
          </cell>
          <cell r="C518" t="str">
            <v>TOTAL BIAYA SEWA ALAT / JAM   =   ( G + P )</v>
          </cell>
          <cell r="G518" t="str">
            <v>S</v>
          </cell>
          <cell r="H518">
            <v>223047.88593850785</v>
          </cell>
          <cell r="I518" t="str">
            <v>Rupiah</v>
          </cell>
        </row>
        <row r="521">
          <cell r="A521" t="str">
            <v>E.</v>
          </cell>
          <cell r="C521" t="str">
            <v>LAIN - LAIN</v>
          </cell>
        </row>
        <row r="522">
          <cell r="A522" t="str">
            <v xml:space="preserve">       1.</v>
          </cell>
          <cell r="C522" t="str">
            <v>Tingkat Suku Bunga</v>
          </cell>
          <cell r="G522" t="str">
            <v>i</v>
          </cell>
          <cell r="H522">
            <v>20</v>
          </cell>
          <cell r="I522" t="str">
            <v>% / Tahun</v>
          </cell>
        </row>
        <row r="523">
          <cell r="A523" t="str">
            <v xml:space="preserve">       2.</v>
          </cell>
          <cell r="C523" t="str">
            <v>Upah Operator / Sopir / Mekanik</v>
          </cell>
          <cell r="G523" t="str">
            <v>U1</v>
          </cell>
          <cell r="H523">
            <v>10000</v>
          </cell>
          <cell r="I523" t="str">
            <v>Rp./Jam</v>
          </cell>
        </row>
        <row r="524">
          <cell r="A524" t="str">
            <v xml:space="preserve">       3.</v>
          </cell>
          <cell r="C524" t="str">
            <v>Upah Pembantu Operator / Pmb.Sopir / Pmb.Mekanik</v>
          </cell>
          <cell r="G524" t="str">
            <v>U2</v>
          </cell>
          <cell r="H524">
            <v>6500</v>
          </cell>
          <cell r="I524" t="str">
            <v>Rp./Jam</v>
          </cell>
        </row>
        <row r="525">
          <cell r="A525" t="str">
            <v xml:space="preserve">       4.</v>
          </cell>
          <cell r="C525" t="str">
            <v>Bahan Bakar Bensin</v>
          </cell>
          <cell r="G525" t="str">
            <v>Mb</v>
          </cell>
          <cell r="H525">
            <v>6500</v>
          </cell>
          <cell r="I525" t="str">
            <v>Liter</v>
          </cell>
        </row>
        <row r="526">
          <cell r="A526" t="str">
            <v xml:space="preserve">       5.</v>
          </cell>
          <cell r="C526" t="str">
            <v>Bahan Bakar Solar</v>
          </cell>
          <cell r="G526" t="str">
            <v>Ms</v>
          </cell>
          <cell r="H526">
            <v>5500</v>
          </cell>
          <cell r="I526" t="str">
            <v>Liter</v>
          </cell>
        </row>
        <row r="527">
          <cell r="A527" t="str">
            <v xml:space="preserve">       6.</v>
          </cell>
          <cell r="C527" t="str">
            <v>Minyak Pelumas</v>
          </cell>
          <cell r="G527" t="str">
            <v>Mp</v>
          </cell>
          <cell r="H527">
            <v>40000</v>
          </cell>
          <cell r="I527" t="str">
            <v>Liter</v>
          </cell>
        </row>
        <row r="528">
          <cell r="A528" t="str">
            <v xml:space="preserve">       7.</v>
          </cell>
          <cell r="C528" t="str">
            <v>PPN diperhitungkan pada lembar Rekapitulasi</v>
          </cell>
        </row>
        <row r="529">
          <cell r="C529" t="str">
            <v>Biaya Pekerjaan</v>
          </cell>
        </row>
        <row r="1122">
          <cell r="A1122" t="str">
            <v>URAIAN PENGGUNAAN ALAT / ANALISA ALAT</v>
          </cell>
        </row>
        <row r="1125">
          <cell r="A1125" t="str">
            <v>No.</v>
          </cell>
          <cell r="C1125" t="str">
            <v>U R A I A N</v>
          </cell>
          <cell r="G1125" t="str">
            <v>KODE</v>
          </cell>
          <cell r="H1125" t="str">
            <v>KOEF.</v>
          </cell>
          <cell r="I1125" t="str">
            <v>SATUAN</v>
          </cell>
          <cell r="J1125" t="str">
            <v>KET.</v>
          </cell>
        </row>
        <row r="1128">
          <cell r="A1128" t="str">
            <v>A.</v>
          </cell>
          <cell r="C1128" t="str">
            <v>URAIAN PERALATAN</v>
          </cell>
        </row>
        <row r="1129">
          <cell r="A1129" t="str">
            <v xml:space="preserve">       1.</v>
          </cell>
          <cell r="C1129" t="str">
            <v>Jenis Peralatan</v>
          </cell>
          <cell r="G1129" t="str">
            <v>CONCRETE VIBRATOR</v>
          </cell>
          <cell r="J1129" t="str">
            <v>E20</v>
          </cell>
        </row>
        <row r="1130">
          <cell r="A1130" t="str">
            <v xml:space="preserve">       2.</v>
          </cell>
          <cell r="C1130" t="str">
            <v>Tenaga</v>
          </cell>
          <cell r="G1130" t="str">
            <v>Pw</v>
          </cell>
          <cell r="H1130">
            <v>10</v>
          </cell>
          <cell r="I1130" t="str">
            <v>HP</v>
          </cell>
        </row>
        <row r="1131">
          <cell r="A1131" t="str">
            <v xml:space="preserve">       3.</v>
          </cell>
          <cell r="C1131" t="str">
            <v>Kapasitas</v>
          </cell>
          <cell r="G1131" t="str">
            <v>Cp</v>
          </cell>
          <cell r="H1131" t="str">
            <v xml:space="preserve">-  </v>
          </cell>
          <cell r="I1131" t="str">
            <v>-</v>
          </cell>
        </row>
        <row r="1132">
          <cell r="A1132" t="str">
            <v xml:space="preserve">       4.</v>
          </cell>
          <cell r="C1132" t="str">
            <v>Alat Baru                :</v>
          </cell>
          <cell r="D1132" t="str">
            <v xml:space="preserve">  a.  Umur Ekonomis</v>
          </cell>
          <cell r="G1132" t="str">
            <v>A</v>
          </cell>
          <cell r="H1132">
            <v>4</v>
          </cell>
          <cell r="I1132" t="str">
            <v>Tahun</v>
          </cell>
        </row>
        <row r="1133">
          <cell r="D1133" t="str">
            <v xml:space="preserve">  b.  Jam Kerja Dalam 1 Tahun</v>
          </cell>
          <cell r="G1133" t="str">
            <v>W</v>
          </cell>
          <cell r="H1133">
            <v>1000</v>
          </cell>
          <cell r="I1133" t="str">
            <v>Jam</v>
          </cell>
        </row>
        <row r="1134">
          <cell r="D1134" t="str">
            <v xml:space="preserve">  c.  Harga Alat</v>
          </cell>
          <cell r="G1134" t="str">
            <v>B</v>
          </cell>
          <cell r="H1134">
            <v>21120000</v>
          </cell>
          <cell r="I1134" t="str">
            <v>Rupiah</v>
          </cell>
        </row>
        <row r="1135">
          <cell r="A1135" t="str">
            <v xml:space="preserve">       5.</v>
          </cell>
          <cell r="C1135" t="str">
            <v>Alat Yang Dipakai  :</v>
          </cell>
          <cell r="D1135" t="str">
            <v xml:space="preserve">  a.  Umur Ekonomis</v>
          </cell>
          <cell r="G1135" t="str">
            <v>A'</v>
          </cell>
          <cell r="H1135">
            <v>4</v>
          </cell>
          <cell r="I1135" t="str">
            <v>Tahun</v>
          </cell>
          <cell r="J1135" t="str">
            <v xml:space="preserve"> Alat Baru</v>
          </cell>
        </row>
        <row r="1136">
          <cell r="D1136" t="str">
            <v xml:space="preserve">  b.  Jam Kerja Dalam 1 Tahun </v>
          </cell>
          <cell r="G1136" t="str">
            <v>W'</v>
          </cell>
          <cell r="H1136">
            <v>1000</v>
          </cell>
          <cell r="I1136" t="str">
            <v>Jam</v>
          </cell>
          <cell r="J1136" t="str">
            <v xml:space="preserve"> Alat Baru</v>
          </cell>
        </row>
        <row r="1137">
          <cell r="D1137" t="str">
            <v xml:space="preserve">  c.  Harga Alat   (*)</v>
          </cell>
          <cell r="G1137" t="str">
            <v>B'</v>
          </cell>
          <cell r="H1137">
            <v>21120000</v>
          </cell>
          <cell r="I1137" t="str">
            <v>Rupiah</v>
          </cell>
          <cell r="J1137" t="str">
            <v xml:space="preserve"> Alat Baru</v>
          </cell>
        </row>
        <row r="1139">
          <cell r="A1139" t="str">
            <v>B.</v>
          </cell>
          <cell r="C1139" t="str">
            <v>BIAYA PASTI PER JAM KERJA</v>
          </cell>
        </row>
        <row r="1140">
          <cell r="A1140" t="str">
            <v xml:space="preserve">       1.</v>
          </cell>
          <cell r="C1140" t="str">
            <v>Nilai Sisa Alat</v>
          </cell>
          <cell r="D1140" t="str">
            <v>=  10 % x B</v>
          </cell>
          <cell r="G1140" t="str">
            <v>C</v>
          </cell>
          <cell r="H1140">
            <v>2112000</v>
          </cell>
          <cell r="I1140" t="str">
            <v>Rupiah</v>
          </cell>
        </row>
        <row r="1142">
          <cell r="A1142" t="str">
            <v xml:space="preserve">       2.</v>
          </cell>
          <cell r="C1142" t="str">
            <v>Faktor Angsuran Modal    =</v>
          </cell>
          <cell r="E1142" t="str">
            <v>i x (1 + i)^A'</v>
          </cell>
          <cell r="G1142" t="str">
            <v>D</v>
          </cell>
          <cell r="H1142">
            <v>0.38628912071535026</v>
          </cell>
          <cell r="I1142" t="str">
            <v>-</v>
          </cell>
        </row>
        <row r="1143">
          <cell r="E1143" t="str">
            <v>(1 + i)^A' - 1</v>
          </cell>
        </row>
        <row r="1144">
          <cell r="A1144" t="str">
            <v xml:space="preserve">       3.</v>
          </cell>
          <cell r="C1144" t="str">
            <v>Biaya Pasti per Jam  :</v>
          </cell>
        </row>
        <row r="1145">
          <cell r="C1145" t="str">
            <v>a.  Biaya Pengembalian Modal  =</v>
          </cell>
          <cell r="E1145" t="str">
            <v>( B' - C ) x D</v>
          </cell>
          <cell r="G1145" t="str">
            <v>E</v>
          </cell>
          <cell r="H1145">
            <v>7342.5836065573776</v>
          </cell>
          <cell r="I1145" t="str">
            <v>Rupiah</v>
          </cell>
        </row>
        <row r="1146">
          <cell r="E1146" t="str">
            <v>W'</v>
          </cell>
        </row>
        <row r="1148">
          <cell r="C1148" t="str">
            <v>b.  Asuransi, dll =</v>
          </cell>
          <cell r="D1148">
            <v>2E-3</v>
          </cell>
          <cell r="E1148" t="str">
            <v xml:space="preserve">  x   B'</v>
          </cell>
          <cell r="G1148" t="str">
            <v>F</v>
          </cell>
          <cell r="H1148">
            <v>42.24</v>
          </cell>
          <cell r="I1148" t="str">
            <v>Rupiah</v>
          </cell>
        </row>
        <row r="1149">
          <cell r="E1149" t="str">
            <v>W'</v>
          </cell>
        </row>
        <row r="1151">
          <cell r="C1151" t="str">
            <v>Biaya Pasti per Jam             =</v>
          </cell>
          <cell r="E1151" t="str">
            <v>( E + F )</v>
          </cell>
          <cell r="G1151" t="str">
            <v>G</v>
          </cell>
          <cell r="H1151">
            <v>7384.8236065573774</v>
          </cell>
          <cell r="I1151" t="str">
            <v>Rupiah</v>
          </cell>
        </row>
        <row r="1153">
          <cell r="A1153" t="str">
            <v>C.</v>
          </cell>
          <cell r="C1153" t="str">
            <v>BIAYA OPERASI PER JAM KERJA</v>
          </cell>
        </row>
        <row r="1155">
          <cell r="A1155" t="str">
            <v xml:space="preserve">       1.</v>
          </cell>
          <cell r="C1155" t="str">
            <v xml:space="preserve">Bahan Bakar  =  (0.125-0.175 Ltr/HP/Jam)   x Pw x Ms </v>
          </cell>
          <cell r="G1155" t="str">
            <v>H</v>
          </cell>
          <cell r="H1155">
            <v>6875</v>
          </cell>
          <cell r="I1155" t="str">
            <v>Rupiah</v>
          </cell>
        </row>
        <row r="1157">
          <cell r="A1157" t="str">
            <v xml:space="preserve">       2.</v>
          </cell>
          <cell r="C1157" t="str">
            <v>Pelumas         =  (0.01-0.02 Ltr/HP/Jam) x Pw x Mp</v>
          </cell>
          <cell r="G1157" t="str">
            <v>I</v>
          </cell>
          <cell r="H1157">
            <v>4000</v>
          </cell>
          <cell r="I1157" t="str">
            <v>Rupiah</v>
          </cell>
        </row>
        <row r="1159">
          <cell r="A1159" t="str">
            <v xml:space="preserve">       3.</v>
          </cell>
          <cell r="C1159" t="str">
            <v>Perawatan dan</v>
          </cell>
          <cell r="D1159" t="str">
            <v>(12,5 % - 17,5 %)  x  B'</v>
          </cell>
          <cell r="G1159" t="str">
            <v>K</v>
          </cell>
          <cell r="H1159">
            <v>2640</v>
          </cell>
          <cell r="I1159" t="str">
            <v>Rupiah</v>
          </cell>
        </row>
        <row r="1160">
          <cell r="C1160" t="str">
            <v xml:space="preserve">        perbaikan    =</v>
          </cell>
          <cell r="D1160" t="str">
            <v>W'</v>
          </cell>
        </row>
        <row r="1162">
          <cell r="A1162" t="str">
            <v xml:space="preserve">       4.</v>
          </cell>
          <cell r="C1162" t="str">
            <v>Operator</v>
          </cell>
          <cell r="D1162" t="str">
            <v>=   ( 1  Orang / Jam )  x  U1</v>
          </cell>
          <cell r="G1162" t="str">
            <v>L</v>
          </cell>
          <cell r="H1162">
            <v>10000</v>
          </cell>
          <cell r="I1162" t="str">
            <v>Rupiah</v>
          </cell>
        </row>
        <row r="1163">
          <cell r="A1163" t="str">
            <v xml:space="preserve">       5.</v>
          </cell>
          <cell r="C1163" t="str">
            <v>Pembantu Operator</v>
          </cell>
          <cell r="D1163" t="str">
            <v>=   ( 1  Orang / Jam )  x  U2</v>
          </cell>
          <cell r="G1163" t="str">
            <v>M</v>
          </cell>
          <cell r="H1163">
            <v>6500</v>
          </cell>
          <cell r="I1163" t="str">
            <v>Rupiah</v>
          </cell>
        </row>
        <row r="1165">
          <cell r="C1165" t="str">
            <v>Biaya Operasi per Jam        =</v>
          </cell>
          <cell r="E1165" t="str">
            <v>(H+I+K+L+M)</v>
          </cell>
          <cell r="G1165" t="str">
            <v>P</v>
          </cell>
          <cell r="H1165">
            <v>30015</v>
          </cell>
          <cell r="I1165" t="str">
            <v>Rupiah</v>
          </cell>
        </row>
        <row r="1167">
          <cell r="A1167" t="str">
            <v>D.</v>
          </cell>
          <cell r="C1167" t="str">
            <v>TOTAL BIAYA SEWA ALAT / JAM   =   ( G + P )</v>
          </cell>
          <cell r="G1167" t="str">
            <v>S</v>
          </cell>
          <cell r="H1167">
            <v>37399.82360655738</v>
          </cell>
          <cell r="I1167" t="str">
            <v>Rupiah</v>
          </cell>
        </row>
        <row r="1170">
          <cell r="A1170" t="str">
            <v>E.</v>
          </cell>
          <cell r="C1170" t="str">
            <v>LAIN - LAIN</v>
          </cell>
        </row>
        <row r="1171">
          <cell r="A1171" t="str">
            <v xml:space="preserve">       1.</v>
          </cell>
          <cell r="C1171" t="str">
            <v>Tingkat Suku Bunga</v>
          </cell>
          <cell r="G1171" t="str">
            <v>i</v>
          </cell>
          <cell r="H1171">
            <v>20</v>
          </cell>
          <cell r="I1171" t="str">
            <v>% / Tahun</v>
          </cell>
        </row>
        <row r="1172">
          <cell r="A1172" t="str">
            <v xml:space="preserve">       2.</v>
          </cell>
          <cell r="C1172" t="str">
            <v>Upah Operator / Sopir</v>
          </cell>
          <cell r="G1172" t="str">
            <v>U1</v>
          </cell>
          <cell r="H1172">
            <v>10000</v>
          </cell>
          <cell r="I1172" t="str">
            <v>Rp./Jam</v>
          </cell>
        </row>
        <row r="1173">
          <cell r="A1173" t="str">
            <v xml:space="preserve">       3.</v>
          </cell>
          <cell r="C1173" t="str">
            <v>Upah Pembantu Operator / Pmb.Sopir</v>
          </cell>
          <cell r="G1173" t="str">
            <v>U2</v>
          </cell>
          <cell r="H1173">
            <v>6500</v>
          </cell>
          <cell r="I1173" t="str">
            <v>Rp./Jam</v>
          </cell>
        </row>
        <row r="1174">
          <cell r="A1174" t="str">
            <v xml:space="preserve">       4.</v>
          </cell>
          <cell r="C1174" t="str">
            <v>Bahan Bakar Bensin</v>
          </cell>
          <cell r="G1174" t="str">
            <v>Mb</v>
          </cell>
          <cell r="H1174">
            <v>6500</v>
          </cell>
          <cell r="I1174" t="str">
            <v>Liter</v>
          </cell>
        </row>
        <row r="1175">
          <cell r="A1175" t="str">
            <v xml:space="preserve">       5.</v>
          </cell>
          <cell r="C1175" t="str">
            <v>Bahan Bakar Solar</v>
          </cell>
          <cell r="G1175" t="str">
            <v>Ms</v>
          </cell>
          <cell r="H1175">
            <v>5500</v>
          </cell>
          <cell r="I1175" t="str">
            <v>Liter</v>
          </cell>
        </row>
        <row r="1176">
          <cell r="A1176" t="str">
            <v xml:space="preserve">       6.</v>
          </cell>
          <cell r="C1176" t="str">
            <v>Minyak Pelumas</v>
          </cell>
          <cell r="G1176" t="str">
            <v>Mp</v>
          </cell>
          <cell r="H1176">
            <v>40000</v>
          </cell>
          <cell r="I1176" t="str">
            <v>Liter</v>
          </cell>
        </row>
        <row r="1177">
          <cell r="A1177" t="str">
            <v xml:space="preserve">       7.</v>
          </cell>
          <cell r="C1177" t="str">
            <v>PPN diperhitungkan pada lembar Rekapitulasi</v>
          </cell>
        </row>
        <row r="1178">
          <cell r="C1178" t="str">
            <v>Biaya Pekerjaan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"/>
      <sheetName val="Rekap"/>
      <sheetName val="BOQ"/>
      <sheetName val="Div.1.1"/>
      <sheetName val="Div3 (2)"/>
      <sheetName val="Div7(1)"/>
      <sheetName val="Mobilisasi"/>
      <sheetName val="TIME SCHEDULE"/>
      <sheetName val="Sub Kontrak"/>
      <sheetName val="MPU"/>
      <sheetName val="Harga bhn dan upah"/>
      <sheetName val="Hrg ALAT"/>
      <sheetName val="SPEK TEKNIS"/>
      <sheetName val="Alat dan Bah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>
        <row r="9">
          <cell r="F9">
            <v>6986.5079365079364</v>
          </cell>
        </row>
        <row r="60">
          <cell r="F60">
            <v>8600</v>
          </cell>
        </row>
        <row r="72">
          <cell r="F72">
            <v>750000</v>
          </cell>
        </row>
        <row r="86">
          <cell r="F86">
            <v>18000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"/>
      <sheetName val="XXXXX"/>
      <sheetName val="Time (Laporan)"/>
      <sheetName val="Rab (Add)"/>
      <sheetName val="Harga"/>
      <sheetName val="Analisa"/>
      <sheetName val="Rab"/>
      <sheetName val="Rekap"/>
      <sheetName val="Tim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">
          <cell r="D14">
            <v>40000</v>
          </cell>
        </row>
        <row r="17">
          <cell r="D17">
            <v>33500</v>
          </cell>
        </row>
        <row r="18">
          <cell r="D18">
            <v>40000</v>
          </cell>
        </row>
        <row r="21">
          <cell r="D21">
            <v>70000</v>
          </cell>
        </row>
        <row r="22">
          <cell r="D22">
            <v>75000</v>
          </cell>
        </row>
        <row r="27">
          <cell r="D27">
            <v>450</v>
          </cell>
        </row>
        <row r="28">
          <cell r="D28">
            <v>100000</v>
          </cell>
        </row>
        <row r="29">
          <cell r="D29">
            <v>65000</v>
          </cell>
        </row>
        <row r="30">
          <cell r="D30">
            <v>5000</v>
          </cell>
        </row>
        <row r="31">
          <cell r="D31">
            <v>4000</v>
          </cell>
        </row>
        <row r="33">
          <cell r="D33">
            <v>350</v>
          </cell>
        </row>
        <row r="34">
          <cell r="D34">
            <v>6000</v>
          </cell>
        </row>
        <row r="37">
          <cell r="D37">
            <v>22000</v>
          </cell>
        </row>
        <row r="38">
          <cell r="D38">
            <v>18000</v>
          </cell>
        </row>
        <row r="39">
          <cell r="D39">
            <v>10000</v>
          </cell>
        </row>
        <row r="41">
          <cell r="D41">
            <v>8500</v>
          </cell>
        </row>
        <row r="42">
          <cell r="D42">
            <v>12000</v>
          </cell>
        </row>
        <row r="43">
          <cell r="D43">
            <v>59000</v>
          </cell>
        </row>
        <row r="44">
          <cell r="D44">
            <v>35000</v>
          </cell>
        </row>
        <row r="45">
          <cell r="D45">
            <v>13500</v>
          </cell>
        </row>
        <row r="46">
          <cell r="D46">
            <v>9000</v>
          </cell>
        </row>
        <row r="47">
          <cell r="D47">
            <v>8000</v>
          </cell>
        </row>
        <row r="49">
          <cell r="D49">
            <v>25000</v>
          </cell>
        </row>
        <row r="50">
          <cell r="D50">
            <v>47500</v>
          </cell>
        </row>
        <row r="51">
          <cell r="D51">
            <v>47500</v>
          </cell>
        </row>
        <row r="52">
          <cell r="D52">
            <v>47500</v>
          </cell>
        </row>
        <row r="53">
          <cell r="D53">
            <v>47000</v>
          </cell>
        </row>
        <row r="54">
          <cell r="D54">
            <v>1800</v>
          </cell>
        </row>
        <row r="55">
          <cell r="D55">
            <v>80000</v>
          </cell>
        </row>
        <row r="56">
          <cell r="D56">
            <v>75000</v>
          </cell>
        </row>
        <row r="57">
          <cell r="D57">
            <v>70000</v>
          </cell>
        </row>
        <row r="58">
          <cell r="D58">
            <v>2500000</v>
          </cell>
        </row>
        <row r="59">
          <cell r="D59">
            <v>2200000</v>
          </cell>
        </row>
        <row r="60">
          <cell r="D60">
            <v>1650000</v>
          </cell>
        </row>
        <row r="61">
          <cell r="D61">
            <v>1400000</v>
          </cell>
        </row>
        <row r="62">
          <cell r="D62">
            <v>120000</v>
          </cell>
        </row>
        <row r="63">
          <cell r="D63">
            <v>2500000</v>
          </cell>
        </row>
        <row r="68">
          <cell r="D68">
            <v>3000</v>
          </cell>
        </row>
        <row r="69">
          <cell r="D69">
            <v>17000</v>
          </cell>
        </row>
        <row r="70">
          <cell r="D70">
            <v>3000</v>
          </cell>
        </row>
        <row r="71">
          <cell r="D71">
            <v>4000</v>
          </cell>
        </row>
        <row r="72">
          <cell r="D72">
            <v>15000</v>
          </cell>
        </row>
        <row r="73">
          <cell r="D73">
            <v>7500</v>
          </cell>
        </row>
        <row r="74">
          <cell r="D74">
            <v>8000</v>
          </cell>
        </row>
        <row r="75">
          <cell r="D75">
            <v>100</v>
          </cell>
        </row>
        <row r="76">
          <cell r="D76">
            <v>150</v>
          </cell>
        </row>
        <row r="77">
          <cell r="D77">
            <v>200</v>
          </cell>
        </row>
        <row r="78">
          <cell r="D78">
            <v>30000</v>
          </cell>
        </row>
        <row r="79">
          <cell r="D79">
            <v>75000</v>
          </cell>
        </row>
        <row r="82">
          <cell r="D82">
            <v>45000</v>
          </cell>
        </row>
        <row r="83">
          <cell r="D83">
            <v>30000</v>
          </cell>
        </row>
        <row r="84">
          <cell r="D84">
            <v>20000</v>
          </cell>
        </row>
        <row r="85">
          <cell r="D85">
            <v>15000</v>
          </cell>
        </row>
        <row r="87">
          <cell r="D87">
            <v>32000</v>
          </cell>
        </row>
        <row r="88">
          <cell r="D88">
            <v>3000</v>
          </cell>
        </row>
        <row r="89">
          <cell r="D89">
            <v>98000</v>
          </cell>
        </row>
        <row r="90">
          <cell r="D90">
            <v>30000</v>
          </cell>
        </row>
        <row r="91">
          <cell r="D91">
            <v>27500</v>
          </cell>
        </row>
      </sheetData>
      <sheetData sheetId="5">
        <row r="11">
          <cell r="L11">
            <v>26062</v>
          </cell>
        </row>
        <row r="17">
          <cell r="L17">
            <v>68237</v>
          </cell>
        </row>
        <row r="23">
          <cell r="L23">
            <v>52125</v>
          </cell>
        </row>
        <row r="29">
          <cell r="L29">
            <v>7912</v>
          </cell>
        </row>
        <row r="36">
          <cell r="L36">
            <v>64425</v>
          </cell>
        </row>
        <row r="43">
          <cell r="L43">
            <v>46425</v>
          </cell>
        </row>
        <row r="55">
          <cell r="L55">
            <v>265912</v>
          </cell>
        </row>
        <row r="65">
          <cell r="L65">
            <v>119898</v>
          </cell>
        </row>
        <row r="74">
          <cell r="L74">
            <v>84273</v>
          </cell>
        </row>
        <row r="86">
          <cell r="L86">
            <v>443360</v>
          </cell>
        </row>
        <row r="97">
          <cell r="L97">
            <v>63968</v>
          </cell>
        </row>
        <row r="108">
          <cell r="L108">
            <v>58508</v>
          </cell>
        </row>
        <row r="119">
          <cell r="L119">
            <v>56508</v>
          </cell>
        </row>
        <row r="130">
          <cell r="L130">
            <v>113012</v>
          </cell>
        </row>
        <row r="141">
          <cell r="L141">
            <v>148999</v>
          </cell>
        </row>
        <row r="151">
          <cell r="L151">
            <v>30350</v>
          </cell>
        </row>
        <row r="161">
          <cell r="L161">
            <v>27870</v>
          </cell>
        </row>
        <row r="173">
          <cell r="L173">
            <v>22906</v>
          </cell>
        </row>
        <row r="179">
          <cell r="L179">
            <v>54450</v>
          </cell>
        </row>
        <row r="191">
          <cell r="L191">
            <v>146359</v>
          </cell>
        </row>
        <row r="206">
          <cell r="L206">
            <v>73774</v>
          </cell>
        </row>
        <row r="221">
          <cell r="L221">
            <v>73774</v>
          </cell>
        </row>
        <row r="236">
          <cell r="L236">
            <v>73274</v>
          </cell>
        </row>
        <row r="251">
          <cell r="L251">
            <v>83630</v>
          </cell>
        </row>
        <row r="265">
          <cell r="L265">
            <v>3459250</v>
          </cell>
        </row>
        <row r="278">
          <cell r="L278">
            <v>3699062</v>
          </cell>
        </row>
        <row r="287">
          <cell r="L287">
            <v>268975</v>
          </cell>
        </row>
        <row r="297">
          <cell r="L297">
            <v>343975</v>
          </cell>
        </row>
        <row r="309">
          <cell r="L309">
            <v>209925</v>
          </cell>
        </row>
        <row r="321">
          <cell r="L321">
            <v>194600</v>
          </cell>
        </row>
        <row r="331">
          <cell r="L331">
            <v>339750</v>
          </cell>
        </row>
        <row r="341">
          <cell r="L341">
            <v>133525</v>
          </cell>
        </row>
        <row r="350">
          <cell r="L350">
            <v>87320</v>
          </cell>
        </row>
        <row r="361">
          <cell r="L361">
            <v>87665</v>
          </cell>
        </row>
        <row r="371">
          <cell r="L371">
            <v>118997</v>
          </cell>
        </row>
        <row r="381">
          <cell r="L381">
            <v>55997</v>
          </cell>
        </row>
        <row r="392">
          <cell r="L392">
            <v>66452</v>
          </cell>
        </row>
        <row r="402">
          <cell r="L402">
            <v>22055</v>
          </cell>
        </row>
        <row r="413">
          <cell r="L413">
            <v>81365</v>
          </cell>
        </row>
        <row r="423">
          <cell r="L423">
            <v>47025</v>
          </cell>
        </row>
        <row r="437">
          <cell r="L437">
            <v>15042</v>
          </cell>
        </row>
        <row r="448">
          <cell r="L448">
            <v>8334</v>
          </cell>
        </row>
        <row r="462">
          <cell r="L462">
            <v>22716</v>
          </cell>
        </row>
        <row r="469">
          <cell r="L469">
            <v>4937</v>
          </cell>
        </row>
        <row r="476">
          <cell r="L476">
            <v>527016</v>
          </cell>
        </row>
        <row r="484">
          <cell r="L484">
            <v>28062</v>
          </cell>
        </row>
        <row r="500">
          <cell r="L500">
            <v>561150</v>
          </cell>
        </row>
        <row r="518">
          <cell r="L518">
            <v>12452</v>
          </cell>
        </row>
        <row r="532">
          <cell r="L532">
            <v>870250</v>
          </cell>
        </row>
        <row r="537">
          <cell r="L537">
            <v>134000</v>
          </cell>
        </row>
        <row r="547">
          <cell r="L547">
            <v>1151562</v>
          </cell>
        </row>
        <row r="556">
          <cell r="L556">
            <v>2181003</v>
          </cell>
        </row>
        <row r="564">
          <cell r="L564">
            <v>2814686</v>
          </cell>
        </row>
        <row r="572">
          <cell r="L572">
            <v>2593289</v>
          </cell>
        </row>
        <row r="580">
          <cell r="L580">
            <v>2597494</v>
          </cell>
        </row>
        <row r="588">
          <cell r="L588">
            <v>2988736</v>
          </cell>
        </row>
        <row r="596">
          <cell r="L596">
            <v>1914890</v>
          </cell>
        </row>
        <row r="604">
          <cell r="L604">
            <v>2680314</v>
          </cell>
        </row>
        <row r="612">
          <cell r="L612">
            <v>2412970</v>
          </cell>
        </row>
        <row r="620">
          <cell r="L620">
            <v>2825226</v>
          </cell>
        </row>
        <row r="629">
          <cell r="L629">
            <v>3544330</v>
          </cell>
        </row>
        <row r="638">
          <cell r="L638">
            <v>3038281</v>
          </cell>
        </row>
        <row r="646">
          <cell r="L646">
            <v>2935120</v>
          </cell>
        </row>
        <row r="654">
          <cell r="L654">
            <v>1225</v>
          </cell>
        </row>
        <row r="663">
          <cell r="L663">
            <v>9565</v>
          </cell>
        </row>
        <row r="670">
          <cell r="L670">
            <v>3725</v>
          </cell>
        </row>
        <row r="676">
          <cell r="L676">
            <v>70750</v>
          </cell>
        </row>
        <row r="685">
          <cell r="L685">
            <v>2789241</v>
          </cell>
        </row>
        <row r="695">
          <cell r="L695">
            <v>28310</v>
          </cell>
        </row>
        <row r="706">
          <cell r="L706">
            <v>84237</v>
          </cell>
        </row>
        <row r="717">
          <cell r="L717">
            <v>23437</v>
          </cell>
        </row>
        <row r="728">
          <cell r="L728">
            <v>91900</v>
          </cell>
        </row>
        <row r="738">
          <cell r="L738">
            <v>105910</v>
          </cell>
        </row>
      </sheetData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mija"/>
      <sheetName val="rumput"/>
      <sheetName val="A"/>
      <sheetName val="Sheet1"/>
      <sheetName val="Rincian"/>
      <sheetName val="Analisa Harga"/>
    </sheetNames>
    <sheetDataSet>
      <sheetData sheetId="0"/>
      <sheetData sheetId="1"/>
      <sheetData sheetId="2"/>
      <sheetData sheetId="3">
        <row r="3">
          <cell r="X3" t="str">
            <v>ANALISA HARGA SATUAN</v>
          </cell>
        </row>
        <row r="8">
          <cell r="X8" t="str">
            <v>KEGIATAN</v>
          </cell>
          <cell r="AA8" t="str">
            <v>: PEMELIHARAAN JALAN DI KABUPATEN INDRAGIRI HULU</v>
          </cell>
        </row>
        <row r="9">
          <cell r="X9" t="str">
            <v>No. PAKET KONTRAK</v>
          </cell>
          <cell r="AA9" t="str">
            <v>: -</v>
          </cell>
        </row>
        <row r="10">
          <cell r="X10" t="str">
            <v>NAMA PAKET</v>
          </cell>
          <cell r="AA10" t="str">
            <v xml:space="preserve">: PEMELIHARAAN JALAN CERENTI - SIMPANG JAPURA </v>
          </cell>
        </row>
        <row r="11">
          <cell r="X11" t="str">
            <v>PROP / KAB / KODYA</v>
          </cell>
          <cell r="AA11" t="str">
            <v>: RIAU</v>
          </cell>
        </row>
        <row r="12">
          <cell r="X12" t="str">
            <v>ITEM PEMBAYARAN NO.</v>
          </cell>
          <cell r="AA12" t="str">
            <v>:  10.1 (3)</v>
          </cell>
        </row>
        <row r="13">
          <cell r="X13" t="str">
            <v>JENIS PEKERJAAN</v>
          </cell>
          <cell r="AA13" t="str">
            <v>:  Pemeliharaan Rutin Selokan, Saluran Air, Galian dan Timbunan</v>
          </cell>
        </row>
        <row r="14">
          <cell r="X14" t="str">
            <v>SATUAN PEMBAYARAN</v>
          </cell>
          <cell r="AA14" t="str">
            <v xml:space="preserve">:  Ls </v>
          </cell>
        </row>
        <row r="17">
          <cell r="AC17" t="str">
            <v>PERKIRAAN</v>
          </cell>
          <cell r="AD17" t="str">
            <v>HARGA</v>
          </cell>
          <cell r="AE17" t="str">
            <v>JUMLAH</v>
          </cell>
        </row>
        <row r="18">
          <cell r="X18" t="str">
            <v>NO.</v>
          </cell>
          <cell r="Z18" t="str">
            <v>JENIS PEKERJAAN</v>
          </cell>
          <cell r="AB18" t="str">
            <v>SATUAN</v>
          </cell>
          <cell r="AC18" t="str">
            <v>KUANTITAS</v>
          </cell>
          <cell r="AD18" t="str">
            <v>SATUAN</v>
          </cell>
          <cell r="AE18" t="str">
            <v>HARGA</v>
          </cell>
        </row>
        <row r="19">
          <cell r="AD19" t="str">
            <v>(Rp.)</v>
          </cell>
          <cell r="AE19" t="str">
            <v>(Rp.)</v>
          </cell>
        </row>
        <row r="22">
          <cell r="X22" t="str">
            <v>10.1(3)a</v>
          </cell>
          <cell r="Z22" t="str">
            <v>Pembersihan Selokan Samping</v>
          </cell>
          <cell r="AB22" t="str">
            <v>M2</v>
          </cell>
          <cell r="AC22">
            <v>5000</v>
          </cell>
          <cell r="AD22">
            <v>5000</v>
          </cell>
          <cell r="AG22">
            <v>25000000</v>
          </cell>
        </row>
        <row r="23">
          <cell r="Z23" t="str">
            <v>Diperkeras</v>
          </cell>
        </row>
        <row r="27">
          <cell r="X27" t="str">
            <v>10.1(3)c</v>
          </cell>
          <cell r="Z27" t="str">
            <v>Pembersihan Gorong - gorong</v>
          </cell>
          <cell r="AB27" t="str">
            <v>Bh</v>
          </cell>
          <cell r="AC27">
            <v>0</v>
          </cell>
          <cell r="AD27">
            <v>134090</v>
          </cell>
          <cell r="AG27">
            <v>0</v>
          </cell>
        </row>
        <row r="53">
          <cell r="Z53" t="str">
            <v>Jumlah Harga Pekerjaan</v>
          </cell>
          <cell r="AF53">
            <v>25000000</v>
          </cell>
        </row>
        <row r="73">
          <cell r="X73" t="str">
            <v>ANALISA HARGA SATUAN</v>
          </cell>
        </row>
        <row r="77">
          <cell r="X77" t="str">
            <v>KEGIATAN</v>
          </cell>
          <cell r="AA77" t="str">
            <v>: PEMELIHARAAN JALAN DI KABUPATEN INDRAGIRI HULU</v>
          </cell>
        </row>
        <row r="78">
          <cell r="X78" t="str">
            <v>No. PAKET KONTRAK</v>
          </cell>
          <cell r="AA78" t="str">
            <v>: -</v>
          </cell>
        </row>
        <row r="79">
          <cell r="X79" t="str">
            <v>NAMA PAKET</v>
          </cell>
          <cell r="AA79" t="str">
            <v xml:space="preserve">: PEMELIHARAAN JALAN CERENTI - SIMPANG JAPURA </v>
          </cell>
        </row>
        <row r="80">
          <cell r="X80" t="str">
            <v>PROP / KAB / KODYA</v>
          </cell>
          <cell r="AA80" t="str">
            <v>: RIAU</v>
          </cell>
        </row>
        <row r="81">
          <cell r="X81" t="str">
            <v>ITEM PEMBAYARAN NO.</v>
          </cell>
          <cell r="AA81" t="str">
            <v>:  10.1 (2)</v>
          </cell>
        </row>
        <row r="82">
          <cell r="X82" t="str">
            <v>JENIS PEKERJAAN</v>
          </cell>
          <cell r="AA82" t="str">
            <v>: Pemeliharaan Rutin Bahu Jalan</v>
          </cell>
        </row>
        <row r="83">
          <cell r="X83" t="str">
            <v>SATUAN PEMBAYARAN</v>
          </cell>
          <cell r="AA83" t="str">
            <v xml:space="preserve">:  Ls </v>
          </cell>
        </row>
        <row r="86">
          <cell r="AC86" t="str">
            <v>PERKIRAAN</v>
          </cell>
          <cell r="AD86" t="str">
            <v>HARGA</v>
          </cell>
          <cell r="AE86" t="str">
            <v>JUMLAH</v>
          </cell>
        </row>
        <row r="87">
          <cell r="X87" t="str">
            <v>NO.</v>
          </cell>
          <cell r="Z87" t="str">
            <v>JENIS PEKERJAAN</v>
          </cell>
          <cell r="AB87" t="str">
            <v>SATUAN</v>
          </cell>
          <cell r="AC87" t="str">
            <v>KUANTITAS</v>
          </cell>
          <cell r="AD87" t="str">
            <v>SATUAN</v>
          </cell>
          <cell r="AE87" t="str">
            <v>HARGA</v>
          </cell>
        </row>
        <row r="88">
          <cell r="AD88" t="str">
            <v>(Rp.)</v>
          </cell>
          <cell r="AE88" t="str">
            <v>(Rp.)</v>
          </cell>
        </row>
        <row r="91">
          <cell r="X91" t="str">
            <v>10.1.(2)a</v>
          </cell>
          <cell r="Z91" t="str">
            <v>Pemotongan Rumput pada Bahu Jalan</v>
          </cell>
          <cell r="AB91" t="str">
            <v>M2</v>
          </cell>
          <cell r="AC91">
            <v>38000</v>
          </cell>
          <cell r="AD91">
            <v>216.22618416666668</v>
          </cell>
          <cell r="AG91">
            <v>8216594.998333334</v>
          </cell>
        </row>
        <row r="92">
          <cell r="Z92" t="str">
            <v>2X Pelaksanaan dalam Kontrak</v>
          </cell>
        </row>
        <row r="110">
          <cell r="Z110" t="str">
            <v>Jumlah Harga Pekerjaan dibulatkan</v>
          </cell>
          <cell r="AG110">
            <v>8216594.998333334</v>
          </cell>
        </row>
        <row r="134">
          <cell r="X134" t="str">
            <v>ANALISA HARGA SATUAN</v>
          </cell>
        </row>
        <row r="138">
          <cell r="X138" t="str">
            <v>KEGIATAN</v>
          </cell>
          <cell r="AA138" t="str">
            <v>: PEMELIHARAAN JALAN DI KABUPATEN INDRAGIRI HULU</v>
          </cell>
        </row>
        <row r="139">
          <cell r="X139" t="str">
            <v>No. PAKET KONTRAK</v>
          </cell>
          <cell r="AA139" t="str">
            <v>: -</v>
          </cell>
        </row>
        <row r="140">
          <cell r="X140" t="str">
            <v>NAMA PAKET</v>
          </cell>
          <cell r="AA140" t="str">
            <v xml:space="preserve">: PEMELIHARAAN JALAN CERENTI - SIMPANG JAPURA </v>
          </cell>
        </row>
        <row r="141">
          <cell r="X141" t="str">
            <v>PROP / KAB / KODYA</v>
          </cell>
          <cell r="AA141" t="str">
            <v>: RIAU</v>
          </cell>
        </row>
        <row r="142">
          <cell r="X142" t="str">
            <v>ITEM PEMBAYARAN NO.</v>
          </cell>
          <cell r="AA142" t="str">
            <v>:  10.1 (5)</v>
          </cell>
        </row>
        <row r="143">
          <cell r="X143" t="str">
            <v>JENIS PEKERJAAN</v>
          </cell>
          <cell r="AA143" t="str">
            <v>:  Pemeliharaan Rutin Perlengkapan Jalan</v>
          </cell>
        </row>
        <row r="144">
          <cell r="X144" t="str">
            <v>SATUAN PEMBAYARAN</v>
          </cell>
          <cell r="AA144" t="str">
            <v xml:space="preserve">:  Ls </v>
          </cell>
        </row>
        <row r="147">
          <cell r="AC147" t="str">
            <v>PERKIRAAN</v>
          </cell>
          <cell r="AD147" t="str">
            <v>HARGA</v>
          </cell>
          <cell r="AE147" t="str">
            <v>JUMLAH</v>
          </cell>
        </row>
        <row r="148">
          <cell r="X148" t="str">
            <v>NO.</v>
          </cell>
          <cell r="Z148" t="str">
            <v>JENIS PEKERJAAN</v>
          </cell>
          <cell r="AB148" t="str">
            <v>SATUAN</v>
          </cell>
          <cell r="AC148" t="str">
            <v>KUANTITAS</v>
          </cell>
          <cell r="AD148" t="str">
            <v>SATUAN</v>
          </cell>
          <cell r="AE148" t="str">
            <v>HARGA</v>
          </cell>
        </row>
        <row r="149">
          <cell r="AD149" t="str">
            <v>(Rp.)</v>
          </cell>
          <cell r="AE149" t="str">
            <v>(Rp.)</v>
          </cell>
        </row>
        <row r="152">
          <cell r="X152" t="str">
            <v>10.1.5(b)</v>
          </cell>
          <cell r="Z152" t="str">
            <v>Pembersihan Jembatan</v>
          </cell>
          <cell r="AB152" t="e">
            <v>#REF!</v>
          </cell>
          <cell r="AC152" t="e">
            <v>#REF!</v>
          </cell>
          <cell r="AD152" t="e">
            <v>#REF!</v>
          </cell>
          <cell r="AG152" t="e">
            <v>#REF!</v>
          </cell>
        </row>
        <row r="173">
          <cell r="Z173" t="str">
            <v>Jumlah Harga Pekerjaan</v>
          </cell>
          <cell r="AG173" t="e">
            <v>#REF!</v>
          </cell>
        </row>
      </sheetData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-Rutin"/>
      <sheetName val="Kuantitas"/>
      <sheetName val="Analisa HSP"/>
    </sheetNames>
    <sheetDataSet>
      <sheetData sheetId="0"/>
      <sheetData sheetId="1"/>
      <sheetData sheetId="2">
        <row r="51">
          <cell r="U51">
            <v>224185.80025196241</v>
          </cell>
        </row>
        <row r="231">
          <cell r="U231">
            <v>1125424.881976157</v>
          </cell>
        </row>
        <row r="410">
          <cell r="U410">
            <v>850960.93039626942</v>
          </cell>
        </row>
        <row r="589">
          <cell r="U589">
            <v>942417.16153620393</v>
          </cell>
        </row>
        <row r="768">
          <cell r="U768">
            <v>5935.6610831612852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VER"/>
      <sheetName val="COV TAWAR"/>
      <sheetName val="REKAP"/>
      <sheetName val="RAB"/>
      <sheetName val="ANALISA"/>
      <sheetName val="UPAH"/>
      <sheetName val="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3">
          <cell r="H23">
            <v>72450</v>
          </cell>
        </row>
        <row r="39">
          <cell r="H39">
            <v>2902130</v>
          </cell>
        </row>
        <row r="60">
          <cell r="H60">
            <v>78757</v>
          </cell>
        </row>
        <row r="77">
          <cell r="H77">
            <v>2960450</v>
          </cell>
        </row>
        <row r="88">
          <cell r="H88">
            <v>3147125</v>
          </cell>
        </row>
        <row r="110">
          <cell r="H110">
            <v>179608.33333333331</v>
          </cell>
        </row>
        <row r="119">
          <cell r="H119">
            <v>60390</v>
          </cell>
        </row>
        <row r="131">
          <cell r="H131">
            <v>274396.33333333331</v>
          </cell>
        </row>
        <row r="158">
          <cell r="H158">
            <v>133090</v>
          </cell>
        </row>
        <row r="182">
          <cell r="H182">
            <v>69246.400000000009</v>
          </cell>
        </row>
        <row r="228">
          <cell r="H228">
            <v>578296.6</v>
          </cell>
        </row>
        <row r="243">
          <cell r="H243">
            <v>620287.80000000005</v>
          </cell>
        </row>
        <row r="264">
          <cell r="H264">
            <v>23652.809999999998</v>
          </cell>
        </row>
        <row r="284">
          <cell r="H284">
            <v>21396.489999999998</v>
          </cell>
        </row>
        <row r="310">
          <cell r="H310">
            <v>29465.285714285717</v>
          </cell>
        </row>
        <row r="339">
          <cell r="H339">
            <v>44647.5</v>
          </cell>
        </row>
        <row r="349">
          <cell r="H349">
            <v>16588</v>
          </cell>
        </row>
        <row r="382">
          <cell r="H382">
            <v>4395</v>
          </cell>
        </row>
        <row r="394">
          <cell r="H394">
            <v>2530</v>
          </cell>
        </row>
        <row r="433">
          <cell r="H433">
            <v>97821</v>
          </cell>
        </row>
        <row r="552">
          <cell r="H552">
            <v>2503210</v>
          </cell>
        </row>
        <row r="560">
          <cell r="H560">
            <v>2542648</v>
          </cell>
        </row>
        <row r="568">
          <cell r="H568">
            <v>4212190</v>
          </cell>
        </row>
        <row r="578">
          <cell r="H578">
            <v>10746.5</v>
          </cell>
        </row>
        <row r="590">
          <cell r="H590">
            <v>14941.5</v>
          </cell>
        </row>
        <row r="609">
          <cell r="H609">
            <v>16744.5</v>
          </cell>
        </row>
      </sheetData>
      <sheetData sheetId="6" refreshError="1">
        <row r="26">
          <cell r="D26">
            <v>40300</v>
          </cell>
        </row>
        <row r="38">
          <cell r="D38">
            <v>12100</v>
          </cell>
        </row>
        <row r="39">
          <cell r="D39">
            <v>7200</v>
          </cell>
        </row>
        <row r="48">
          <cell r="D48">
            <v>950</v>
          </cell>
        </row>
        <row r="77">
          <cell r="D77">
            <v>8600</v>
          </cell>
        </row>
        <row r="78">
          <cell r="D78">
            <v>77600</v>
          </cell>
        </row>
        <row r="80">
          <cell r="D80">
            <v>43100</v>
          </cell>
        </row>
        <row r="81">
          <cell r="D81">
            <v>53800</v>
          </cell>
        </row>
        <row r="87">
          <cell r="D87">
            <v>2200</v>
          </cell>
        </row>
        <row r="108">
          <cell r="D108">
            <v>2600</v>
          </cell>
        </row>
        <row r="109">
          <cell r="D109">
            <v>7000</v>
          </cell>
        </row>
        <row r="113">
          <cell r="D113">
            <v>13100</v>
          </cell>
        </row>
        <row r="114">
          <cell r="D114">
            <v>13100</v>
          </cell>
        </row>
        <row r="127">
          <cell r="D127">
            <v>3000</v>
          </cell>
        </row>
      </sheetData>
      <sheetData sheetId="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OVER"/>
      <sheetName val="COV TAWAR"/>
      <sheetName val="REKAP"/>
      <sheetName val="RAB"/>
      <sheetName val="ANALISA"/>
      <sheetName val="UPAH"/>
    </sheetNames>
    <sheetDataSet>
      <sheetData sheetId="0"/>
      <sheetData sheetId="1"/>
      <sheetData sheetId="2"/>
      <sheetData sheetId="3"/>
      <sheetData sheetId="4"/>
      <sheetData sheetId="5">
        <row r="376">
          <cell r="H376">
            <v>47300</v>
          </cell>
        </row>
      </sheetData>
      <sheetData sheetId="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ab"/>
      <sheetName val="Upah&amp;Bahan"/>
      <sheetName val="Analisa "/>
      <sheetName val="Peralatan"/>
      <sheetName val="Curva S"/>
      <sheetName val="Lamp 5A"/>
      <sheetName val="lamp. 6a"/>
      <sheetName val="lamp. 6b"/>
      <sheetName val="Lamp 7"/>
      <sheetName val="Lamp 9)"/>
      <sheetName val="Lamp 10"/>
      <sheetName val="Lamp 11"/>
      <sheetName val="Lamp 13"/>
      <sheetName val="Lamp 14"/>
    </sheetNames>
    <sheetDataSet>
      <sheetData sheetId="0"/>
      <sheetData sheetId="1"/>
      <sheetData sheetId="2"/>
      <sheetData sheetId="3">
        <row r="153">
          <cell r="A153" t="str">
            <v>ANALISA HARGA SATUAN MATA PEMBAYARAN</v>
          </cell>
        </row>
        <row r="156">
          <cell r="A156" t="str">
            <v>Nama Penawar</v>
          </cell>
          <cell r="C156" t="str">
            <v>:</v>
          </cell>
          <cell r="D156" t="str">
            <v>CV. TAKABEYA PERKASA</v>
          </cell>
        </row>
        <row r="157">
          <cell r="A157" t="str">
            <v>Paket</v>
          </cell>
          <cell r="C157" t="str">
            <v>:</v>
          </cell>
          <cell r="D157" t="str">
            <v xml:space="preserve">Pemeliharaan Berkala Jalan Geudong - Makam Malikussaleh - Mancang </v>
          </cell>
        </row>
        <row r="158">
          <cell r="A158" t="str">
            <v>No. Paket</v>
          </cell>
          <cell r="C158" t="str">
            <v>:</v>
          </cell>
          <cell r="D158" t="str">
            <v>P.039</v>
          </cell>
        </row>
        <row r="159">
          <cell r="A159" t="str">
            <v>Provinsi</v>
          </cell>
          <cell r="C159" t="str">
            <v>:</v>
          </cell>
          <cell r="D159" t="str">
            <v>Nanggroe Aceh Darussalam</v>
          </cell>
        </row>
        <row r="160">
          <cell r="A160" t="str">
            <v>No. Item Pembayaran</v>
          </cell>
          <cell r="C160" t="str">
            <v>:</v>
          </cell>
          <cell r="D160" t="str">
            <v>3.1 ( 1 )</v>
          </cell>
        </row>
        <row r="161">
          <cell r="A161" t="str">
            <v>Jenis Pekerjaan</v>
          </cell>
          <cell r="C161" t="str">
            <v>:</v>
          </cell>
          <cell r="D161" t="str">
            <v>GALIAN BIASA</v>
          </cell>
        </row>
        <row r="162">
          <cell r="A162" t="str">
            <v>Satuan Pembayaran</v>
          </cell>
          <cell r="C162" t="str">
            <v>:</v>
          </cell>
          <cell r="D162" t="str">
            <v>M3</v>
          </cell>
        </row>
        <row r="165">
          <cell r="A165" t="str">
            <v>NO.</v>
          </cell>
          <cell r="B165" t="str">
            <v>KOMPONEN</v>
          </cell>
          <cell r="D165" t="str">
            <v>SATUAN</v>
          </cell>
          <cell r="E165" t="str">
            <v>PERKIRAAN</v>
          </cell>
          <cell r="F165" t="str">
            <v>HARGA SATUAN</v>
          </cell>
          <cell r="G165" t="str">
            <v>JUMLAH HARGA</v>
          </cell>
        </row>
        <row r="166">
          <cell r="E166" t="str">
            <v>KUANTITAS</v>
          </cell>
          <cell r="F166" t="str">
            <v>(Rp)</v>
          </cell>
          <cell r="G166" t="str">
            <v>(Rp)</v>
          </cell>
        </row>
        <row r="167">
          <cell r="A167" t="str">
            <v>A</v>
          </cell>
          <cell r="B167" t="str">
            <v>TENAGA KERJA</v>
          </cell>
        </row>
        <row r="169">
          <cell r="A169" t="str">
            <v>1.</v>
          </cell>
          <cell r="B169" t="str">
            <v>Pekerja</v>
          </cell>
          <cell r="D169" t="str">
            <v>Jam</v>
          </cell>
          <cell r="E169">
            <v>0.1</v>
          </cell>
          <cell r="F169">
            <v>2800</v>
          </cell>
          <cell r="G169">
            <v>280</v>
          </cell>
        </row>
        <row r="170">
          <cell r="A170" t="str">
            <v>2.</v>
          </cell>
          <cell r="B170" t="str">
            <v>Mandor</v>
          </cell>
          <cell r="D170" t="str">
            <v>Jam</v>
          </cell>
          <cell r="E170">
            <v>5.6899999999999999E-2</v>
          </cell>
          <cell r="F170">
            <v>3600</v>
          </cell>
          <cell r="G170">
            <v>204.84</v>
          </cell>
        </row>
        <row r="173">
          <cell r="A173" t="str">
            <v>Jumlah Harga Tenaga Kerja</v>
          </cell>
          <cell r="G173">
            <v>484.84000000000003</v>
          </cell>
        </row>
        <row r="174">
          <cell r="A174" t="str">
            <v>B</v>
          </cell>
          <cell r="B174" t="str">
            <v xml:space="preserve">BAHAN </v>
          </cell>
        </row>
        <row r="179">
          <cell r="A179" t="str">
            <v>Jumlah Harga Bahan</v>
          </cell>
          <cell r="G179">
            <v>0</v>
          </cell>
        </row>
        <row r="180">
          <cell r="A180" t="str">
            <v>C</v>
          </cell>
          <cell r="B180" t="str">
            <v>PERALATAN</v>
          </cell>
        </row>
        <row r="182">
          <cell r="A182" t="str">
            <v>1.</v>
          </cell>
          <cell r="B182" t="str">
            <v>Exavator</v>
          </cell>
          <cell r="D182" t="str">
            <v>Jam</v>
          </cell>
          <cell r="E182">
            <v>5.6899999999999999E-2</v>
          </cell>
          <cell r="F182">
            <v>145000</v>
          </cell>
          <cell r="G182">
            <v>8250.5</v>
          </cell>
        </row>
        <row r="183">
          <cell r="A183" t="str">
            <v>2.</v>
          </cell>
          <cell r="B183" t="str">
            <v>Dump Truck</v>
          </cell>
          <cell r="D183" t="str">
            <v>Jam</v>
          </cell>
          <cell r="E183">
            <v>0.1084</v>
          </cell>
          <cell r="F183">
            <v>63000</v>
          </cell>
          <cell r="G183">
            <v>6829.2</v>
          </cell>
        </row>
        <row r="184">
          <cell r="A184" t="str">
            <v>3.</v>
          </cell>
          <cell r="B184" t="str">
            <v>Alat Bantu</v>
          </cell>
          <cell r="D184" t="str">
            <v>Ls</v>
          </cell>
          <cell r="E184">
            <v>1</v>
          </cell>
          <cell r="F184">
            <v>750</v>
          </cell>
          <cell r="G184">
            <v>750</v>
          </cell>
        </row>
        <row r="186">
          <cell r="A186" t="str">
            <v>Jumlah Harga Peralatan</v>
          </cell>
          <cell r="G186">
            <v>15829.7</v>
          </cell>
        </row>
        <row r="188">
          <cell r="A188" t="str">
            <v>D</v>
          </cell>
          <cell r="B188" t="str">
            <v>JUMLAH ( A + B + C )</v>
          </cell>
          <cell r="G188">
            <v>16314.54</v>
          </cell>
        </row>
        <row r="189">
          <cell r="A189" t="str">
            <v>E</v>
          </cell>
          <cell r="B189" t="str">
            <v>KEUNTUNGAN  10,0 % X D</v>
          </cell>
          <cell r="G189">
            <v>1631.4540000000002</v>
          </cell>
        </row>
        <row r="190">
          <cell r="A190" t="str">
            <v>F</v>
          </cell>
          <cell r="B190" t="str">
            <v>HARGA SATUAN PEKERJAAN  ( D + E )</v>
          </cell>
          <cell r="G190">
            <v>17945.994000000002</v>
          </cell>
        </row>
        <row r="191">
          <cell r="A191" t="str">
            <v>G</v>
          </cell>
          <cell r="B191" t="str">
            <v>DIBULATKAN</v>
          </cell>
          <cell r="G191">
            <v>17946</v>
          </cell>
        </row>
        <row r="193">
          <cell r="A193" t="str">
            <v>Note :       1</v>
          </cell>
          <cell r="B193" t="str">
            <v>Satuan dapat berdasarkan atas jam operasi untuk tenaga kerja dan peralatan, volume dan / atau ukuran</v>
          </cell>
        </row>
        <row r="194">
          <cell r="B194" t="str">
            <v xml:space="preserve"> berat untuk bahan-bahan</v>
          </cell>
        </row>
        <row r="195">
          <cell r="A195">
            <v>2</v>
          </cell>
          <cell r="B195" t="str">
            <v>Kuantitas Satuan adalah kuantitas setiap komponen untuk menyelesaikan satu satuan pekerjaan dari nomor</v>
          </cell>
        </row>
        <row r="196">
          <cell r="B196" t="str">
            <v>mata pembayaran</v>
          </cell>
        </row>
        <row r="197">
          <cell r="A197">
            <v>3</v>
          </cell>
          <cell r="B197" t="str">
            <v>Biaya Satuan Untuk Peralatan sudah termasuk bahan bakar, bahan habis dipakai dan operator</v>
          </cell>
        </row>
        <row r="198">
          <cell r="A198">
            <v>4</v>
          </cell>
          <cell r="B198" t="str">
            <v>Biaya Satuan sudah termasuk pengeluaran untuk seluruh pajak yang berkaitan (tetapi tidak termasuk PPN</v>
          </cell>
        </row>
        <row r="199">
          <cell r="B199" t="str">
            <v>yang dibayar dari kontrak) dan biaya-biaya lainnya</v>
          </cell>
        </row>
        <row r="204">
          <cell r="E204" t="str">
            <v>Takengon, 16 Juli 2003</v>
          </cell>
        </row>
        <row r="205">
          <cell r="E205" t="str">
            <v>CV. TRIPA KARYA</v>
          </cell>
        </row>
        <row r="212">
          <cell r="E212" t="str">
            <v>NYAK MUDDIN PUTEH</v>
          </cell>
        </row>
        <row r="213">
          <cell r="E213" t="str">
            <v>Direktur</v>
          </cell>
        </row>
        <row r="215">
          <cell r="A215" t="str">
            <v>ANALISA HARGA SATUAN MATA PEMBAYARAN</v>
          </cell>
        </row>
        <row r="218">
          <cell r="A218" t="str">
            <v>Nama Penawar</v>
          </cell>
          <cell r="C218" t="str">
            <v>:</v>
          </cell>
          <cell r="D218" t="str">
            <v>CV. TAKABEYA PERKASA</v>
          </cell>
        </row>
        <row r="219">
          <cell r="A219" t="str">
            <v>Paket</v>
          </cell>
          <cell r="C219" t="str">
            <v>:</v>
          </cell>
          <cell r="D219" t="str">
            <v xml:space="preserve">Pemeliharaan Berkala Jalan Geudong - Makam Malikussaleh - Mancang </v>
          </cell>
        </row>
        <row r="220">
          <cell r="A220" t="str">
            <v>No. Paket</v>
          </cell>
          <cell r="C220" t="str">
            <v>:</v>
          </cell>
          <cell r="D220" t="str">
            <v>P.039</v>
          </cell>
        </row>
        <row r="221">
          <cell r="A221" t="str">
            <v>Provinsi</v>
          </cell>
          <cell r="C221" t="str">
            <v>:</v>
          </cell>
          <cell r="D221" t="str">
            <v>Nanggroe Aceh Darussalam</v>
          </cell>
        </row>
        <row r="222">
          <cell r="A222" t="str">
            <v>No. Item Pembayaran</v>
          </cell>
          <cell r="C222" t="str">
            <v>:</v>
          </cell>
          <cell r="D222" t="str">
            <v>3.1 ( 2 )</v>
          </cell>
        </row>
        <row r="223">
          <cell r="A223" t="str">
            <v>Jenis Pekerjaan</v>
          </cell>
          <cell r="C223" t="str">
            <v>:</v>
          </cell>
          <cell r="D223" t="str">
            <v>GALIAN BATUAN</v>
          </cell>
        </row>
        <row r="224">
          <cell r="A224" t="str">
            <v>Satuan Pembayaran</v>
          </cell>
          <cell r="C224" t="str">
            <v>:</v>
          </cell>
          <cell r="D224" t="str">
            <v>M3</v>
          </cell>
        </row>
        <row r="228">
          <cell r="A228" t="str">
            <v>NO.</v>
          </cell>
          <cell r="B228" t="str">
            <v>KOMPONEN</v>
          </cell>
          <cell r="D228" t="str">
            <v>SATUAN</v>
          </cell>
          <cell r="E228" t="str">
            <v>PERKIRAAN</v>
          </cell>
          <cell r="F228" t="str">
            <v>HARGA SATUAN</v>
          </cell>
          <cell r="G228" t="str">
            <v>JUMLAH HARGA</v>
          </cell>
        </row>
        <row r="229">
          <cell r="E229" t="str">
            <v>KUANTITAS</v>
          </cell>
          <cell r="F229" t="str">
            <v>(Rp)</v>
          </cell>
          <cell r="G229" t="str">
            <v>(Rp)</v>
          </cell>
        </row>
        <row r="230">
          <cell r="A230" t="str">
            <v>A</v>
          </cell>
          <cell r="B230" t="str">
            <v>TENAGA KERJA</v>
          </cell>
        </row>
        <row r="232">
          <cell r="A232" t="str">
            <v>1.</v>
          </cell>
          <cell r="B232" t="str">
            <v>Pekerja</v>
          </cell>
          <cell r="D232" t="str">
            <v>Jam</v>
          </cell>
          <cell r="E232">
            <v>1.1398999999999999</v>
          </cell>
          <cell r="F232">
            <v>2800</v>
          </cell>
          <cell r="G232">
            <v>3191.72</v>
          </cell>
        </row>
        <row r="233">
          <cell r="A233" t="str">
            <v>2.</v>
          </cell>
          <cell r="B233" t="str">
            <v>Mandor</v>
          </cell>
          <cell r="D233" t="str">
            <v>Jam</v>
          </cell>
          <cell r="E233">
            <v>0.27490000000000003</v>
          </cell>
          <cell r="F233">
            <v>3600</v>
          </cell>
          <cell r="G233">
            <v>989.6400000000001</v>
          </cell>
        </row>
        <row r="236">
          <cell r="A236" t="str">
            <v>Jumlah Harga Tenaga Kerja</v>
          </cell>
          <cell r="G236">
            <v>4181.3599999999997</v>
          </cell>
        </row>
        <row r="237">
          <cell r="A237" t="str">
            <v>B</v>
          </cell>
          <cell r="B237" t="str">
            <v xml:space="preserve">BAHAN </v>
          </cell>
        </row>
        <row r="242">
          <cell r="A242" t="str">
            <v>Jumlah Harga Bahan</v>
          </cell>
          <cell r="G242">
            <v>0</v>
          </cell>
        </row>
        <row r="243">
          <cell r="A243" t="str">
            <v>C</v>
          </cell>
          <cell r="B243" t="str">
            <v>PERALATAN</v>
          </cell>
        </row>
        <row r="245">
          <cell r="A245" t="str">
            <v>1.</v>
          </cell>
          <cell r="B245" t="str">
            <v>Compressor</v>
          </cell>
          <cell r="D245" t="str">
            <v>Jam</v>
          </cell>
          <cell r="E245">
            <v>0.27490000000000003</v>
          </cell>
          <cell r="F245">
            <v>43000</v>
          </cell>
          <cell r="G245">
            <v>11820.7</v>
          </cell>
        </row>
        <row r="246">
          <cell r="A246" t="str">
            <v>2.</v>
          </cell>
          <cell r="B246" t="str">
            <v>Jack Hammer</v>
          </cell>
          <cell r="D246" t="str">
            <v>Jam</v>
          </cell>
          <cell r="E246">
            <v>0.27490000000000003</v>
          </cell>
          <cell r="F246">
            <v>16000</v>
          </cell>
          <cell r="G246">
            <v>4398.4000000000005</v>
          </cell>
        </row>
        <row r="247">
          <cell r="A247" t="str">
            <v>3.</v>
          </cell>
          <cell r="B247" t="str">
            <v>Dump Truck</v>
          </cell>
          <cell r="D247" t="str">
            <v>Jam</v>
          </cell>
          <cell r="E247">
            <v>0.46090000000000003</v>
          </cell>
          <cell r="F247">
            <v>63000</v>
          </cell>
          <cell r="G247">
            <v>29036.7</v>
          </cell>
        </row>
        <row r="248">
          <cell r="A248" t="str">
            <v>4.</v>
          </cell>
          <cell r="B248" t="str">
            <v>Alat Bantu</v>
          </cell>
          <cell r="D248" t="str">
            <v>Ls</v>
          </cell>
          <cell r="E248">
            <v>1</v>
          </cell>
          <cell r="F248">
            <v>1200</v>
          </cell>
          <cell r="G248">
            <v>1200</v>
          </cell>
        </row>
        <row r="250">
          <cell r="A250" t="str">
            <v>Jumlah Harga Peralatan</v>
          </cell>
          <cell r="G250">
            <v>46455.8</v>
          </cell>
        </row>
        <row r="252">
          <cell r="A252" t="str">
            <v>D</v>
          </cell>
          <cell r="B252" t="str">
            <v>JUMLAH ( A + B + C )</v>
          </cell>
          <cell r="G252">
            <v>50637.16</v>
          </cell>
        </row>
        <row r="253">
          <cell r="A253" t="str">
            <v>E</v>
          </cell>
          <cell r="B253" t="str">
            <v>KEUNTUNGAN  10,0 % X D</v>
          </cell>
          <cell r="G253">
            <v>5063.7160000000003</v>
          </cell>
        </row>
        <row r="254">
          <cell r="A254" t="str">
            <v>F</v>
          </cell>
          <cell r="B254" t="str">
            <v>HARGA SATUAN PEKERJAAN  ( D + E )</v>
          </cell>
          <cell r="G254">
            <v>55700.876000000004</v>
          </cell>
        </row>
        <row r="255">
          <cell r="A255" t="str">
            <v>G</v>
          </cell>
          <cell r="B255" t="str">
            <v>DIBULATKAN</v>
          </cell>
          <cell r="G255">
            <v>55701</v>
          </cell>
        </row>
        <row r="257">
          <cell r="A257" t="str">
            <v>Note :       1</v>
          </cell>
          <cell r="B257" t="str">
            <v>Satuan dapat berdasarkan atas jam operasi untuk tenaga kerja dan peralatan, volume dan / atau ukuran</v>
          </cell>
        </row>
        <row r="258">
          <cell r="B258" t="str">
            <v xml:space="preserve"> berat untuk bahan-bahan</v>
          </cell>
        </row>
        <row r="259">
          <cell r="A259">
            <v>2</v>
          </cell>
          <cell r="B259" t="str">
            <v>Kuantitas Satuan adalah kuantitas setiap komponen untuk menyelesaikan satu satuan pekerjaan dari nomor</v>
          </cell>
        </row>
        <row r="260">
          <cell r="B260" t="str">
            <v>mata pembayaran</v>
          </cell>
        </row>
        <row r="261">
          <cell r="A261">
            <v>3</v>
          </cell>
          <cell r="B261" t="str">
            <v>Biaya Satuan Untuk Peralatan sudah termasuk bahan bakar, bahan habis dipakai dan operator</v>
          </cell>
        </row>
        <row r="262">
          <cell r="A262">
            <v>4</v>
          </cell>
          <cell r="B262" t="str">
            <v>Biaya Satuan sudah termasuk pengeluaran untuk seluruh pajak yang berkaitan (tetapi tidak termasuk PPN</v>
          </cell>
        </row>
        <row r="263">
          <cell r="B263" t="str">
            <v>yang dibayar dari kontrak) dan biaya-biaya lainnya</v>
          </cell>
        </row>
        <row r="267">
          <cell r="E267" t="str">
            <v>Takengon, 16 Juli 2003</v>
          </cell>
        </row>
        <row r="268">
          <cell r="E268" t="str">
            <v>CV. TRIPA KARYA</v>
          </cell>
        </row>
        <row r="274">
          <cell r="E274" t="str">
            <v>NYAK MUDDIN PUTEH</v>
          </cell>
        </row>
        <row r="275">
          <cell r="E275" t="str">
            <v>Direktur</v>
          </cell>
        </row>
        <row r="277">
          <cell r="A277" t="str">
            <v>ANALISA HARGA SATUAN MATA PEMBAYARAN</v>
          </cell>
        </row>
        <row r="280">
          <cell r="A280" t="str">
            <v>Nama Penawar</v>
          </cell>
          <cell r="C280" t="str">
            <v>:</v>
          </cell>
          <cell r="D280" t="str">
            <v>CV. TAKABEYA PERKASA</v>
          </cell>
        </row>
        <row r="281">
          <cell r="A281" t="str">
            <v>Paket</v>
          </cell>
          <cell r="C281" t="str">
            <v>:</v>
          </cell>
          <cell r="D281" t="str">
            <v xml:space="preserve">Pemeliharaan Berkala Jalan Geudong - Makam Malikussaleh - Mancang </v>
          </cell>
        </row>
        <row r="282">
          <cell r="A282" t="str">
            <v>No. Paket</v>
          </cell>
          <cell r="C282" t="str">
            <v>:</v>
          </cell>
          <cell r="D282" t="str">
            <v>P.039</v>
          </cell>
        </row>
        <row r="283">
          <cell r="A283" t="str">
            <v>Provinsi</v>
          </cell>
          <cell r="C283" t="str">
            <v>:</v>
          </cell>
          <cell r="D283" t="str">
            <v>Nanggroe Aceh Darussalam</v>
          </cell>
        </row>
        <row r="284">
          <cell r="A284" t="str">
            <v>No. Item Pembayaran</v>
          </cell>
          <cell r="C284" t="str">
            <v>:</v>
          </cell>
          <cell r="D284" t="str">
            <v>3.2 ( 1 )</v>
          </cell>
        </row>
        <row r="285">
          <cell r="A285" t="str">
            <v>Jenis Pekerjaan</v>
          </cell>
          <cell r="C285" t="str">
            <v>:</v>
          </cell>
          <cell r="D285" t="str">
            <v>Timbunan Biasa</v>
          </cell>
        </row>
        <row r="286">
          <cell r="A286" t="str">
            <v>Satuan Pembayaran</v>
          </cell>
          <cell r="C286" t="str">
            <v>:</v>
          </cell>
          <cell r="D286" t="str">
            <v>M3</v>
          </cell>
        </row>
        <row r="290">
          <cell r="A290" t="str">
            <v>NO.</v>
          </cell>
          <cell r="B290" t="str">
            <v>KOMPONEN</v>
          </cell>
          <cell r="D290" t="str">
            <v>SATUAN</v>
          </cell>
          <cell r="E290" t="str">
            <v>PERKIRAAN</v>
          </cell>
          <cell r="F290" t="str">
            <v>HARGA SATUAN</v>
          </cell>
          <cell r="G290" t="str">
            <v>JUMLAH HARGA</v>
          </cell>
        </row>
        <row r="291">
          <cell r="E291" t="str">
            <v>KUANTITAS</v>
          </cell>
          <cell r="F291" t="str">
            <v>(Rp)</v>
          </cell>
          <cell r="G291" t="str">
            <v>(Rp)</v>
          </cell>
        </row>
        <row r="292">
          <cell r="A292" t="str">
            <v>A</v>
          </cell>
          <cell r="B292" t="str">
            <v>TENAGA KERJA</v>
          </cell>
        </row>
        <row r="294">
          <cell r="A294" t="str">
            <v>1.</v>
          </cell>
          <cell r="B294" t="str">
            <v>Pekerja</v>
          </cell>
          <cell r="D294" t="str">
            <v>Jam</v>
          </cell>
          <cell r="E294">
            <v>0.15190000000000001</v>
          </cell>
          <cell r="F294">
            <v>2800</v>
          </cell>
          <cell r="G294">
            <v>425.32</v>
          </cell>
        </row>
        <row r="295">
          <cell r="A295" t="str">
            <v>2.</v>
          </cell>
          <cell r="B295" t="str">
            <v>Mandor</v>
          </cell>
          <cell r="D295" t="str">
            <v>Jam</v>
          </cell>
          <cell r="E295">
            <v>3.6399999999999995E-2</v>
          </cell>
          <cell r="F295">
            <v>3600</v>
          </cell>
          <cell r="G295">
            <v>131.04</v>
          </cell>
        </row>
        <row r="298">
          <cell r="A298" t="str">
            <v>Jumlah Harga Tenaga Kerja</v>
          </cell>
          <cell r="G298">
            <v>556.36</v>
          </cell>
        </row>
        <row r="299">
          <cell r="A299" t="str">
            <v>B</v>
          </cell>
          <cell r="B299" t="str">
            <v xml:space="preserve">BAHAN </v>
          </cell>
        </row>
        <row r="301">
          <cell r="A301">
            <v>1</v>
          </cell>
          <cell r="B301" t="str">
            <v>Material Timbunan</v>
          </cell>
          <cell r="D301" t="str">
            <v>M3</v>
          </cell>
          <cell r="E301">
            <v>1.2</v>
          </cell>
          <cell r="F301">
            <v>12500</v>
          </cell>
          <cell r="G301">
            <v>15000</v>
          </cell>
        </row>
        <row r="304">
          <cell r="A304" t="str">
            <v>Jumlah Harga Bahan</v>
          </cell>
          <cell r="G304">
            <v>15000</v>
          </cell>
        </row>
        <row r="305">
          <cell r="A305" t="str">
            <v>C</v>
          </cell>
          <cell r="B305" t="str">
            <v>PERALATAN</v>
          </cell>
        </row>
        <row r="307">
          <cell r="A307" t="str">
            <v>1.</v>
          </cell>
          <cell r="B307" t="str">
            <v>Whell Loader</v>
          </cell>
          <cell r="D307" t="str">
            <v>Jam</v>
          </cell>
          <cell r="E307">
            <v>3.6399999999999995E-2</v>
          </cell>
          <cell r="F307">
            <v>148000</v>
          </cell>
          <cell r="G307">
            <v>5387.1999999999989</v>
          </cell>
        </row>
        <row r="308">
          <cell r="A308" t="str">
            <v>2.</v>
          </cell>
          <cell r="B308" t="str">
            <v>Dump Truck</v>
          </cell>
          <cell r="D308" t="str">
            <v>Jam</v>
          </cell>
          <cell r="E308">
            <v>0.2409</v>
          </cell>
          <cell r="F308">
            <v>75000</v>
          </cell>
          <cell r="G308">
            <v>18067.5</v>
          </cell>
        </row>
        <row r="309">
          <cell r="A309" t="str">
            <v>3.</v>
          </cell>
          <cell r="B309" t="str">
            <v>Motor Greder</v>
          </cell>
          <cell r="D309" t="str">
            <v>Jam</v>
          </cell>
          <cell r="E309">
            <v>1.0200000000000001E-2</v>
          </cell>
          <cell r="F309">
            <v>165000</v>
          </cell>
          <cell r="G309">
            <v>1683.0000000000002</v>
          </cell>
        </row>
        <row r="310">
          <cell r="A310" t="str">
            <v>4.</v>
          </cell>
          <cell r="B310" t="str">
            <v>Vibrator Roller</v>
          </cell>
          <cell r="D310" t="str">
            <v>Jam</v>
          </cell>
          <cell r="E310">
            <v>1.54E-2</v>
          </cell>
          <cell r="F310">
            <v>155000</v>
          </cell>
          <cell r="G310">
            <v>2387</v>
          </cell>
        </row>
        <row r="311">
          <cell r="A311" t="str">
            <v>5.</v>
          </cell>
          <cell r="B311" t="str">
            <v>Water Tanker</v>
          </cell>
          <cell r="D311" t="str">
            <v>Jam</v>
          </cell>
          <cell r="E311">
            <v>7.0000000000000001E-3</v>
          </cell>
          <cell r="F311">
            <v>70000</v>
          </cell>
          <cell r="G311">
            <v>490</v>
          </cell>
        </row>
        <row r="312">
          <cell r="A312" t="str">
            <v>6.</v>
          </cell>
          <cell r="B312" t="str">
            <v>Alat Bantu</v>
          </cell>
          <cell r="D312" t="str">
            <v>Ls</v>
          </cell>
          <cell r="E312">
            <v>1</v>
          </cell>
          <cell r="F312">
            <v>200</v>
          </cell>
          <cell r="G312">
            <v>200</v>
          </cell>
        </row>
        <row r="314">
          <cell r="A314" t="str">
            <v>Jumlah Harga Peralatan</v>
          </cell>
          <cell r="G314">
            <v>28214.699999999997</v>
          </cell>
        </row>
        <row r="316">
          <cell r="A316" t="str">
            <v>D</v>
          </cell>
          <cell r="B316" t="str">
            <v>JUMLAH ( A + B + C )</v>
          </cell>
          <cell r="G316">
            <v>43771.06</v>
          </cell>
        </row>
        <row r="317">
          <cell r="A317" t="str">
            <v>E</v>
          </cell>
          <cell r="B317" t="str">
            <v>KEUNTUNGAN  10,0 % X D</v>
          </cell>
          <cell r="G317">
            <v>4377.1059999999998</v>
          </cell>
        </row>
        <row r="318">
          <cell r="A318" t="str">
            <v>F</v>
          </cell>
          <cell r="B318" t="str">
            <v>HARGA SATUAN PEKERJAAN  ( D + E )</v>
          </cell>
          <cell r="G318">
            <v>48148.165999999997</v>
          </cell>
        </row>
        <row r="319">
          <cell r="A319" t="str">
            <v>G</v>
          </cell>
          <cell r="B319" t="str">
            <v>DIBULATKAN</v>
          </cell>
          <cell r="G319">
            <v>48148</v>
          </cell>
        </row>
        <row r="321">
          <cell r="A321" t="str">
            <v>Note :       1</v>
          </cell>
          <cell r="B321" t="str">
            <v>Satuan dapat berdasarkan atas jam operasi untuk tenaga kerja dan peralatan, volume dan / atau ukuran</v>
          </cell>
        </row>
        <row r="322">
          <cell r="B322" t="str">
            <v xml:space="preserve"> berat untuk bahan-bahan</v>
          </cell>
        </row>
        <row r="323">
          <cell r="A323">
            <v>2</v>
          </cell>
          <cell r="B323" t="str">
            <v>Kuantitas Satuan adalah kuantitas setiap komponen untuk menyelesaikan satu satuan pekerjaan dari nomor</v>
          </cell>
        </row>
        <row r="324">
          <cell r="B324" t="str">
            <v>mata pembayaran</v>
          </cell>
        </row>
        <row r="325">
          <cell r="A325">
            <v>3</v>
          </cell>
          <cell r="B325" t="str">
            <v>Biaya Satuan Untuk Peralatan sudah termasuk bahan bakar, bahan habis dipakai dan operator</v>
          </cell>
        </row>
        <row r="326">
          <cell r="A326">
            <v>4</v>
          </cell>
          <cell r="B326" t="str">
            <v>Biaya Satuan sudah termasuk pengeluaran untuk seluruh pajak yang berkaitan (tetapi tidak termasuk PPN</v>
          </cell>
        </row>
        <row r="327">
          <cell r="B327" t="str">
            <v>yang dibayar dari kontrak) dan biaya-biaya lainnya</v>
          </cell>
        </row>
        <row r="331">
          <cell r="E331" t="str">
            <v>Takengon, 16 Juli 2003</v>
          </cell>
        </row>
        <row r="332">
          <cell r="E332" t="str">
            <v>CV. TRIPA KARYA</v>
          </cell>
        </row>
        <row r="338">
          <cell r="E338" t="str">
            <v>NYAK MUDDIN PUTEH</v>
          </cell>
        </row>
        <row r="339">
          <cell r="E339" t="str">
            <v>Direktur</v>
          </cell>
        </row>
        <row r="341">
          <cell r="A341" t="str">
            <v>ANALISA HARGA SATUAN MATA PEMBAYARAN</v>
          </cell>
        </row>
        <row r="344">
          <cell r="A344" t="str">
            <v>Nama Penawar</v>
          </cell>
          <cell r="C344" t="str">
            <v>:</v>
          </cell>
          <cell r="D344" t="str">
            <v>CV. TAKABEYA PERKASA</v>
          </cell>
        </row>
        <row r="345">
          <cell r="A345" t="str">
            <v>Paket</v>
          </cell>
          <cell r="C345" t="str">
            <v>:</v>
          </cell>
          <cell r="D345" t="str">
            <v xml:space="preserve">Pemeliharaan Berkala Jalan Geudong - Makam Malikussaleh - Mancang </v>
          </cell>
        </row>
        <row r="346">
          <cell r="A346" t="str">
            <v>No. Paket</v>
          </cell>
          <cell r="C346" t="str">
            <v>:</v>
          </cell>
          <cell r="D346" t="str">
            <v>P.039</v>
          </cell>
        </row>
        <row r="347">
          <cell r="A347" t="str">
            <v>Provinsi</v>
          </cell>
          <cell r="C347" t="str">
            <v>:</v>
          </cell>
          <cell r="D347" t="str">
            <v>Nanggroe Aceh Darussalam</v>
          </cell>
        </row>
        <row r="348">
          <cell r="A348" t="str">
            <v>No. Item Pembayaran</v>
          </cell>
          <cell r="C348" t="str">
            <v>:</v>
          </cell>
          <cell r="D348" t="str">
            <v>5.1 ( 1 )</v>
          </cell>
        </row>
        <row r="349">
          <cell r="A349" t="str">
            <v>Jenis Pekerjaan</v>
          </cell>
          <cell r="C349" t="str">
            <v>:</v>
          </cell>
          <cell r="D349" t="str">
            <v>Lapis Pondasi Agregat Klas A</v>
          </cell>
        </row>
        <row r="350">
          <cell r="A350" t="str">
            <v>Satuan Pembayaran</v>
          </cell>
          <cell r="C350" t="str">
            <v>:</v>
          </cell>
          <cell r="D350" t="str">
            <v>M3</v>
          </cell>
        </row>
        <row r="354">
          <cell r="A354" t="str">
            <v>NO.</v>
          </cell>
          <cell r="B354" t="str">
            <v>KOMPONEN</v>
          </cell>
          <cell r="D354" t="str">
            <v>SATUAN</v>
          </cell>
          <cell r="E354" t="str">
            <v>PERKIRAAN</v>
          </cell>
          <cell r="F354" t="str">
            <v>HARGA SATUAN</v>
          </cell>
          <cell r="G354" t="str">
            <v>JUMLAH HARGA</v>
          </cell>
        </row>
        <row r="355">
          <cell r="E355" t="str">
            <v>KUANTITAS</v>
          </cell>
          <cell r="F355" t="str">
            <v>(Rp)</v>
          </cell>
          <cell r="G355" t="str">
            <v>(Rp)</v>
          </cell>
        </row>
        <row r="356">
          <cell r="A356" t="str">
            <v>A</v>
          </cell>
          <cell r="B356" t="str">
            <v>TENAGA KERJA</v>
          </cell>
        </row>
        <row r="358">
          <cell r="A358" t="str">
            <v>1.</v>
          </cell>
          <cell r="B358" t="str">
            <v>Pekerja</v>
          </cell>
          <cell r="D358" t="str">
            <v>Jam</v>
          </cell>
          <cell r="E358">
            <v>0.56169999999999998</v>
          </cell>
          <cell r="F358">
            <v>2800</v>
          </cell>
          <cell r="G358">
            <v>1572.76</v>
          </cell>
        </row>
        <row r="359">
          <cell r="A359" t="str">
            <v>2.</v>
          </cell>
          <cell r="B359" t="str">
            <v>Mandor</v>
          </cell>
          <cell r="D359" t="str">
            <v>Jam</v>
          </cell>
          <cell r="E359">
            <v>8.0099999999999991E-2</v>
          </cell>
          <cell r="F359">
            <v>3600</v>
          </cell>
          <cell r="G359">
            <v>288.35999999999996</v>
          </cell>
        </row>
        <row r="362">
          <cell r="A362" t="str">
            <v>Jumlah Harga Tenaga Kerja</v>
          </cell>
          <cell r="G362">
            <v>1861.12</v>
          </cell>
        </row>
        <row r="363">
          <cell r="A363" t="str">
            <v>B</v>
          </cell>
          <cell r="B363" t="str">
            <v xml:space="preserve">BAHAN </v>
          </cell>
        </row>
        <row r="365">
          <cell r="A365" t="str">
            <v>1.</v>
          </cell>
          <cell r="B365" t="str">
            <v>Agregat Kasar</v>
          </cell>
          <cell r="D365" t="str">
            <v>M3</v>
          </cell>
          <cell r="E365">
            <v>0.76200000000000001</v>
          </cell>
          <cell r="F365">
            <v>49000</v>
          </cell>
          <cell r="G365">
            <v>37338</v>
          </cell>
        </row>
        <row r="366">
          <cell r="A366" t="str">
            <v>2.</v>
          </cell>
          <cell r="B366" t="str">
            <v>Agregat Halus</v>
          </cell>
          <cell r="D366" t="str">
            <v>M3</v>
          </cell>
          <cell r="E366">
            <v>0.438</v>
          </cell>
          <cell r="F366">
            <v>55000</v>
          </cell>
          <cell r="G366">
            <v>24090</v>
          </cell>
        </row>
        <row r="368">
          <cell r="A368" t="str">
            <v>Jumlah Harga Bahan</v>
          </cell>
          <cell r="G368">
            <v>61428</v>
          </cell>
        </row>
        <row r="369">
          <cell r="A369" t="str">
            <v>C</v>
          </cell>
          <cell r="B369" t="str">
            <v>PERALATAN</v>
          </cell>
        </row>
        <row r="371">
          <cell r="A371" t="str">
            <v>1.</v>
          </cell>
          <cell r="B371" t="str">
            <v>Whell Loader</v>
          </cell>
          <cell r="D371" t="str">
            <v>Jam</v>
          </cell>
          <cell r="E371">
            <v>7.9500000000000001E-2</v>
          </cell>
          <cell r="F371">
            <v>148000</v>
          </cell>
          <cell r="G371">
            <v>11766</v>
          </cell>
        </row>
        <row r="372">
          <cell r="A372" t="str">
            <v>2.</v>
          </cell>
          <cell r="B372" t="str">
            <v>Dump Truck</v>
          </cell>
          <cell r="D372" t="str">
            <v>Jam</v>
          </cell>
          <cell r="E372">
            <v>0.92500000000000004</v>
          </cell>
          <cell r="F372">
            <v>75000</v>
          </cell>
          <cell r="G372">
            <v>69375</v>
          </cell>
        </row>
        <row r="373">
          <cell r="A373" t="str">
            <v>3.</v>
          </cell>
          <cell r="B373" t="str">
            <v>Motor Greder</v>
          </cell>
          <cell r="D373" t="str">
            <v>Jam</v>
          </cell>
          <cell r="E373">
            <v>1.0200000000000001E-2</v>
          </cell>
          <cell r="F373">
            <v>165000</v>
          </cell>
          <cell r="G373">
            <v>1683.0000000000002</v>
          </cell>
        </row>
        <row r="374">
          <cell r="A374" t="str">
            <v>4.</v>
          </cell>
          <cell r="B374" t="str">
            <v>Vibrator Roller</v>
          </cell>
          <cell r="D374" t="str">
            <v>Jam</v>
          </cell>
          <cell r="E374">
            <v>1.5599999999999999E-2</v>
          </cell>
          <cell r="F374">
            <v>155000</v>
          </cell>
          <cell r="G374">
            <v>2418</v>
          </cell>
        </row>
        <row r="375">
          <cell r="A375" t="str">
            <v>5.</v>
          </cell>
          <cell r="B375" t="str">
            <v>P. Tyre Roller</v>
          </cell>
          <cell r="D375" t="str">
            <v>Jam</v>
          </cell>
          <cell r="E375">
            <v>5.4000000000000003E-3</v>
          </cell>
          <cell r="F375">
            <v>98000</v>
          </cell>
          <cell r="G375">
            <v>529.20000000000005</v>
          </cell>
        </row>
        <row r="376">
          <cell r="A376" t="str">
            <v>6.</v>
          </cell>
          <cell r="B376" t="str">
            <v>Water Tanker</v>
          </cell>
          <cell r="D376" t="str">
            <v>Jam</v>
          </cell>
          <cell r="E376">
            <v>1.84E-2</v>
          </cell>
          <cell r="F376">
            <v>70000</v>
          </cell>
          <cell r="G376">
            <v>1288</v>
          </cell>
        </row>
        <row r="377">
          <cell r="A377" t="str">
            <v>7.</v>
          </cell>
          <cell r="B377" t="str">
            <v>Alat Bantu</v>
          </cell>
          <cell r="D377" t="str">
            <v>Ls</v>
          </cell>
          <cell r="E377">
            <v>1</v>
          </cell>
          <cell r="F377">
            <v>1750</v>
          </cell>
          <cell r="G377">
            <v>1750</v>
          </cell>
        </row>
        <row r="379">
          <cell r="A379" t="str">
            <v>Jumlah Harga Peralatan</v>
          </cell>
          <cell r="G379">
            <v>88809.2</v>
          </cell>
        </row>
        <row r="381">
          <cell r="A381" t="str">
            <v>D</v>
          </cell>
          <cell r="B381" t="str">
            <v>JUMLAH ( A + B + C )</v>
          </cell>
          <cell r="G381">
            <v>152098.32</v>
          </cell>
        </row>
        <row r="382">
          <cell r="A382" t="str">
            <v>E</v>
          </cell>
          <cell r="B382" t="str">
            <v>KEUNTUNGAN  10,0 % X D</v>
          </cell>
          <cell r="G382">
            <v>15209.832000000002</v>
          </cell>
        </row>
        <row r="383">
          <cell r="A383" t="str">
            <v>F</v>
          </cell>
          <cell r="B383" t="str">
            <v>HARGA SATUAN PEKERJAAN  ( D + E )</v>
          </cell>
          <cell r="G383">
            <v>167308.152</v>
          </cell>
        </row>
        <row r="384">
          <cell r="A384" t="str">
            <v>G</v>
          </cell>
          <cell r="B384" t="str">
            <v>DIBULATKAN</v>
          </cell>
          <cell r="G384">
            <v>167308</v>
          </cell>
        </row>
        <row r="386">
          <cell r="A386" t="str">
            <v>Note :       1</v>
          </cell>
          <cell r="B386" t="str">
            <v>Satuan dapat berdasarkan atas jam operasi untuk tenaga kerja dan peralatan, volume dan / atau ukuran</v>
          </cell>
        </row>
        <row r="387">
          <cell r="B387" t="str">
            <v xml:space="preserve"> berat untuk bahan-bahan</v>
          </cell>
        </row>
        <row r="388">
          <cell r="A388">
            <v>2</v>
          </cell>
          <cell r="B388" t="str">
            <v>Kuantitas Satuan adalah kuantitas setiap komponen untuk menyelesaikan satu satuan pekerjaan dari nomor</v>
          </cell>
        </row>
        <row r="389">
          <cell r="B389" t="str">
            <v>mata pembayaran</v>
          </cell>
        </row>
        <row r="390">
          <cell r="A390">
            <v>3</v>
          </cell>
          <cell r="B390" t="str">
            <v>Biaya Satuan Untuk Peralatan sudah termasuk bahan bakar, bahan habis dipakai dan operator</v>
          </cell>
        </row>
        <row r="391">
          <cell r="A391">
            <v>4</v>
          </cell>
          <cell r="B391" t="str">
            <v>Biaya Satuan sudah termasuk pengeluaran untuk seluruh pajak yang berkaitan (tetapi tidak termasuk PPN</v>
          </cell>
        </row>
        <row r="392">
          <cell r="B392" t="str">
            <v>yang dibayar dari kontrak) dan biaya-biaya lainnya</v>
          </cell>
        </row>
        <row r="396">
          <cell r="E396" t="str">
            <v>Takengon, 16 Juli 2003</v>
          </cell>
        </row>
        <row r="397">
          <cell r="E397" t="str">
            <v>CV. TRIPA KARYA</v>
          </cell>
        </row>
        <row r="403">
          <cell r="E403" t="str">
            <v>NYAK MUDDIN PUTEH</v>
          </cell>
        </row>
        <row r="404">
          <cell r="E404" t="str">
            <v>Direktur</v>
          </cell>
        </row>
        <row r="406">
          <cell r="A406" t="str">
            <v>ANALISA HARGA SATUAN MATA PEMBAYARAN</v>
          </cell>
        </row>
        <row r="409">
          <cell r="A409" t="str">
            <v>Nama Penawar</v>
          </cell>
          <cell r="C409" t="str">
            <v>:</v>
          </cell>
          <cell r="D409" t="str">
            <v>CV. TAKABEYA PERKASA</v>
          </cell>
        </row>
        <row r="410">
          <cell r="A410" t="str">
            <v>Paket</v>
          </cell>
          <cell r="C410" t="str">
            <v>:</v>
          </cell>
          <cell r="D410" t="str">
            <v xml:space="preserve">Pemeliharaan Berkala Jalan Geudong - Makam Malikussaleh - Mancang </v>
          </cell>
        </row>
        <row r="411">
          <cell r="A411" t="str">
            <v>No. Paket</v>
          </cell>
          <cell r="C411" t="str">
            <v>:</v>
          </cell>
          <cell r="D411" t="str">
            <v>P.039</v>
          </cell>
        </row>
        <row r="412">
          <cell r="A412" t="str">
            <v>Provinsi</v>
          </cell>
          <cell r="C412" t="str">
            <v>:</v>
          </cell>
          <cell r="D412" t="str">
            <v>Nanggroe Aceh Darussalam</v>
          </cell>
        </row>
        <row r="413">
          <cell r="A413" t="str">
            <v>No. Item Pembayaran</v>
          </cell>
          <cell r="C413" t="str">
            <v>:</v>
          </cell>
          <cell r="D413" t="str">
            <v>5.1 ( 2 )</v>
          </cell>
        </row>
        <row r="414">
          <cell r="A414" t="str">
            <v>Jenis Pekerjaan</v>
          </cell>
          <cell r="C414" t="str">
            <v>:</v>
          </cell>
          <cell r="D414" t="str">
            <v>Lapisan Pondasi Agregat Klas B</v>
          </cell>
        </row>
        <row r="415">
          <cell r="A415" t="str">
            <v>Satuan Pembayaran</v>
          </cell>
          <cell r="C415" t="str">
            <v>:</v>
          </cell>
          <cell r="D415" t="str">
            <v>M3</v>
          </cell>
        </row>
        <row r="419">
          <cell r="A419" t="str">
            <v>NO.</v>
          </cell>
          <cell r="B419" t="str">
            <v>KOMPONEN</v>
          </cell>
          <cell r="D419" t="str">
            <v>SATUAN</v>
          </cell>
          <cell r="E419" t="str">
            <v>PERKIRAAN</v>
          </cell>
          <cell r="F419" t="str">
            <v>HARGA SATUAN</v>
          </cell>
          <cell r="G419" t="str">
            <v>JUMLAH HARGA</v>
          </cell>
        </row>
        <row r="420">
          <cell r="E420" t="str">
            <v>KUANTITAS</v>
          </cell>
          <cell r="F420" t="str">
            <v>(Rp)</v>
          </cell>
          <cell r="G420" t="str">
            <v>(Rp)</v>
          </cell>
        </row>
        <row r="421">
          <cell r="A421" t="str">
            <v>A</v>
          </cell>
          <cell r="B421" t="str">
            <v>TENAGA KERJA</v>
          </cell>
        </row>
        <row r="423">
          <cell r="A423" t="str">
            <v>1.</v>
          </cell>
          <cell r="B423" t="str">
            <v>Pekerja</v>
          </cell>
          <cell r="D423" t="str">
            <v>Jam</v>
          </cell>
          <cell r="E423">
            <v>0.5625</v>
          </cell>
          <cell r="F423">
            <v>2800</v>
          </cell>
          <cell r="G423">
            <v>1575</v>
          </cell>
        </row>
        <row r="424">
          <cell r="A424" t="str">
            <v>2.</v>
          </cell>
          <cell r="B424" t="str">
            <v>Mandor</v>
          </cell>
          <cell r="D424" t="str">
            <v>Jam</v>
          </cell>
          <cell r="E424">
            <v>8.0600000000000005E-2</v>
          </cell>
          <cell r="F424">
            <v>3600</v>
          </cell>
          <cell r="G424">
            <v>290.16000000000003</v>
          </cell>
        </row>
        <row r="427">
          <cell r="A427" t="str">
            <v>Jumlah Harga Tenaga Kerja</v>
          </cell>
          <cell r="G427">
            <v>1865.16</v>
          </cell>
        </row>
        <row r="428">
          <cell r="A428" t="str">
            <v>B</v>
          </cell>
          <cell r="B428" t="str">
            <v xml:space="preserve">BAHAN </v>
          </cell>
        </row>
        <row r="430">
          <cell r="A430" t="str">
            <v>1.</v>
          </cell>
          <cell r="B430" t="str">
            <v>Agregat Kasar</v>
          </cell>
          <cell r="D430" t="str">
            <v>M3</v>
          </cell>
          <cell r="E430">
            <v>0.72</v>
          </cell>
          <cell r="F430">
            <v>49000</v>
          </cell>
          <cell r="G430">
            <v>35280</v>
          </cell>
        </row>
        <row r="431">
          <cell r="A431" t="str">
            <v>2.</v>
          </cell>
          <cell r="B431" t="str">
            <v>Agregat Halus</v>
          </cell>
          <cell r="D431" t="str">
            <v>M3</v>
          </cell>
          <cell r="E431">
            <v>0.48</v>
          </cell>
          <cell r="F431">
            <v>55000</v>
          </cell>
          <cell r="G431">
            <v>26400</v>
          </cell>
        </row>
        <row r="433">
          <cell r="A433" t="str">
            <v>Jumlah Harga Bahan</v>
          </cell>
          <cell r="G433">
            <v>61680</v>
          </cell>
        </row>
        <row r="434">
          <cell r="A434" t="str">
            <v>C</v>
          </cell>
          <cell r="B434" t="str">
            <v>PERALATAN</v>
          </cell>
        </row>
        <row r="436">
          <cell r="A436" t="str">
            <v>1.</v>
          </cell>
          <cell r="B436" t="str">
            <v>Whell Loader</v>
          </cell>
          <cell r="D436" t="str">
            <v>Jam</v>
          </cell>
          <cell r="E436">
            <v>8.0299999999999996E-2</v>
          </cell>
          <cell r="F436">
            <v>148000</v>
          </cell>
          <cell r="G436">
            <v>11884.4</v>
          </cell>
        </row>
        <row r="437">
          <cell r="A437" t="str">
            <v>2.</v>
          </cell>
          <cell r="B437" t="str">
            <v>Dump Truck</v>
          </cell>
          <cell r="D437" t="str">
            <v>Jam</v>
          </cell>
          <cell r="E437">
            <v>0.92530000000000001</v>
          </cell>
          <cell r="F437">
            <v>75000</v>
          </cell>
          <cell r="G437">
            <v>69397.5</v>
          </cell>
        </row>
        <row r="438">
          <cell r="A438" t="str">
            <v>3.</v>
          </cell>
          <cell r="B438" t="str">
            <v>Motor Greder</v>
          </cell>
          <cell r="D438" t="str">
            <v>Jam</v>
          </cell>
          <cell r="E438">
            <v>8.8000000000000005E-3</v>
          </cell>
          <cell r="F438">
            <v>165000</v>
          </cell>
          <cell r="G438">
            <v>1452</v>
          </cell>
        </row>
        <row r="439">
          <cell r="A439" t="str">
            <v>4.</v>
          </cell>
          <cell r="B439" t="str">
            <v>Vibrator Roller</v>
          </cell>
          <cell r="D439" t="str">
            <v>Jam</v>
          </cell>
          <cell r="E439">
            <v>1.34E-2</v>
          </cell>
          <cell r="F439">
            <v>155000</v>
          </cell>
          <cell r="G439">
            <v>2077</v>
          </cell>
        </row>
        <row r="440">
          <cell r="A440" t="str">
            <v>5.</v>
          </cell>
          <cell r="B440" t="str">
            <v>P. Tyre Roller</v>
          </cell>
          <cell r="D440" t="str">
            <v>Jam</v>
          </cell>
          <cell r="E440">
            <v>4.0000000000000001E-3</v>
          </cell>
          <cell r="F440">
            <v>98000</v>
          </cell>
          <cell r="G440">
            <v>392</v>
          </cell>
        </row>
        <row r="441">
          <cell r="A441" t="str">
            <v>6.</v>
          </cell>
          <cell r="B441" t="str">
            <v>Water Tanker</v>
          </cell>
          <cell r="D441" t="str">
            <v>Jam</v>
          </cell>
          <cell r="E441">
            <v>1.84E-2</v>
          </cell>
          <cell r="F441">
            <v>70000</v>
          </cell>
          <cell r="G441">
            <v>1288</v>
          </cell>
        </row>
        <row r="442">
          <cell r="A442" t="str">
            <v>7.</v>
          </cell>
          <cell r="B442" t="str">
            <v>Alat Bantu</v>
          </cell>
          <cell r="D442" t="str">
            <v>Ls</v>
          </cell>
          <cell r="E442">
            <v>1</v>
          </cell>
          <cell r="F442">
            <v>1650</v>
          </cell>
          <cell r="G442">
            <v>1650</v>
          </cell>
        </row>
        <row r="444">
          <cell r="A444" t="str">
            <v>Jumlah Harga Peralatan</v>
          </cell>
          <cell r="G444">
            <v>88140.9</v>
          </cell>
        </row>
        <row r="446">
          <cell r="A446" t="str">
            <v>D</v>
          </cell>
          <cell r="B446" t="str">
            <v>JUMLAH ( A + B + C )</v>
          </cell>
          <cell r="G446">
            <v>151686.06</v>
          </cell>
        </row>
        <row r="447">
          <cell r="A447" t="str">
            <v>E</v>
          </cell>
          <cell r="B447" t="str">
            <v>KEUNTUNGAN  10,0 % X D</v>
          </cell>
          <cell r="G447">
            <v>15168.606</v>
          </cell>
        </row>
        <row r="448">
          <cell r="A448" t="str">
            <v>F</v>
          </cell>
          <cell r="B448" t="str">
            <v>HARGA SATUAN PEKERJAAN  ( D + E )</v>
          </cell>
          <cell r="G448">
            <v>166854.666</v>
          </cell>
        </row>
        <row r="449">
          <cell r="A449" t="str">
            <v>G</v>
          </cell>
          <cell r="B449" t="str">
            <v>DIBULATKAN</v>
          </cell>
          <cell r="G449">
            <v>166855</v>
          </cell>
        </row>
        <row r="451">
          <cell r="A451" t="str">
            <v>Note :       1</v>
          </cell>
          <cell r="B451" t="str">
            <v>Satuan dapat berdasarkan atas jam operasi untuk tenaga kerja dan peralatan, volume dan / atau ukuran</v>
          </cell>
        </row>
        <row r="452">
          <cell r="B452" t="str">
            <v xml:space="preserve"> berat untuk bahan-bahan</v>
          </cell>
        </row>
        <row r="453">
          <cell r="A453">
            <v>2</v>
          </cell>
          <cell r="B453" t="str">
            <v>Kuantitas Satuan adalah kuantitas setiap komponen untuk menyelesaikan satu satuan pekerjaan dari nomor</v>
          </cell>
        </row>
        <row r="454">
          <cell r="B454" t="str">
            <v>mata pembayaran</v>
          </cell>
        </row>
        <row r="455">
          <cell r="A455">
            <v>3</v>
          </cell>
          <cell r="B455" t="str">
            <v>Biaya Satuan Untuk Peralatan sudah termasuk bahan bakar, bahan habis dipakai dan operator</v>
          </cell>
        </row>
        <row r="456">
          <cell r="A456">
            <v>4</v>
          </cell>
          <cell r="B456" t="str">
            <v>Biaya Satuan sudah termasuk pengeluaran untuk seluruh pajak yang berkaitan (tetapi tidak termasuk PPN</v>
          </cell>
        </row>
        <row r="457">
          <cell r="B457" t="str">
            <v>yang dibayar dari kontrak) dan biaya-biaya lainnya</v>
          </cell>
        </row>
        <row r="461">
          <cell r="E461" t="str">
            <v>Takengon, 16 Juli 2003</v>
          </cell>
        </row>
        <row r="462">
          <cell r="E462" t="str">
            <v>CV. TRIPA KARYA</v>
          </cell>
        </row>
        <row r="468">
          <cell r="E468" t="str">
            <v>NYAK MUDDIN PUTEH</v>
          </cell>
        </row>
        <row r="469">
          <cell r="E469" t="str">
            <v>Direktur</v>
          </cell>
        </row>
        <row r="472">
          <cell r="A472" t="str">
            <v>ANALISA HARGA SATUAN MATA PEMBAYARAN</v>
          </cell>
        </row>
        <row r="475">
          <cell r="A475" t="str">
            <v>Nama Penawar</v>
          </cell>
          <cell r="C475" t="str">
            <v>:</v>
          </cell>
          <cell r="D475" t="str">
            <v>CV. TAKABEYA PERKASA</v>
          </cell>
        </row>
        <row r="476">
          <cell r="A476" t="str">
            <v>Paket</v>
          </cell>
          <cell r="C476" t="str">
            <v>:</v>
          </cell>
          <cell r="D476" t="str">
            <v xml:space="preserve">Pemeliharaan Berkala Jalan Geudong - Makam Malikussaleh - Mancang </v>
          </cell>
        </row>
        <row r="477">
          <cell r="A477" t="str">
            <v>No. Paket</v>
          </cell>
          <cell r="C477" t="str">
            <v>:</v>
          </cell>
          <cell r="D477" t="str">
            <v>P.039</v>
          </cell>
        </row>
        <row r="478">
          <cell r="A478" t="str">
            <v>Provinsi</v>
          </cell>
          <cell r="C478" t="str">
            <v>:</v>
          </cell>
          <cell r="D478" t="str">
            <v>Nanggroe Aceh Darussalam</v>
          </cell>
        </row>
        <row r="479">
          <cell r="A479" t="str">
            <v>No. Item Pembayaran</v>
          </cell>
          <cell r="C479" t="str">
            <v>:</v>
          </cell>
          <cell r="D479" t="str">
            <v>6.1 ( 1 )</v>
          </cell>
        </row>
        <row r="480">
          <cell r="A480" t="str">
            <v>Jenis Pekerjaan</v>
          </cell>
          <cell r="C480" t="str">
            <v>:</v>
          </cell>
          <cell r="D480" t="str">
            <v>Lapisan Resap Pengikat</v>
          </cell>
        </row>
        <row r="481">
          <cell r="A481" t="str">
            <v>Satuan Pembayaran</v>
          </cell>
          <cell r="C481" t="str">
            <v>:</v>
          </cell>
          <cell r="D481" t="str">
            <v>Liter</v>
          </cell>
        </row>
        <row r="485">
          <cell r="A485" t="str">
            <v>NO.</v>
          </cell>
          <cell r="B485" t="str">
            <v>KOMPONEN</v>
          </cell>
          <cell r="D485" t="str">
            <v>SATUAN</v>
          </cell>
          <cell r="E485" t="str">
            <v>PERKIRAAN</v>
          </cell>
          <cell r="F485" t="str">
            <v>HARGA SATUAN</v>
          </cell>
          <cell r="G485" t="str">
            <v>JUMLAH HARGA</v>
          </cell>
        </row>
        <row r="486">
          <cell r="E486" t="str">
            <v>KUANTITAS</v>
          </cell>
          <cell r="F486" t="str">
            <v>(Rp)</v>
          </cell>
          <cell r="G486" t="str">
            <v>(Rp)</v>
          </cell>
        </row>
        <row r="487">
          <cell r="A487" t="str">
            <v>A</v>
          </cell>
          <cell r="B487" t="str">
            <v>TENAGA KERJA</v>
          </cell>
        </row>
        <row r="489">
          <cell r="A489" t="str">
            <v>1.</v>
          </cell>
          <cell r="B489" t="str">
            <v>Pekerja</v>
          </cell>
          <cell r="D489" t="str">
            <v>Jam</v>
          </cell>
          <cell r="E489">
            <v>1.78E-2</v>
          </cell>
          <cell r="F489">
            <v>2800</v>
          </cell>
          <cell r="G489">
            <v>49.839999999999996</v>
          </cell>
        </row>
        <row r="490">
          <cell r="A490" t="str">
            <v>2.</v>
          </cell>
          <cell r="B490" t="str">
            <v>Mandor</v>
          </cell>
          <cell r="D490" t="str">
            <v>Jam</v>
          </cell>
          <cell r="E490">
            <v>1.5E-3</v>
          </cell>
          <cell r="F490">
            <v>3600</v>
          </cell>
          <cell r="G490">
            <v>5.4</v>
          </cell>
        </row>
        <row r="493">
          <cell r="A493" t="str">
            <v>Jumlah Harga Tenaga Kerja</v>
          </cell>
          <cell r="G493">
            <v>55.239999999999995</v>
          </cell>
        </row>
        <row r="494">
          <cell r="A494" t="str">
            <v>B</v>
          </cell>
          <cell r="B494" t="str">
            <v xml:space="preserve">BAHAN </v>
          </cell>
        </row>
        <row r="496">
          <cell r="A496" t="str">
            <v>1.</v>
          </cell>
          <cell r="B496" t="str">
            <v>Aspal</v>
          </cell>
          <cell r="D496" t="str">
            <v>Kg</v>
          </cell>
          <cell r="E496">
            <v>0.64170000000000005</v>
          </cell>
          <cell r="F496">
            <v>4000</v>
          </cell>
          <cell r="G496">
            <v>2566.8000000000002</v>
          </cell>
        </row>
        <row r="497">
          <cell r="A497" t="str">
            <v>2.</v>
          </cell>
          <cell r="B497" t="str">
            <v>Corosene</v>
          </cell>
          <cell r="D497" t="str">
            <v>Liter</v>
          </cell>
          <cell r="E497">
            <v>0.4899</v>
          </cell>
          <cell r="F497">
            <v>1350</v>
          </cell>
          <cell r="G497">
            <v>661.36500000000001</v>
          </cell>
        </row>
        <row r="499">
          <cell r="A499" t="str">
            <v>Jumlah Harga Bahan</v>
          </cell>
          <cell r="G499">
            <v>3228.165</v>
          </cell>
        </row>
        <row r="500">
          <cell r="A500" t="str">
            <v>C</v>
          </cell>
          <cell r="B500" t="str">
            <v>PERALATAN</v>
          </cell>
        </row>
        <row r="502">
          <cell r="A502" t="str">
            <v>1.</v>
          </cell>
          <cell r="B502" t="str">
            <v>Asphalt Sprayer</v>
          </cell>
          <cell r="D502" t="str">
            <v>Jam</v>
          </cell>
          <cell r="E502">
            <v>1.5E-3</v>
          </cell>
          <cell r="F502">
            <v>30000</v>
          </cell>
          <cell r="G502">
            <v>45</v>
          </cell>
        </row>
        <row r="503">
          <cell r="A503" t="str">
            <v>2.</v>
          </cell>
          <cell r="B503" t="str">
            <v>Compressor</v>
          </cell>
          <cell r="D503" t="str">
            <v>Jam</v>
          </cell>
          <cell r="E503">
            <v>2.8E-3</v>
          </cell>
          <cell r="F503">
            <v>43000</v>
          </cell>
          <cell r="G503">
            <v>120.4</v>
          </cell>
        </row>
        <row r="504">
          <cell r="A504" t="str">
            <v>3.</v>
          </cell>
          <cell r="B504" t="str">
            <v>Dump Truck</v>
          </cell>
          <cell r="D504" t="str">
            <v>Jam</v>
          </cell>
          <cell r="E504">
            <v>1.5E-3</v>
          </cell>
          <cell r="F504">
            <v>63000</v>
          </cell>
          <cell r="G504">
            <v>94.5</v>
          </cell>
        </row>
        <row r="506">
          <cell r="A506" t="str">
            <v>Jumlah Harga Peralatan</v>
          </cell>
          <cell r="G506">
            <v>259.89999999999998</v>
          </cell>
        </row>
        <row r="508">
          <cell r="A508" t="str">
            <v>D</v>
          </cell>
          <cell r="B508" t="str">
            <v>JUMLAH ( A + B + C )</v>
          </cell>
          <cell r="G508">
            <v>3543.3049999999998</v>
          </cell>
        </row>
        <row r="509">
          <cell r="A509" t="str">
            <v>E</v>
          </cell>
          <cell r="B509" t="str">
            <v>KEUNTUNGAN  10,0 % X D</v>
          </cell>
          <cell r="G509">
            <v>354.33050000000003</v>
          </cell>
        </row>
        <row r="510">
          <cell r="A510" t="str">
            <v>F</v>
          </cell>
          <cell r="B510" t="str">
            <v>HARGA SATUAN PEKERJAAN  ( D + E )</v>
          </cell>
          <cell r="G510">
            <v>3897.6354999999999</v>
          </cell>
        </row>
        <row r="511">
          <cell r="A511" t="str">
            <v>G</v>
          </cell>
          <cell r="B511" t="str">
            <v>DIBULATKAN</v>
          </cell>
          <cell r="G511">
            <v>3898</v>
          </cell>
        </row>
        <row r="513">
          <cell r="A513" t="str">
            <v>Note :       1</v>
          </cell>
          <cell r="B513" t="str">
            <v>Satuan dapat berdasarkan atas jam operasi untuk tenaga kerja dan peralatan, volume dan / atau ukuran</v>
          </cell>
        </row>
        <row r="514">
          <cell r="B514" t="str">
            <v xml:space="preserve"> berat untuk bahan-bahan</v>
          </cell>
        </row>
        <row r="515">
          <cell r="A515">
            <v>2</v>
          </cell>
          <cell r="B515" t="str">
            <v>Kuantitas Satuan adalah kuantitas setiap komponen untuk menyelesaikan satu satuan pekerjaan dari nomor</v>
          </cell>
        </row>
        <row r="516">
          <cell r="B516" t="str">
            <v>mata pembayaran</v>
          </cell>
        </row>
        <row r="517">
          <cell r="A517">
            <v>3</v>
          </cell>
          <cell r="B517" t="str">
            <v>Biaya Satuan Untuk Peralatan sudah termasuk bahan bakar, bahan habis dipakai dan operator</v>
          </cell>
        </row>
        <row r="518">
          <cell r="A518">
            <v>4</v>
          </cell>
          <cell r="B518" t="str">
            <v>Biaya Satuan sudah termasuk pengeluaran untuk seluruh pajak yang berkaitan (tetapi tidak termasuk PPN</v>
          </cell>
        </row>
        <row r="519">
          <cell r="B519" t="str">
            <v>yang dibayar dari kontrak) dan biaya-biaya lainnya</v>
          </cell>
        </row>
        <row r="523">
          <cell r="E523" t="str">
            <v>Takengon, 16 Juli 2003</v>
          </cell>
        </row>
        <row r="524">
          <cell r="E524" t="str">
            <v>CV. TRIPA KARYA</v>
          </cell>
        </row>
        <row r="530">
          <cell r="E530" t="str">
            <v>NYAK MUDDIN PUTEH</v>
          </cell>
        </row>
        <row r="531">
          <cell r="E531" t="str">
            <v>Direktur</v>
          </cell>
        </row>
        <row r="535">
          <cell r="A535" t="str">
            <v>ANALISA HARGA SATUAN MATA PEMBAYARAN</v>
          </cell>
        </row>
        <row r="537">
          <cell r="A537" t="str">
            <v>Nama Penawar</v>
          </cell>
          <cell r="C537" t="str">
            <v>:</v>
          </cell>
          <cell r="D537" t="str">
            <v>CV. TAKABEYA PERKASA</v>
          </cell>
        </row>
        <row r="538">
          <cell r="A538" t="str">
            <v>Paket</v>
          </cell>
          <cell r="C538" t="str">
            <v>:</v>
          </cell>
          <cell r="D538" t="str">
            <v xml:space="preserve">Pemeliharaan Berkala Jalan Geudong - Makam Malikussaleh - Mancang </v>
          </cell>
        </row>
        <row r="539">
          <cell r="A539" t="str">
            <v>No. Paket</v>
          </cell>
          <cell r="C539" t="str">
            <v>:</v>
          </cell>
          <cell r="D539" t="str">
            <v>P.039</v>
          </cell>
        </row>
        <row r="540">
          <cell r="A540" t="str">
            <v>Provinsi</v>
          </cell>
          <cell r="C540" t="str">
            <v>:</v>
          </cell>
          <cell r="D540" t="str">
            <v>Nanggroe Aceh Darussalam</v>
          </cell>
        </row>
        <row r="541">
          <cell r="A541" t="str">
            <v>No. Item Pembayaran</v>
          </cell>
          <cell r="C541" t="str">
            <v>:</v>
          </cell>
          <cell r="D541" t="str">
            <v>6.1 ( 2 )</v>
          </cell>
        </row>
        <row r="542">
          <cell r="A542" t="str">
            <v>Jenis Pekerjaan</v>
          </cell>
          <cell r="C542" t="str">
            <v>:</v>
          </cell>
          <cell r="D542" t="str">
            <v>LAPISAN PEREKAT</v>
          </cell>
        </row>
        <row r="543">
          <cell r="A543" t="str">
            <v>Satuan Pembayaran</v>
          </cell>
          <cell r="C543" t="str">
            <v>:</v>
          </cell>
          <cell r="D543" t="str">
            <v>LITER</v>
          </cell>
        </row>
        <row r="547">
          <cell r="A547" t="str">
            <v>NO.</v>
          </cell>
          <cell r="B547" t="str">
            <v>KOMPONEN</v>
          </cell>
          <cell r="D547" t="str">
            <v>SATUAN</v>
          </cell>
          <cell r="E547" t="str">
            <v>PERKIRAAN</v>
          </cell>
          <cell r="F547" t="str">
            <v>BIAYA SATUAN</v>
          </cell>
          <cell r="G547" t="str">
            <v>JUMLAH HARGA</v>
          </cell>
        </row>
        <row r="548">
          <cell r="E548" t="str">
            <v>KUANTITAS</v>
          </cell>
          <cell r="F548" t="str">
            <v>(Rp)</v>
          </cell>
          <cell r="G548" t="str">
            <v>(Rp)</v>
          </cell>
        </row>
        <row r="549">
          <cell r="A549" t="str">
            <v>A</v>
          </cell>
          <cell r="B549" t="str">
            <v>TENAGA KERJA</v>
          </cell>
        </row>
        <row r="551">
          <cell r="A551" t="str">
            <v>1.</v>
          </cell>
          <cell r="B551" t="str">
            <v>Pekerja</v>
          </cell>
          <cell r="D551" t="str">
            <v>Jam</v>
          </cell>
          <cell r="E551">
            <v>1.78E-2</v>
          </cell>
          <cell r="F551">
            <v>2800</v>
          </cell>
          <cell r="G551">
            <v>49.839999999999996</v>
          </cell>
        </row>
        <row r="552">
          <cell r="A552" t="str">
            <v>2.</v>
          </cell>
          <cell r="B552" t="str">
            <v>Mandor</v>
          </cell>
          <cell r="D552" t="str">
            <v>Jam</v>
          </cell>
          <cell r="E552">
            <v>1.5E-3</v>
          </cell>
          <cell r="F552">
            <v>3600</v>
          </cell>
          <cell r="G552">
            <v>5.4</v>
          </cell>
        </row>
        <row r="555">
          <cell r="A555" t="str">
            <v>Jumlah Harga Tenaga Kerja</v>
          </cell>
          <cell r="G555">
            <v>55.239999999999995</v>
          </cell>
        </row>
        <row r="556">
          <cell r="A556" t="str">
            <v>B</v>
          </cell>
          <cell r="B556" t="str">
            <v xml:space="preserve">BAHAN </v>
          </cell>
        </row>
        <row r="558">
          <cell r="A558" t="str">
            <v>1.</v>
          </cell>
          <cell r="B558" t="str">
            <v>Aspal</v>
          </cell>
          <cell r="D558" t="str">
            <v>Kg</v>
          </cell>
          <cell r="E558">
            <v>0.88800000000000001</v>
          </cell>
          <cell r="F558">
            <v>4000</v>
          </cell>
          <cell r="G558">
            <v>3552</v>
          </cell>
        </row>
        <row r="559">
          <cell r="A559" t="str">
            <v>2.</v>
          </cell>
          <cell r="B559" t="str">
            <v>Corosene</v>
          </cell>
          <cell r="D559" t="str">
            <v>Liter</v>
          </cell>
          <cell r="E559">
            <v>0.253</v>
          </cell>
          <cell r="F559">
            <v>1350</v>
          </cell>
          <cell r="G559">
            <v>341.55</v>
          </cell>
        </row>
        <row r="561">
          <cell r="A561" t="str">
            <v>Jumlah Harga Bahan</v>
          </cell>
          <cell r="G561">
            <v>3893.55</v>
          </cell>
        </row>
        <row r="562">
          <cell r="A562" t="str">
            <v>C</v>
          </cell>
          <cell r="B562" t="str">
            <v>PERALATAN</v>
          </cell>
        </row>
        <row r="564">
          <cell r="A564" t="str">
            <v>1.</v>
          </cell>
          <cell r="B564" t="str">
            <v>Asphalt Sprayer</v>
          </cell>
          <cell r="D564" t="str">
            <v>Jam</v>
          </cell>
          <cell r="E564">
            <v>2.8E-3</v>
          </cell>
          <cell r="F564">
            <v>30000</v>
          </cell>
          <cell r="G564">
            <v>84</v>
          </cell>
        </row>
        <row r="565">
          <cell r="A565" t="str">
            <v>2.</v>
          </cell>
          <cell r="B565" t="str">
            <v>Compressor</v>
          </cell>
          <cell r="D565" t="str">
            <v>Jam</v>
          </cell>
          <cell r="E565">
            <v>6.4000000000000003E-3</v>
          </cell>
          <cell r="F565">
            <v>43000</v>
          </cell>
          <cell r="G565">
            <v>275.2</v>
          </cell>
        </row>
        <row r="566">
          <cell r="A566" t="str">
            <v>3.</v>
          </cell>
          <cell r="B566" t="str">
            <v>Dump Truck</v>
          </cell>
          <cell r="D566" t="str">
            <v>Jam</v>
          </cell>
          <cell r="E566">
            <v>2.8E-3</v>
          </cell>
          <cell r="F566">
            <v>63000</v>
          </cell>
          <cell r="G566">
            <v>176.4</v>
          </cell>
        </row>
        <row r="568">
          <cell r="A568" t="str">
            <v>Jumlah Harga Peralatan</v>
          </cell>
          <cell r="G568">
            <v>535.6</v>
          </cell>
        </row>
        <row r="570">
          <cell r="A570" t="str">
            <v>D</v>
          </cell>
          <cell r="B570" t="str">
            <v>JUMLAH ( A + B + C )</v>
          </cell>
          <cell r="G570">
            <v>4484.3900000000003</v>
          </cell>
        </row>
        <row r="571">
          <cell r="A571" t="str">
            <v>E</v>
          </cell>
          <cell r="B571" t="str">
            <v>KEUNTUNGAN  10,0 % X D</v>
          </cell>
          <cell r="G571">
            <v>448.43900000000008</v>
          </cell>
        </row>
        <row r="572">
          <cell r="A572" t="str">
            <v>F</v>
          </cell>
          <cell r="B572" t="str">
            <v>HARGA SATUAN PEKERJAAN  ( D + E )</v>
          </cell>
          <cell r="G572">
            <v>4932.8290000000006</v>
          </cell>
        </row>
        <row r="573">
          <cell r="A573" t="str">
            <v>G</v>
          </cell>
          <cell r="B573" t="str">
            <v>DIBULATKAN</v>
          </cell>
          <cell r="G573">
            <v>4933</v>
          </cell>
        </row>
        <row r="575">
          <cell r="A575" t="str">
            <v>Note :</v>
          </cell>
          <cell r="B575" t="str">
            <v>1.  Satuan dapat berdasarkan atas jam operasi untuk tenaga kerja dan peralatan, volume dan / atau ukuran</v>
          </cell>
        </row>
        <row r="576">
          <cell r="B576" t="str">
            <v xml:space="preserve"> berat untuk bahan-bahan</v>
          </cell>
        </row>
        <row r="577">
          <cell r="B577" t="str">
            <v>2.  Kuantitas Satuan adalah kuantitas setiap komponen untuk menyelesaikan satu satuan pekerjaan dari nomor</v>
          </cell>
        </row>
        <row r="578">
          <cell r="B578" t="str">
            <v>mata pembayaran</v>
          </cell>
        </row>
        <row r="579">
          <cell r="B579" t="str">
            <v>3.  Biaya Satuan Untuk Peralatan sudah termasuk bahan bakar, bahan habis dipakai dan operator</v>
          </cell>
        </row>
        <row r="580">
          <cell r="B580" t="str">
            <v>4.  Biaya Satuan sudah termasuk pengeluaran untuk seluruh pajak yang berkaitan (tetapi tidak termasuk PPN</v>
          </cell>
        </row>
        <row r="581">
          <cell r="B581" t="str">
            <v>yang dibayar dari kontrak) dan biaya-biaya lainnya</v>
          </cell>
        </row>
        <row r="584">
          <cell r="E584" t="str">
            <v>Takengon, 16 Juli 2003</v>
          </cell>
        </row>
        <row r="585">
          <cell r="E585" t="str">
            <v>CV. TRIPA KARYA</v>
          </cell>
        </row>
        <row r="591">
          <cell r="E591" t="str">
            <v>NYAK MUDDIN PUTEH</v>
          </cell>
        </row>
        <row r="592">
          <cell r="E592" t="str">
            <v>Direktur</v>
          </cell>
        </row>
        <row r="594">
          <cell r="A594" t="str">
            <v>ANALISA HARGA SATUAN MATA PEMBAYARAN</v>
          </cell>
        </row>
        <row r="596">
          <cell r="A596" t="str">
            <v>Nama Penawar</v>
          </cell>
          <cell r="C596" t="str">
            <v>:</v>
          </cell>
          <cell r="D596" t="str">
            <v>CV. TAKABEYA PERKASA</v>
          </cell>
        </row>
        <row r="597">
          <cell r="A597" t="str">
            <v>Paket</v>
          </cell>
          <cell r="C597" t="str">
            <v>:</v>
          </cell>
          <cell r="D597" t="str">
            <v xml:space="preserve">Pemeliharaan Berkala Jalan Geudong - Makam Malikussaleh - Mancang </v>
          </cell>
        </row>
        <row r="598">
          <cell r="A598" t="str">
            <v>No. Paket</v>
          </cell>
          <cell r="C598" t="str">
            <v>:</v>
          </cell>
          <cell r="D598" t="str">
            <v>P.039</v>
          </cell>
        </row>
        <row r="599">
          <cell r="A599" t="str">
            <v>Provinsi</v>
          </cell>
          <cell r="C599" t="str">
            <v>:</v>
          </cell>
          <cell r="D599" t="str">
            <v>Nanggroe Aceh Darussalam</v>
          </cell>
        </row>
        <row r="600">
          <cell r="A600" t="str">
            <v>No. Item Pembayaran</v>
          </cell>
          <cell r="C600" t="str">
            <v>:</v>
          </cell>
          <cell r="D600" t="str">
            <v>6.3 ( 4 )</v>
          </cell>
        </row>
        <row r="601">
          <cell r="A601" t="str">
            <v>Jenis Pekerjaan</v>
          </cell>
          <cell r="C601" t="str">
            <v>:</v>
          </cell>
          <cell r="D601" t="str">
            <v>Laston   ( AC )</v>
          </cell>
        </row>
        <row r="602">
          <cell r="A602" t="str">
            <v>Satuan Pembayaran</v>
          </cell>
          <cell r="C602" t="str">
            <v>:</v>
          </cell>
          <cell r="D602" t="str">
            <v>M2</v>
          </cell>
        </row>
        <row r="605">
          <cell r="A605" t="str">
            <v>NO.</v>
          </cell>
          <cell r="B605" t="str">
            <v>KOMPONEN</v>
          </cell>
          <cell r="D605" t="str">
            <v>SATUAN</v>
          </cell>
          <cell r="E605" t="str">
            <v>PERKIRAAN</v>
          </cell>
          <cell r="F605" t="str">
            <v>BIAYA SATUAN</v>
          </cell>
          <cell r="G605" t="str">
            <v>JUMLAH HARGA</v>
          </cell>
        </row>
        <row r="606">
          <cell r="E606" t="str">
            <v>KUANTITAS</v>
          </cell>
          <cell r="F606" t="str">
            <v>(Rp)</v>
          </cell>
          <cell r="G606" t="str">
            <v>(Rp)</v>
          </cell>
        </row>
        <row r="607">
          <cell r="A607" t="str">
            <v>A</v>
          </cell>
          <cell r="B607" t="str">
            <v>TENAGA KERJA</v>
          </cell>
        </row>
        <row r="609">
          <cell r="A609" t="str">
            <v>1.</v>
          </cell>
          <cell r="B609" t="str">
            <v>Pekerja</v>
          </cell>
          <cell r="D609" t="str">
            <v>Jam</v>
          </cell>
          <cell r="E609">
            <v>1.5700000000000002E-2</v>
          </cell>
          <cell r="F609">
            <v>2800</v>
          </cell>
          <cell r="G609">
            <v>43.960000000000008</v>
          </cell>
        </row>
        <row r="610">
          <cell r="A610" t="str">
            <v>2.</v>
          </cell>
          <cell r="B610" t="str">
            <v>Mandor</v>
          </cell>
          <cell r="D610" t="str">
            <v>Jam</v>
          </cell>
          <cell r="E610">
            <v>2.6999999999999997E-3</v>
          </cell>
          <cell r="F610">
            <v>3600</v>
          </cell>
          <cell r="G610">
            <v>9.7199999999999989</v>
          </cell>
        </row>
        <row r="613">
          <cell r="A613" t="str">
            <v>Jumlah Harga Tenaga Kerja</v>
          </cell>
          <cell r="G613">
            <v>53.680000000000007</v>
          </cell>
        </row>
        <row r="614">
          <cell r="A614" t="str">
            <v>B</v>
          </cell>
          <cell r="B614" t="str">
            <v xml:space="preserve">BAHAN </v>
          </cell>
        </row>
        <row r="616">
          <cell r="A616" t="str">
            <v>1.</v>
          </cell>
          <cell r="B616" t="str">
            <v>Agregate Kasar</v>
          </cell>
          <cell r="D616" t="str">
            <v>M3</v>
          </cell>
          <cell r="E616">
            <v>2.4799999999999999E-2</v>
          </cell>
          <cell r="F616">
            <v>49000</v>
          </cell>
          <cell r="G616">
            <v>1215.2</v>
          </cell>
        </row>
        <row r="617">
          <cell r="A617" t="str">
            <v>2.</v>
          </cell>
          <cell r="B617" t="str">
            <v>Agregate Halus</v>
          </cell>
          <cell r="D617" t="str">
            <v>M3</v>
          </cell>
          <cell r="E617">
            <v>2.3099999999999999E-2</v>
          </cell>
          <cell r="F617">
            <v>55000</v>
          </cell>
          <cell r="G617">
            <v>1270.5</v>
          </cell>
        </row>
        <row r="618">
          <cell r="A618" t="str">
            <v>3.</v>
          </cell>
          <cell r="B618" t="str">
            <v>Filler</v>
          </cell>
          <cell r="D618" t="str">
            <v>Kg</v>
          </cell>
          <cell r="E618">
            <v>5.94</v>
          </cell>
          <cell r="F618">
            <v>400</v>
          </cell>
          <cell r="G618">
            <v>2376</v>
          </cell>
        </row>
        <row r="619">
          <cell r="A619" t="str">
            <v>4.</v>
          </cell>
          <cell r="B619" t="str">
            <v>Aspal</v>
          </cell>
          <cell r="D619" t="str">
            <v>Kg</v>
          </cell>
          <cell r="E619">
            <v>6.6150000000000002</v>
          </cell>
          <cell r="F619">
            <v>4000</v>
          </cell>
          <cell r="G619">
            <v>26460</v>
          </cell>
        </row>
        <row r="622">
          <cell r="A622" t="str">
            <v>Jumlah Harga Bahan</v>
          </cell>
          <cell r="G622">
            <v>31321.7</v>
          </cell>
        </row>
        <row r="623">
          <cell r="A623" t="str">
            <v>C</v>
          </cell>
          <cell r="B623" t="str">
            <v>PERALATAN</v>
          </cell>
        </row>
        <row r="625">
          <cell r="A625" t="str">
            <v>1.</v>
          </cell>
          <cell r="B625" t="str">
            <v>Whell Loader</v>
          </cell>
          <cell r="D625" t="str">
            <v>Jam</v>
          </cell>
          <cell r="E625">
            <v>2.0999999999999999E-3</v>
          </cell>
          <cell r="F625">
            <v>148000</v>
          </cell>
          <cell r="G625">
            <v>310.79999999999995</v>
          </cell>
        </row>
        <row r="626">
          <cell r="A626" t="str">
            <v>2.</v>
          </cell>
          <cell r="B626" t="str">
            <v>AMP</v>
          </cell>
          <cell r="D626" t="str">
            <v>Jam</v>
          </cell>
          <cell r="E626">
            <v>2.8E-3</v>
          </cell>
          <cell r="F626">
            <v>1295000</v>
          </cell>
          <cell r="G626">
            <v>3626</v>
          </cell>
        </row>
        <row r="627">
          <cell r="A627" t="str">
            <v>3.</v>
          </cell>
          <cell r="B627" t="str">
            <v>Generator Set</v>
          </cell>
          <cell r="D627" t="str">
            <v>Jam</v>
          </cell>
          <cell r="E627">
            <v>2.8E-3</v>
          </cell>
          <cell r="F627">
            <v>82000</v>
          </cell>
          <cell r="G627">
            <v>229.6</v>
          </cell>
        </row>
        <row r="628">
          <cell r="A628" t="str">
            <v>4.</v>
          </cell>
          <cell r="B628" t="str">
            <v>Damp Truck</v>
          </cell>
          <cell r="D628" t="str">
            <v>Jam</v>
          </cell>
          <cell r="E628">
            <v>5.0100000000000006E-2</v>
          </cell>
          <cell r="F628">
            <v>75000</v>
          </cell>
          <cell r="G628">
            <v>3757.5000000000005</v>
          </cell>
        </row>
        <row r="629">
          <cell r="A629" t="str">
            <v>5.</v>
          </cell>
          <cell r="B629" t="str">
            <v>Asphalt Finisher</v>
          </cell>
          <cell r="D629" t="str">
            <v>Jam</v>
          </cell>
          <cell r="E629">
            <v>3.3E-3</v>
          </cell>
          <cell r="F629">
            <v>75000</v>
          </cell>
          <cell r="G629">
            <v>247.5</v>
          </cell>
        </row>
        <row r="630">
          <cell r="A630" t="str">
            <v>6.</v>
          </cell>
          <cell r="B630" t="str">
            <v>Tandem Roller</v>
          </cell>
          <cell r="D630" t="str">
            <v>Jam</v>
          </cell>
          <cell r="E630">
            <v>1.8E-3</v>
          </cell>
          <cell r="F630">
            <v>76000</v>
          </cell>
          <cell r="G630">
            <v>136.79999999999998</v>
          </cell>
        </row>
        <row r="631">
          <cell r="A631" t="str">
            <v>7.</v>
          </cell>
          <cell r="B631" t="str">
            <v>Peunematic Tyre Roller</v>
          </cell>
          <cell r="D631" t="str">
            <v>Jam</v>
          </cell>
          <cell r="E631">
            <v>2.3999999999999998E-3</v>
          </cell>
          <cell r="F631">
            <v>98000</v>
          </cell>
          <cell r="G631">
            <v>235.2</v>
          </cell>
        </row>
        <row r="632">
          <cell r="A632" t="str">
            <v>8.</v>
          </cell>
          <cell r="B632" t="str">
            <v>Alat Bantu</v>
          </cell>
          <cell r="D632" t="str">
            <v>Ls</v>
          </cell>
          <cell r="E632">
            <v>1</v>
          </cell>
          <cell r="F632">
            <v>175</v>
          </cell>
          <cell r="G632">
            <v>175</v>
          </cell>
        </row>
        <row r="634">
          <cell r="A634" t="str">
            <v>Jumlah Harga Peralatan</v>
          </cell>
          <cell r="G634">
            <v>8718.4000000000015</v>
          </cell>
        </row>
        <row r="636">
          <cell r="A636" t="str">
            <v>D</v>
          </cell>
          <cell r="B636" t="str">
            <v>JUMLAH ( A + B + C )</v>
          </cell>
          <cell r="G636">
            <v>40093.78</v>
          </cell>
        </row>
        <row r="637">
          <cell r="A637" t="str">
            <v>E</v>
          </cell>
          <cell r="B637" t="str">
            <v>KEUNTUNGAN  10,0 % X D</v>
          </cell>
          <cell r="G637">
            <v>4009.3780000000002</v>
          </cell>
        </row>
        <row r="638">
          <cell r="A638" t="str">
            <v>F</v>
          </cell>
          <cell r="B638" t="str">
            <v>HARGA SATUAN PEKERJAAN  ( D + E )</v>
          </cell>
          <cell r="G638">
            <v>44103.157999999996</v>
          </cell>
        </row>
        <row r="639">
          <cell r="A639" t="str">
            <v>G</v>
          </cell>
          <cell r="B639" t="str">
            <v>DIBULATKAN</v>
          </cell>
          <cell r="G639">
            <v>44103</v>
          </cell>
        </row>
        <row r="641">
          <cell r="A641" t="str">
            <v>Note :     1</v>
          </cell>
          <cell r="B641" t="str">
            <v>Satuan dapat berdasarkan atas jam operasi untuk tenaga kerja dan peralatan, volume dan / atau ukuran berat untuk bahan-bahan</v>
          </cell>
        </row>
        <row r="643">
          <cell r="A643">
            <v>2</v>
          </cell>
          <cell r="B643" t="str">
            <v>Kuantitas Satuan adalah kuantitas setiap komponen untuk menyelesaikan satu satuan pekerjaan dari nomor mata pembayaran</v>
          </cell>
        </row>
        <row r="645">
          <cell r="A645">
            <v>3</v>
          </cell>
          <cell r="B645" t="str">
            <v>Biaya Satuan Untuk Peralatan sudah termasuk bahan bakar, bahan habis dipakai dan operator</v>
          </cell>
        </row>
        <row r="646">
          <cell r="A646">
            <v>4</v>
          </cell>
          <cell r="B646" t="str">
            <v>Biaya Satuan sudah termasuk pengeluaran untuk seluruh pajak yang berkaitan (tetapi tidak termasuk PPN yang dibayar dari kontrak) dan biaya-biaya lainnya</v>
          </cell>
        </row>
        <row r="648">
          <cell r="A648">
            <v>5</v>
          </cell>
          <cell r="B648" t="str">
            <v>Biaya satuan sudah termasuk biaya quality control</v>
          </cell>
        </row>
        <row r="653">
          <cell r="E653" t="str">
            <v>Takengon, 16 Juli 2003</v>
          </cell>
        </row>
        <row r="654">
          <cell r="E654" t="str">
            <v>CV. TRIPA KARYA</v>
          </cell>
        </row>
        <row r="660">
          <cell r="E660" t="str">
            <v>NYAK MUDDIN PUTEH</v>
          </cell>
        </row>
        <row r="661">
          <cell r="E661" t="str">
            <v>Direktur</v>
          </cell>
        </row>
        <row r="663">
          <cell r="A663" t="str">
            <v>ANALISA HARGA SATUAN MATA PEMBAYARAN</v>
          </cell>
        </row>
        <row r="665">
          <cell r="A665" t="str">
            <v>Nama Penawar</v>
          </cell>
          <cell r="C665" t="str">
            <v>:</v>
          </cell>
          <cell r="D665" t="str">
            <v>CV. TAKABEYA PERKASA</v>
          </cell>
        </row>
        <row r="666">
          <cell r="A666" t="str">
            <v>Paket</v>
          </cell>
          <cell r="C666" t="str">
            <v>:</v>
          </cell>
          <cell r="D666" t="str">
            <v xml:space="preserve">Pemeliharaan Berkala Jalan Geudong - Makam Malikussaleh - Mancang </v>
          </cell>
        </row>
        <row r="667">
          <cell r="A667" t="str">
            <v>No. Paket</v>
          </cell>
          <cell r="C667" t="str">
            <v>:</v>
          </cell>
          <cell r="D667" t="str">
            <v>P.039</v>
          </cell>
        </row>
        <row r="668">
          <cell r="A668" t="str">
            <v>Provinsi</v>
          </cell>
          <cell r="C668" t="str">
            <v>:</v>
          </cell>
          <cell r="D668" t="str">
            <v>Nanggroe Aceh Darussalam</v>
          </cell>
        </row>
        <row r="669">
          <cell r="A669" t="str">
            <v>No. Item Pembayaran</v>
          </cell>
          <cell r="C669" t="str">
            <v>:</v>
          </cell>
          <cell r="D669" t="str">
            <v>6.3 ( 5 )</v>
          </cell>
        </row>
        <row r="670">
          <cell r="A670" t="str">
            <v>Jenis Pekerjaan</v>
          </cell>
          <cell r="C670" t="str">
            <v>:</v>
          </cell>
          <cell r="D670" t="str">
            <v>Asphalt Treated Base  ( ATB )</v>
          </cell>
        </row>
        <row r="671">
          <cell r="A671" t="str">
            <v>Satuan Pembayaran</v>
          </cell>
          <cell r="C671" t="str">
            <v>:</v>
          </cell>
          <cell r="D671" t="str">
            <v>M3</v>
          </cell>
        </row>
        <row r="674">
          <cell r="A674" t="str">
            <v>NO.</v>
          </cell>
          <cell r="B674" t="str">
            <v>KOMPONEN</v>
          </cell>
          <cell r="D674" t="str">
            <v>SATUAN</v>
          </cell>
          <cell r="E674" t="str">
            <v>PERKIRAAN</v>
          </cell>
          <cell r="F674" t="str">
            <v>BIAYA SATUAN</v>
          </cell>
          <cell r="G674" t="str">
            <v>JUMLAH HARGA</v>
          </cell>
        </row>
        <row r="675">
          <cell r="E675" t="str">
            <v>KUANTITAS</v>
          </cell>
          <cell r="F675" t="str">
            <v>(Rp)</v>
          </cell>
          <cell r="G675" t="str">
            <v>(Rp)</v>
          </cell>
        </row>
        <row r="676">
          <cell r="A676" t="str">
            <v>A</v>
          </cell>
          <cell r="B676" t="str">
            <v>TENAGA KERJA</v>
          </cell>
        </row>
        <row r="678">
          <cell r="A678" t="str">
            <v>1.</v>
          </cell>
          <cell r="B678" t="str">
            <v>Pekerja</v>
          </cell>
          <cell r="D678" t="str">
            <v>Jam</v>
          </cell>
          <cell r="E678">
            <v>0.3896</v>
          </cell>
          <cell r="F678">
            <v>2800</v>
          </cell>
          <cell r="G678">
            <v>1090.8800000000001</v>
          </cell>
        </row>
        <row r="679">
          <cell r="A679" t="str">
            <v>2.</v>
          </cell>
          <cell r="B679" t="str">
            <v>Mandor</v>
          </cell>
          <cell r="D679" t="str">
            <v>Jam</v>
          </cell>
          <cell r="E679">
            <v>5.6900000000000006E-2</v>
          </cell>
          <cell r="F679">
            <v>3600</v>
          </cell>
          <cell r="G679">
            <v>204.84000000000003</v>
          </cell>
        </row>
        <row r="682">
          <cell r="A682" t="str">
            <v>Jumlah Harga Tenaga Kerja</v>
          </cell>
          <cell r="G682">
            <v>1295.7200000000003</v>
          </cell>
        </row>
        <row r="683">
          <cell r="A683" t="str">
            <v>B</v>
          </cell>
          <cell r="B683" t="str">
            <v xml:space="preserve">BAHAN </v>
          </cell>
        </row>
        <row r="685">
          <cell r="A685" t="str">
            <v>1.</v>
          </cell>
          <cell r="B685" t="str">
            <v>Agregate Kasar</v>
          </cell>
          <cell r="D685" t="str">
            <v>M3</v>
          </cell>
          <cell r="E685">
            <v>0.70279999999999998</v>
          </cell>
          <cell r="F685">
            <v>49000</v>
          </cell>
          <cell r="G685">
            <v>34437.199999999997</v>
          </cell>
        </row>
        <row r="686">
          <cell r="A686" t="str">
            <v>2.</v>
          </cell>
          <cell r="B686" t="str">
            <v>Agregate Halus</v>
          </cell>
          <cell r="D686" t="str">
            <v>M3</v>
          </cell>
          <cell r="E686">
            <v>0.53059999999999996</v>
          </cell>
          <cell r="F686">
            <v>55000</v>
          </cell>
          <cell r="G686">
            <v>29182.999999999996</v>
          </cell>
        </row>
        <row r="687">
          <cell r="A687" t="str">
            <v>3.</v>
          </cell>
          <cell r="B687" t="str">
            <v>Filler</v>
          </cell>
          <cell r="D687" t="str">
            <v>Kg</v>
          </cell>
          <cell r="E687">
            <v>145.5</v>
          </cell>
          <cell r="F687">
            <v>400</v>
          </cell>
          <cell r="G687">
            <v>58200</v>
          </cell>
        </row>
        <row r="688">
          <cell r="A688" t="str">
            <v>4.</v>
          </cell>
          <cell r="B688" t="str">
            <v>Aspal</v>
          </cell>
          <cell r="D688" t="str">
            <v>Kg</v>
          </cell>
          <cell r="E688">
            <v>157</v>
          </cell>
          <cell r="F688">
            <v>4000</v>
          </cell>
          <cell r="G688">
            <v>628000</v>
          </cell>
        </row>
        <row r="691">
          <cell r="A691" t="str">
            <v>Jumlah Harga Bahan</v>
          </cell>
          <cell r="G691">
            <v>749820.2</v>
          </cell>
        </row>
        <row r="692">
          <cell r="A692" t="str">
            <v>C</v>
          </cell>
          <cell r="B692" t="str">
            <v>PERALATAN</v>
          </cell>
        </row>
        <row r="694">
          <cell r="A694" t="str">
            <v>1.</v>
          </cell>
          <cell r="B694" t="str">
            <v>Whell Loader</v>
          </cell>
          <cell r="D694" t="str">
            <v>Jam</v>
          </cell>
          <cell r="E694">
            <v>3.8400000000000004E-2</v>
          </cell>
          <cell r="F694">
            <v>148000</v>
          </cell>
          <cell r="G694">
            <v>5683.2000000000007</v>
          </cell>
        </row>
        <row r="695">
          <cell r="A695" t="str">
            <v>2.</v>
          </cell>
          <cell r="B695" t="str">
            <v>AMP</v>
          </cell>
          <cell r="D695" t="str">
            <v>Jam</v>
          </cell>
          <cell r="E695">
            <v>5.5800000000000002E-2</v>
          </cell>
          <cell r="F695">
            <v>1295000</v>
          </cell>
          <cell r="G695">
            <v>72261</v>
          </cell>
        </row>
        <row r="696">
          <cell r="A696" t="str">
            <v>3.</v>
          </cell>
          <cell r="B696" t="str">
            <v>Generator Set</v>
          </cell>
          <cell r="D696" t="str">
            <v>Jam</v>
          </cell>
          <cell r="E696">
            <v>5.5800000000000002E-2</v>
          </cell>
          <cell r="F696">
            <v>82000</v>
          </cell>
          <cell r="G696">
            <v>4575.6000000000004</v>
          </cell>
        </row>
        <row r="697">
          <cell r="A697" t="str">
            <v>4.</v>
          </cell>
          <cell r="B697" t="str">
            <v>Damp Truck</v>
          </cell>
          <cell r="D697" t="str">
            <v>Jam</v>
          </cell>
          <cell r="E697">
            <v>1.2688999999999999</v>
          </cell>
          <cell r="F697">
            <v>75000</v>
          </cell>
          <cell r="G697">
            <v>95167.5</v>
          </cell>
        </row>
        <row r="698">
          <cell r="A698" t="str">
            <v>5.</v>
          </cell>
          <cell r="B698" t="str">
            <v>Asphalt Finisher</v>
          </cell>
          <cell r="D698" t="str">
            <v>Jam</v>
          </cell>
          <cell r="E698">
            <v>7.7100000000000002E-2</v>
          </cell>
          <cell r="F698">
            <v>75000</v>
          </cell>
          <cell r="G698">
            <v>5782.5</v>
          </cell>
        </row>
        <row r="699">
          <cell r="A699" t="str">
            <v>6.</v>
          </cell>
          <cell r="B699" t="str">
            <v>Tandem Roller</v>
          </cell>
          <cell r="D699" t="str">
            <v>Jam</v>
          </cell>
          <cell r="E699">
            <v>5.7800000000000004E-2</v>
          </cell>
          <cell r="F699">
            <v>76000</v>
          </cell>
          <cell r="G699">
            <v>4392.8</v>
          </cell>
        </row>
        <row r="700">
          <cell r="A700" t="str">
            <v>7.</v>
          </cell>
          <cell r="B700" t="str">
            <v>Peunematic Tyre Roller</v>
          </cell>
          <cell r="D700" t="str">
            <v>Jam</v>
          </cell>
          <cell r="E700">
            <v>3.2500000000000001E-2</v>
          </cell>
          <cell r="F700">
            <v>98000</v>
          </cell>
          <cell r="G700">
            <v>3185</v>
          </cell>
        </row>
        <row r="701">
          <cell r="A701" t="str">
            <v>8.</v>
          </cell>
          <cell r="B701" t="str">
            <v>Alat Bantu</v>
          </cell>
          <cell r="D701" t="str">
            <v>Ls</v>
          </cell>
          <cell r="E701">
            <v>1</v>
          </cell>
          <cell r="F701">
            <v>2000</v>
          </cell>
          <cell r="G701">
            <v>2000</v>
          </cell>
        </row>
        <row r="703">
          <cell r="A703" t="str">
            <v>Jumlah Harga Peralatan</v>
          </cell>
          <cell r="G703">
            <v>193047.59999999998</v>
          </cell>
        </row>
        <row r="705">
          <cell r="A705" t="str">
            <v>D</v>
          </cell>
          <cell r="B705" t="str">
            <v>JUMLAH ( A + B + C )</v>
          </cell>
          <cell r="G705">
            <v>944163.5199999999</v>
          </cell>
        </row>
        <row r="706">
          <cell r="A706" t="str">
            <v>E</v>
          </cell>
          <cell r="B706" t="str">
            <v>KEUNTUNGAN  10,0 % X D</v>
          </cell>
          <cell r="G706">
            <v>94416.351999999999</v>
          </cell>
        </row>
        <row r="707">
          <cell r="A707" t="str">
            <v>F</v>
          </cell>
          <cell r="B707" t="str">
            <v>HARGA SATUAN PEKERJAAN  ( D + E )</v>
          </cell>
          <cell r="G707">
            <v>1038579.8719999999</v>
          </cell>
        </row>
        <row r="708">
          <cell r="A708" t="str">
            <v>G</v>
          </cell>
          <cell r="B708" t="str">
            <v>DIBULATKAN</v>
          </cell>
          <cell r="G708">
            <v>1038580</v>
          </cell>
        </row>
        <row r="710">
          <cell r="A710" t="str">
            <v>Note :     1</v>
          </cell>
          <cell r="B710" t="str">
            <v>Satuan dapat berdasarkan atas jam operasi untuk tenaga kerja dan peralatan, volume dan / atau ukuran berat untuk bahan-bahan</v>
          </cell>
        </row>
        <row r="712">
          <cell r="A712">
            <v>2</v>
          </cell>
          <cell r="B712" t="str">
            <v>Kuantitas Satuan adalah kuantitas setiap komponen untuk menyelesaikan satu satuan pekerjaan dari nomor mata pembayaran</v>
          </cell>
        </row>
        <row r="714">
          <cell r="A714">
            <v>3</v>
          </cell>
          <cell r="B714" t="str">
            <v>Biaya Satuan Untuk Peralatan sudah termasuk bahan bakar, bahan habis dipakai dan operator</v>
          </cell>
        </row>
        <row r="715">
          <cell r="A715">
            <v>4</v>
          </cell>
          <cell r="B715" t="str">
            <v>Biaya Satuan sudah termasuk pengeluaran untuk seluruh pajak yang berkaitan (tetapi tidak termasuk PPN yang dibayar dari kontrak) dan biaya-biaya lainnya</v>
          </cell>
        </row>
        <row r="717">
          <cell r="A717">
            <v>5</v>
          </cell>
          <cell r="B717" t="str">
            <v>Biaya satuan sudah termasuk biaya quality control</v>
          </cell>
        </row>
        <row r="722">
          <cell r="E722" t="str">
            <v>Takengon, 16 Juli 2003</v>
          </cell>
        </row>
        <row r="723">
          <cell r="E723" t="str">
            <v>CV. TRIPA KARYA</v>
          </cell>
        </row>
        <row r="729">
          <cell r="E729" t="str">
            <v>NYAK MUDDIN PUTEH</v>
          </cell>
        </row>
        <row r="730">
          <cell r="E730" t="str">
            <v>Direktur</v>
          </cell>
        </row>
        <row r="733">
          <cell r="A733" t="str">
            <v>ANALISA HARGA SATUAN MATA PEMBAYARAN</v>
          </cell>
        </row>
        <row r="735">
          <cell r="A735" t="str">
            <v>Nama Penawar</v>
          </cell>
          <cell r="C735" t="str">
            <v>:</v>
          </cell>
          <cell r="D735" t="str">
            <v>CV. TAKABEYA PERKASA</v>
          </cell>
        </row>
        <row r="736">
          <cell r="A736" t="str">
            <v>Paket</v>
          </cell>
          <cell r="C736" t="str">
            <v>:</v>
          </cell>
          <cell r="D736" t="str">
            <v xml:space="preserve">Pemeliharaan Berkala Jalan Geudong - Makam Malikussaleh - Mancang </v>
          </cell>
        </row>
        <row r="737">
          <cell r="A737" t="str">
            <v>No. Paket</v>
          </cell>
          <cell r="C737" t="str">
            <v>:</v>
          </cell>
          <cell r="D737" t="str">
            <v>P.039</v>
          </cell>
        </row>
        <row r="738">
          <cell r="A738" t="str">
            <v>Provinsi</v>
          </cell>
          <cell r="C738" t="str">
            <v>:</v>
          </cell>
          <cell r="D738" t="str">
            <v>Nanggroe Aceh Darussalam</v>
          </cell>
        </row>
        <row r="739">
          <cell r="A739" t="str">
            <v>No. Item Pembayaran</v>
          </cell>
          <cell r="C739" t="str">
            <v>:</v>
          </cell>
          <cell r="D739" t="str">
            <v>6.3 ( 5 )a</v>
          </cell>
        </row>
        <row r="740">
          <cell r="A740" t="str">
            <v>Jenis Pekerjaan</v>
          </cell>
          <cell r="C740" t="str">
            <v>:</v>
          </cell>
          <cell r="D740" t="str">
            <v>Asphalt Treated Base Leveling ( ATBL )</v>
          </cell>
        </row>
        <row r="741">
          <cell r="A741" t="str">
            <v>Satuan Pembayaran</v>
          </cell>
          <cell r="C741" t="str">
            <v>:</v>
          </cell>
          <cell r="D741" t="str">
            <v>TON</v>
          </cell>
        </row>
        <row r="744">
          <cell r="A744" t="str">
            <v>NO.</v>
          </cell>
          <cell r="B744" t="str">
            <v>KOMPONEN</v>
          </cell>
          <cell r="D744" t="str">
            <v>SATUAN</v>
          </cell>
          <cell r="E744" t="str">
            <v>PERKIRAAN</v>
          </cell>
          <cell r="F744" t="str">
            <v>BIAYA SATUAN</v>
          </cell>
          <cell r="G744" t="str">
            <v>JUMLAH HARGA</v>
          </cell>
        </row>
        <row r="745">
          <cell r="E745" t="str">
            <v>KUANTITAS</v>
          </cell>
          <cell r="F745" t="str">
            <v>(Rp)</v>
          </cell>
          <cell r="G745" t="str">
            <v>(Rp)</v>
          </cell>
        </row>
        <row r="746">
          <cell r="A746" t="str">
            <v>A</v>
          </cell>
          <cell r="B746" t="str">
            <v>TENAGA KERJA</v>
          </cell>
        </row>
        <row r="748">
          <cell r="A748" t="str">
            <v>1.</v>
          </cell>
          <cell r="B748" t="str">
            <v>Pekerja</v>
          </cell>
          <cell r="D748" t="str">
            <v>Jam</v>
          </cell>
          <cell r="E748">
            <v>0.16929999999999998</v>
          </cell>
          <cell r="F748">
            <v>2800</v>
          </cell>
          <cell r="G748">
            <v>474.03999999999996</v>
          </cell>
        </row>
        <row r="749">
          <cell r="A749" t="str">
            <v>2.</v>
          </cell>
          <cell r="B749" t="str">
            <v>Mandor</v>
          </cell>
          <cell r="D749" t="str">
            <v>Jam</v>
          </cell>
          <cell r="E749">
            <v>2.47E-2</v>
          </cell>
          <cell r="F749">
            <v>3600</v>
          </cell>
          <cell r="G749">
            <v>88.92</v>
          </cell>
        </row>
        <row r="752">
          <cell r="A752" t="str">
            <v>Jumlah Harga Tenaga Kerja</v>
          </cell>
          <cell r="G752">
            <v>562.95999999999992</v>
          </cell>
        </row>
        <row r="753">
          <cell r="A753" t="str">
            <v>B</v>
          </cell>
          <cell r="B753" t="str">
            <v xml:space="preserve">BAHAN </v>
          </cell>
        </row>
        <row r="755">
          <cell r="A755" t="str">
            <v>1.</v>
          </cell>
          <cell r="B755" t="str">
            <v>Agregate Kasar</v>
          </cell>
          <cell r="D755" t="str">
            <v>M3</v>
          </cell>
          <cell r="E755">
            <v>0.30559999999999998</v>
          </cell>
          <cell r="F755">
            <v>49000</v>
          </cell>
          <cell r="G755">
            <v>14974.4</v>
          </cell>
        </row>
        <row r="756">
          <cell r="A756" t="str">
            <v>2.</v>
          </cell>
          <cell r="B756" t="str">
            <v>Agregate Halus</v>
          </cell>
          <cell r="D756" t="str">
            <v>M3</v>
          </cell>
          <cell r="E756">
            <v>0.23069999999999999</v>
          </cell>
          <cell r="F756">
            <v>55000</v>
          </cell>
          <cell r="G756">
            <v>12688.5</v>
          </cell>
        </row>
        <row r="757">
          <cell r="A757" t="str">
            <v>3.</v>
          </cell>
          <cell r="B757" t="str">
            <v>Filler</v>
          </cell>
          <cell r="D757" t="str">
            <v>Kg</v>
          </cell>
          <cell r="E757">
            <v>63.25</v>
          </cell>
          <cell r="F757">
            <v>400</v>
          </cell>
          <cell r="G757">
            <v>25300</v>
          </cell>
        </row>
        <row r="758">
          <cell r="A758" t="str">
            <v>4.</v>
          </cell>
          <cell r="B758" t="str">
            <v>Aspal</v>
          </cell>
          <cell r="D758" t="str">
            <v>Kg</v>
          </cell>
          <cell r="E758">
            <v>68.25</v>
          </cell>
          <cell r="F758">
            <v>4000</v>
          </cell>
          <cell r="G758">
            <v>273000</v>
          </cell>
        </row>
        <row r="761">
          <cell r="A761" t="str">
            <v>Jumlah Harga Bahan</v>
          </cell>
          <cell r="G761">
            <v>325962.90000000002</v>
          </cell>
        </row>
        <row r="762">
          <cell r="A762" t="str">
            <v>C</v>
          </cell>
          <cell r="B762" t="str">
            <v>PERALATAN</v>
          </cell>
        </row>
        <row r="764">
          <cell r="A764" t="str">
            <v>1.</v>
          </cell>
          <cell r="B764" t="str">
            <v>Whell Loader</v>
          </cell>
          <cell r="D764" t="str">
            <v>Jam</v>
          </cell>
          <cell r="E764">
            <v>1.7000000000000001E-2</v>
          </cell>
          <cell r="F764">
            <v>148000</v>
          </cell>
          <cell r="G764">
            <v>2516</v>
          </cell>
        </row>
        <row r="765">
          <cell r="A765" t="str">
            <v>2.</v>
          </cell>
          <cell r="B765" t="str">
            <v>AMP</v>
          </cell>
          <cell r="D765" t="str">
            <v>Jam</v>
          </cell>
          <cell r="E765">
            <v>2.4799999999999999E-2</v>
          </cell>
          <cell r="F765">
            <v>1295000</v>
          </cell>
          <cell r="G765">
            <v>32116</v>
          </cell>
        </row>
        <row r="766">
          <cell r="A766" t="str">
            <v>3.</v>
          </cell>
          <cell r="B766" t="str">
            <v>Generator Set</v>
          </cell>
          <cell r="D766" t="str">
            <v>Jam</v>
          </cell>
          <cell r="E766">
            <v>2.4799999999999999E-2</v>
          </cell>
          <cell r="F766">
            <v>82000</v>
          </cell>
          <cell r="G766">
            <v>2033.6</v>
          </cell>
        </row>
        <row r="767">
          <cell r="A767" t="str">
            <v>4.</v>
          </cell>
          <cell r="B767" t="str">
            <v>Damp Truck</v>
          </cell>
          <cell r="D767" t="str">
            <v>Jam</v>
          </cell>
          <cell r="E767">
            <v>0.55060000000000009</v>
          </cell>
          <cell r="F767">
            <v>75000</v>
          </cell>
          <cell r="G767">
            <v>41295.000000000007</v>
          </cell>
        </row>
        <row r="768">
          <cell r="A768" t="str">
            <v>5.</v>
          </cell>
          <cell r="B768" t="str">
            <v>Asphalt Finisher</v>
          </cell>
          <cell r="D768" t="str">
            <v>Jam</v>
          </cell>
          <cell r="E768">
            <v>3.0699999999999998E-2</v>
          </cell>
          <cell r="F768">
            <v>75000</v>
          </cell>
          <cell r="G768">
            <v>2302.5</v>
          </cell>
        </row>
        <row r="769">
          <cell r="A769" t="str">
            <v>6.</v>
          </cell>
          <cell r="B769" t="str">
            <v>Tandem Roller</v>
          </cell>
          <cell r="D769" t="str">
            <v>Jam</v>
          </cell>
          <cell r="E769">
            <v>2.5000000000000001E-2</v>
          </cell>
          <cell r="F769">
            <v>76000</v>
          </cell>
          <cell r="G769">
            <v>1900</v>
          </cell>
        </row>
        <row r="770">
          <cell r="A770" t="str">
            <v>7.</v>
          </cell>
          <cell r="B770" t="str">
            <v>Peunematic Tyre Roller</v>
          </cell>
          <cell r="D770" t="str">
            <v>Jam</v>
          </cell>
          <cell r="E770">
            <v>1.9199999999999998E-2</v>
          </cell>
          <cell r="F770">
            <v>98000</v>
          </cell>
          <cell r="G770">
            <v>1881.6</v>
          </cell>
        </row>
        <row r="771">
          <cell r="A771" t="str">
            <v>8.</v>
          </cell>
          <cell r="B771" t="str">
            <v>Alat Bantu</v>
          </cell>
          <cell r="D771" t="str">
            <v>Ls</v>
          </cell>
          <cell r="E771">
            <v>1</v>
          </cell>
          <cell r="F771">
            <v>800</v>
          </cell>
          <cell r="G771">
            <v>800</v>
          </cell>
        </row>
        <row r="773">
          <cell r="A773" t="str">
            <v>Jumlah Harga Peralatan</v>
          </cell>
          <cell r="G773">
            <v>84844.700000000012</v>
          </cell>
        </row>
        <row r="775">
          <cell r="A775" t="str">
            <v>D</v>
          </cell>
          <cell r="B775" t="str">
            <v>JUMLAH ( A + B + C )</v>
          </cell>
          <cell r="G775">
            <v>411370.56000000006</v>
          </cell>
        </row>
        <row r="776">
          <cell r="A776" t="str">
            <v>E</v>
          </cell>
          <cell r="B776" t="str">
            <v>KEUNTUNGAN  10,0 % X D</v>
          </cell>
          <cell r="G776">
            <v>41137.056000000011</v>
          </cell>
        </row>
        <row r="777">
          <cell r="A777" t="str">
            <v>F</v>
          </cell>
          <cell r="B777" t="str">
            <v>HARGA SATUAN PEKERJAAN  ( D + E )</v>
          </cell>
          <cell r="G777">
            <v>452507.61600000004</v>
          </cell>
        </row>
        <row r="778">
          <cell r="A778" t="str">
            <v>G</v>
          </cell>
          <cell r="B778" t="str">
            <v>DIBULATKAN</v>
          </cell>
          <cell r="G778">
            <v>452508</v>
          </cell>
        </row>
        <row r="780">
          <cell r="A780" t="str">
            <v>Note :     1</v>
          </cell>
          <cell r="B780" t="str">
            <v>Satuan dapat berdasarkan atas jam operasi untuk tenaga kerja dan peralatan, volume dan / atau ukuran berat untuk bahan-bahan</v>
          </cell>
        </row>
        <row r="782">
          <cell r="A782">
            <v>2</v>
          </cell>
          <cell r="B782" t="str">
            <v>Kuantitas Satuan adalah kuantitas setiap komponen untuk menyelesaikan satu satuan pekerjaan dari nomor mata pembayaran</v>
          </cell>
        </row>
        <row r="784">
          <cell r="A784">
            <v>3</v>
          </cell>
          <cell r="B784" t="str">
            <v>Biaya Satuan Untuk Peralatan sudah termasuk bahan bakar, bahan habis dipakai dan operator</v>
          </cell>
        </row>
        <row r="785">
          <cell r="A785">
            <v>4</v>
          </cell>
          <cell r="B785" t="str">
            <v>Biaya Satuan sudah termasuk pengeluaran untuk seluruh pajak yang berkaitan (tetapi tidak termasuk PPN yang dibayar dari kontrak) dan biaya-biaya lainnya</v>
          </cell>
        </row>
        <row r="787">
          <cell r="A787">
            <v>5</v>
          </cell>
          <cell r="B787" t="str">
            <v>Biaya satuan sudah termasuk biaya quality control</v>
          </cell>
        </row>
        <row r="792">
          <cell r="E792" t="str">
            <v>Takengon, 16 Juli 2003</v>
          </cell>
        </row>
        <row r="793">
          <cell r="E793" t="str">
            <v>CV. TRIPA KARYA</v>
          </cell>
        </row>
        <row r="799">
          <cell r="E799" t="str">
            <v>NYAK MUDDIN PUTEH</v>
          </cell>
        </row>
        <row r="800">
          <cell r="E800" t="str">
            <v>Direktur</v>
          </cell>
        </row>
        <row r="802">
          <cell r="A802" t="str">
            <v>ANALISA HARGA SATUAN MATA PEMBAYARAN</v>
          </cell>
        </row>
        <row r="805">
          <cell r="A805" t="str">
            <v>Nama Penawar</v>
          </cell>
          <cell r="C805" t="str">
            <v>:</v>
          </cell>
          <cell r="D805" t="str">
            <v>CV. TAKABEYA PERKASA</v>
          </cell>
        </row>
        <row r="806">
          <cell r="A806" t="str">
            <v>Paket</v>
          </cell>
          <cell r="C806" t="str">
            <v>:</v>
          </cell>
          <cell r="D806" t="str">
            <v xml:space="preserve">Pemeliharaan Berkala Jalan Geudong - Makam Malikussaleh - Mancang </v>
          </cell>
        </row>
        <row r="807">
          <cell r="A807" t="str">
            <v>No. Paket</v>
          </cell>
          <cell r="C807" t="str">
            <v>:</v>
          </cell>
          <cell r="D807" t="str">
            <v>P.039</v>
          </cell>
        </row>
        <row r="808">
          <cell r="A808" t="str">
            <v>Provinsi</v>
          </cell>
          <cell r="C808" t="str">
            <v>:</v>
          </cell>
          <cell r="D808" t="str">
            <v>Nanggroe Aceh Darussalam</v>
          </cell>
        </row>
        <row r="809">
          <cell r="A809" t="str">
            <v>No. Item Pembayaran</v>
          </cell>
          <cell r="C809" t="str">
            <v>:</v>
          </cell>
          <cell r="D809" t="str">
            <v>7.9</v>
          </cell>
        </row>
        <row r="810">
          <cell r="A810" t="str">
            <v>Jenis Pekerjaan</v>
          </cell>
          <cell r="C810" t="str">
            <v>:</v>
          </cell>
          <cell r="D810" t="str">
            <v>Pasangan Batu + Adukan (Mekanik)</v>
          </cell>
        </row>
        <row r="811">
          <cell r="A811" t="str">
            <v>Satuan Pembayaran</v>
          </cell>
          <cell r="C811" t="str">
            <v>:</v>
          </cell>
          <cell r="D811" t="str">
            <v>M3</v>
          </cell>
        </row>
        <row r="815">
          <cell r="A815" t="str">
            <v>NO.</v>
          </cell>
          <cell r="B815" t="str">
            <v>KOMPONEN</v>
          </cell>
          <cell r="D815" t="str">
            <v>SATUAN</v>
          </cell>
          <cell r="E815" t="str">
            <v>PERKIRAAN</v>
          </cell>
          <cell r="F815" t="str">
            <v>HARGA SATUAN</v>
          </cell>
          <cell r="G815" t="str">
            <v>JUMLAH HARGA</v>
          </cell>
        </row>
        <row r="816">
          <cell r="E816" t="str">
            <v>KUANTITAS</v>
          </cell>
          <cell r="F816" t="str">
            <v>(Rp)</v>
          </cell>
          <cell r="G816" t="str">
            <v>(Rp)</v>
          </cell>
        </row>
        <row r="817">
          <cell r="A817" t="str">
            <v>A</v>
          </cell>
          <cell r="B817" t="str">
            <v>TENAGA KERJA</v>
          </cell>
        </row>
        <row r="819">
          <cell r="A819" t="str">
            <v>1.</v>
          </cell>
          <cell r="B819" t="str">
            <v>Pekerja</v>
          </cell>
          <cell r="D819" t="str">
            <v>Jam</v>
          </cell>
          <cell r="E819">
            <v>2.4011</v>
          </cell>
          <cell r="F819">
            <v>2800</v>
          </cell>
          <cell r="G819">
            <v>6723.08</v>
          </cell>
        </row>
        <row r="820">
          <cell r="A820" t="str">
            <v>2.</v>
          </cell>
          <cell r="B820" t="str">
            <v>Mandor</v>
          </cell>
          <cell r="D820" t="str">
            <v>Jam</v>
          </cell>
          <cell r="E820">
            <v>0.48059999999999997</v>
          </cell>
          <cell r="F820">
            <v>3600</v>
          </cell>
          <cell r="G820">
            <v>1730.1599999999999</v>
          </cell>
        </row>
        <row r="821">
          <cell r="A821" t="str">
            <v>3.</v>
          </cell>
          <cell r="B821" t="str">
            <v>Tukang</v>
          </cell>
          <cell r="D821" t="str">
            <v>Jam</v>
          </cell>
          <cell r="E821">
            <v>0.48</v>
          </cell>
          <cell r="F821">
            <v>4400</v>
          </cell>
          <cell r="G821">
            <v>2112</v>
          </cell>
        </row>
        <row r="823">
          <cell r="A823" t="str">
            <v>Jumlah Harga Tenaga Kerja</v>
          </cell>
          <cell r="G823">
            <v>10565.24</v>
          </cell>
        </row>
        <row r="824">
          <cell r="A824" t="str">
            <v>B</v>
          </cell>
          <cell r="B824" t="str">
            <v xml:space="preserve">BAHAN </v>
          </cell>
        </row>
        <row r="826">
          <cell r="A826" t="str">
            <v>1.</v>
          </cell>
          <cell r="B826" t="str">
            <v>Batu kali</v>
          </cell>
          <cell r="D826" t="str">
            <v>m3</v>
          </cell>
          <cell r="E826">
            <v>1.17</v>
          </cell>
          <cell r="F826">
            <v>89000</v>
          </cell>
          <cell r="G826">
            <v>104130</v>
          </cell>
        </row>
        <row r="827">
          <cell r="A827" t="str">
            <v>2.</v>
          </cell>
          <cell r="B827" t="str">
            <v>Semen PC</v>
          </cell>
          <cell r="D827" t="str">
            <v>Kg</v>
          </cell>
          <cell r="E827">
            <v>176</v>
          </cell>
          <cell r="F827">
            <v>612.5</v>
          </cell>
          <cell r="G827">
            <v>107800</v>
          </cell>
        </row>
        <row r="828">
          <cell r="A828" t="str">
            <v>3.</v>
          </cell>
          <cell r="B828" t="str">
            <v>Pasir Pasang</v>
          </cell>
          <cell r="D828" t="str">
            <v>m3</v>
          </cell>
          <cell r="E828">
            <v>0.39610000000000001</v>
          </cell>
          <cell r="F828">
            <v>68000</v>
          </cell>
          <cell r="G828">
            <v>26934.799999999999</v>
          </cell>
        </row>
        <row r="830">
          <cell r="A830" t="str">
            <v>Jumlah Harga Bahan</v>
          </cell>
          <cell r="G830">
            <v>238864.8</v>
          </cell>
        </row>
        <row r="831">
          <cell r="A831" t="str">
            <v>C</v>
          </cell>
          <cell r="B831" t="str">
            <v>PERALATAN</v>
          </cell>
        </row>
        <row r="833">
          <cell r="A833" t="str">
            <v>1.</v>
          </cell>
          <cell r="B833" t="str">
            <v>Concrette Mixer</v>
          </cell>
          <cell r="D833" t="str">
            <v>Jam</v>
          </cell>
          <cell r="E833">
            <v>0.48199999999999998</v>
          </cell>
          <cell r="F833">
            <v>22000</v>
          </cell>
          <cell r="G833">
            <v>10604</v>
          </cell>
        </row>
        <row r="834">
          <cell r="A834" t="str">
            <v>2.</v>
          </cell>
          <cell r="B834" t="str">
            <v>Water Tanker</v>
          </cell>
          <cell r="D834" t="str">
            <v>Jam</v>
          </cell>
          <cell r="E834">
            <v>0.56559999999999999</v>
          </cell>
          <cell r="F834">
            <v>70000</v>
          </cell>
          <cell r="G834">
            <v>39592</v>
          </cell>
        </row>
        <row r="835">
          <cell r="A835" t="str">
            <v>3.</v>
          </cell>
          <cell r="B835" t="str">
            <v>Alat Bantu</v>
          </cell>
          <cell r="D835" t="str">
            <v>Ls</v>
          </cell>
          <cell r="E835">
            <v>1</v>
          </cell>
          <cell r="F835">
            <v>900</v>
          </cell>
          <cell r="G835">
            <v>900</v>
          </cell>
        </row>
        <row r="837">
          <cell r="A837" t="str">
            <v>Jumlah Harga Peralatan</v>
          </cell>
          <cell r="G837">
            <v>51096</v>
          </cell>
        </row>
        <row r="839">
          <cell r="A839" t="str">
            <v>D</v>
          </cell>
          <cell r="B839" t="str">
            <v>JUMLAH ( A + B + C )</v>
          </cell>
          <cell r="G839">
            <v>300526.03999999998</v>
          </cell>
        </row>
        <row r="840">
          <cell r="A840" t="str">
            <v>E</v>
          </cell>
          <cell r="B840" t="str">
            <v>KEUNTUNGAN  10,0 % X D</v>
          </cell>
          <cell r="G840">
            <v>30052.603999999999</v>
          </cell>
        </row>
        <row r="841">
          <cell r="A841" t="str">
            <v>F</v>
          </cell>
          <cell r="B841" t="str">
            <v>HARGA SATUAN PEKERJAAN  ( D + E )</v>
          </cell>
          <cell r="G841">
            <v>330578.64399999997</v>
          </cell>
        </row>
        <row r="842">
          <cell r="A842" t="str">
            <v>G</v>
          </cell>
          <cell r="B842" t="str">
            <v>DIBULATKAN</v>
          </cell>
          <cell r="G842">
            <v>330579</v>
          </cell>
        </row>
        <row r="844">
          <cell r="A844" t="str">
            <v>Note :       1</v>
          </cell>
          <cell r="B844" t="str">
            <v>Satuan dapat berdasarkan atas jam operasi untuk tenaga kerja dan peralatan, volume dan / atau ukuran</v>
          </cell>
        </row>
        <row r="845">
          <cell r="B845" t="str">
            <v xml:space="preserve"> berat untuk bahan-bahan</v>
          </cell>
        </row>
        <row r="846">
          <cell r="A846">
            <v>2</v>
          </cell>
          <cell r="B846" t="str">
            <v>Kuantitas Satuan adalah kuantitas setiap komponen untuk menyelesaikan satu satuan pekerjaan dari nomor</v>
          </cell>
        </row>
        <row r="847">
          <cell r="B847" t="str">
            <v>mata pembayaran</v>
          </cell>
        </row>
        <row r="848">
          <cell r="A848">
            <v>3</v>
          </cell>
          <cell r="B848" t="str">
            <v>Biaya Satuan Untuk Peralatan sudah termasuk bahan bakar, bahan habis dipakai dan operator</v>
          </cell>
        </row>
        <row r="849">
          <cell r="A849">
            <v>4</v>
          </cell>
          <cell r="B849" t="str">
            <v>Biaya Satuan sudah termasuk pengeluaran untuk seluruh pajak yang berkaitan (tetapi tidak termasuk PPN</v>
          </cell>
        </row>
        <row r="850">
          <cell r="B850" t="str">
            <v>yang dibayar dari kontrak) dan biaya-biaya lainnya</v>
          </cell>
        </row>
        <row r="851">
          <cell r="A851">
            <v>5</v>
          </cell>
          <cell r="B851" t="str">
            <v>Biaya Satuan Sudah Termasuk Biaya Quality Control</v>
          </cell>
        </row>
        <row r="856">
          <cell r="E856" t="str">
            <v>Takengon, 16 Juli 2003</v>
          </cell>
        </row>
        <row r="857">
          <cell r="E857" t="str">
            <v>CV. TRIPA KARYA</v>
          </cell>
        </row>
        <row r="863">
          <cell r="E863" t="str">
            <v>NYAK MUDDIN PUTEH</v>
          </cell>
        </row>
        <row r="864">
          <cell r="E864" t="str">
            <v>Direktur</v>
          </cell>
        </row>
        <row r="866">
          <cell r="A866" t="str">
            <v>ANALISA HARGA SATUAN MATA PEMBAYARAN</v>
          </cell>
        </row>
        <row r="869">
          <cell r="A869" t="str">
            <v>Nama Penawar</v>
          </cell>
          <cell r="C869" t="str">
            <v>:</v>
          </cell>
          <cell r="D869" t="str">
            <v>CV. TAKABEYA PERKASA</v>
          </cell>
        </row>
        <row r="870">
          <cell r="A870" t="str">
            <v>Paket</v>
          </cell>
          <cell r="C870" t="str">
            <v>:</v>
          </cell>
          <cell r="D870" t="str">
            <v xml:space="preserve">Pemeliharaan Berkala Jalan Geudong - Makam Malikussaleh - Mancang </v>
          </cell>
        </row>
        <row r="871">
          <cell r="A871" t="str">
            <v>No. Paket</v>
          </cell>
          <cell r="C871" t="str">
            <v>:</v>
          </cell>
          <cell r="D871" t="str">
            <v>P.039</v>
          </cell>
        </row>
        <row r="872">
          <cell r="A872" t="str">
            <v>Provinsi</v>
          </cell>
          <cell r="C872" t="str">
            <v>:</v>
          </cell>
          <cell r="D872" t="str">
            <v>Nanggroe Aceh Darussalam</v>
          </cell>
        </row>
        <row r="873">
          <cell r="A873" t="str">
            <v>No. Item Pembayaran</v>
          </cell>
          <cell r="C873" t="str">
            <v>:</v>
          </cell>
          <cell r="D873" t="str">
            <v>8.1 ( 5 )</v>
          </cell>
        </row>
        <row r="874">
          <cell r="A874" t="str">
            <v>Jenis Pekerjaan</v>
          </cell>
          <cell r="C874" t="str">
            <v>:</v>
          </cell>
          <cell r="D874" t="str">
            <v>Campuran Aspal Panas Untuk Pekerjaan Minor</v>
          </cell>
        </row>
        <row r="875">
          <cell r="A875" t="str">
            <v>Satuan Pembayaran</v>
          </cell>
          <cell r="C875" t="str">
            <v>:</v>
          </cell>
          <cell r="D875" t="str">
            <v>M3</v>
          </cell>
        </row>
        <row r="878">
          <cell r="A878" t="str">
            <v>NO.</v>
          </cell>
          <cell r="B878" t="str">
            <v>KOMPONEN</v>
          </cell>
          <cell r="D878" t="str">
            <v>SATUAN</v>
          </cell>
          <cell r="E878" t="str">
            <v>PERKIRAAN</v>
          </cell>
          <cell r="F878" t="str">
            <v>BIAYA SATUAN</v>
          </cell>
          <cell r="G878" t="str">
            <v>JUMLAH HARGA</v>
          </cell>
        </row>
        <row r="879">
          <cell r="E879" t="str">
            <v>KUANTITAS</v>
          </cell>
          <cell r="F879" t="str">
            <v>(Rp)</v>
          </cell>
          <cell r="G879" t="str">
            <v>(Rp)</v>
          </cell>
        </row>
        <row r="880">
          <cell r="A880" t="str">
            <v>A</v>
          </cell>
          <cell r="B880" t="str">
            <v>TENAGA KERJA</v>
          </cell>
        </row>
        <row r="882">
          <cell r="A882" t="str">
            <v>1.</v>
          </cell>
          <cell r="B882" t="str">
            <v>Pekerja</v>
          </cell>
          <cell r="D882" t="str">
            <v>Jam</v>
          </cell>
          <cell r="E882">
            <v>0.38869999999999999</v>
          </cell>
          <cell r="F882">
            <v>2800</v>
          </cell>
          <cell r="G882">
            <v>1088.3599999999999</v>
          </cell>
        </row>
        <row r="883">
          <cell r="A883" t="str">
            <v>2.</v>
          </cell>
          <cell r="B883" t="str">
            <v>Mandor</v>
          </cell>
          <cell r="D883" t="str">
            <v>Jam</v>
          </cell>
          <cell r="E883">
            <v>5.6000000000000001E-2</v>
          </cell>
          <cell r="F883">
            <v>3600</v>
          </cell>
          <cell r="G883">
            <v>201.6</v>
          </cell>
        </row>
        <row r="886">
          <cell r="A886" t="str">
            <v>Jumlah Harga Tenaga Kerja</v>
          </cell>
          <cell r="G886">
            <v>1289.9599999999998</v>
          </cell>
        </row>
        <row r="887">
          <cell r="A887" t="str">
            <v>B</v>
          </cell>
          <cell r="B887" t="str">
            <v xml:space="preserve">BAHAN </v>
          </cell>
        </row>
        <row r="889">
          <cell r="A889" t="str">
            <v>1.</v>
          </cell>
          <cell r="B889" t="str">
            <v>Agregate Kasar</v>
          </cell>
          <cell r="D889" t="str">
            <v>M3</v>
          </cell>
          <cell r="E889">
            <v>0.61880000000000002</v>
          </cell>
          <cell r="F889">
            <v>49000</v>
          </cell>
          <cell r="G889">
            <v>30321.200000000001</v>
          </cell>
        </row>
        <row r="890">
          <cell r="A890" t="str">
            <v>2.</v>
          </cell>
          <cell r="B890" t="str">
            <v>Agregate Halus</v>
          </cell>
          <cell r="D890" t="str">
            <v>M3</v>
          </cell>
          <cell r="E890">
            <v>0.57750000000000001</v>
          </cell>
          <cell r="F890">
            <v>55000</v>
          </cell>
          <cell r="G890">
            <v>31762.5</v>
          </cell>
        </row>
        <row r="891">
          <cell r="A891" t="str">
            <v>3.</v>
          </cell>
          <cell r="B891" t="str">
            <v>Filler</v>
          </cell>
          <cell r="D891" t="str">
            <v>Kg</v>
          </cell>
          <cell r="E891">
            <v>148.5</v>
          </cell>
          <cell r="F891">
            <v>400</v>
          </cell>
          <cell r="G891">
            <v>59400</v>
          </cell>
        </row>
        <row r="892">
          <cell r="A892" t="str">
            <v>4.</v>
          </cell>
          <cell r="B892" t="str">
            <v>Aspal</v>
          </cell>
          <cell r="D892" t="str">
            <v>Kg</v>
          </cell>
          <cell r="E892">
            <v>165.375</v>
          </cell>
          <cell r="F892">
            <v>4000</v>
          </cell>
          <cell r="G892">
            <v>661500</v>
          </cell>
        </row>
        <row r="895">
          <cell r="A895" t="str">
            <v>Jumlah Harga Bahan</v>
          </cell>
          <cell r="G895">
            <v>782983.7</v>
          </cell>
        </row>
        <row r="896">
          <cell r="A896" t="str">
            <v>C</v>
          </cell>
          <cell r="B896" t="str">
            <v>PERALATAN</v>
          </cell>
        </row>
        <row r="898">
          <cell r="A898" t="str">
            <v>1.</v>
          </cell>
          <cell r="B898" t="str">
            <v>Whell Loader</v>
          </cell>
          <cell r="D898" t="str">
            <v>Jam</v>
          </cell>
          <cell r="E898">
            <v>3.5699999999999996E-2</v>
          </cell>
          <cell r="F898">
            <v>148000</v>
          </cell>
          <cell r="G898">
            <v>5283.5999999999995</v>
          </cell>
        </row>
        <row r="899">
          <cell r="A899" t="str">
            <v>2.</v>
          </cell>
          <cell r="B899" t="str">
            <v>AMP</v>
          </cell>
          <cell r="D899" t="str">
            <v>Jam</v>
          </cell>
          <cell r="E899">
            <v>5.3099999999999994E-2</v>
          </cell>
          <cell r="F899">
            <v>1295000</v>
          </cell>
          <cell r="G899">
            <v>68764.5</v>
          </cell>
        </row>
        <row r="900">
          <cell r="A900" t="str">
            <v>3.</v>
          </cell>
          <cell r="B900" t="str">
            <v>Generator Set</v>
          </cell>
          <cell r="D900" t="str">
            <v>Jam</v>
          </cell>
          <cell r="E900">
            <v>5.3099999999999994E-2</v>
          </cell>
          <cell r="F900">
            <v>82000</v>
          </cell>
          <cell r="G900">
            <v>4354.2</v>
          </cell>
        </row>
        <row r="901">
          <cell r="A901" t="str">
            <v>4.</v>
          </cell>
          <cell r="B901" t="str">
            <v>Damp Truck</v>
          </cell>
          <cell r="D901" t="str">
            <v>Jam</v>
          </cell>
          <cell r="E901">
            <v>1.2622</v>
          </cell>
          <cell r="F901">
            <v>75000</v>
          </cell>
          <cell r="G901">
            <v>94665</v>
          </cell>
        </row>
        <row r="902">
          <cell r="A902" t="str">
            <v>5.</v>
          </cell>
          <cell r="B902" t="str">
            <v>Asphalt Finisher</v>
          </cell>
          <cell r="D902" t="str">
            <v>Jam</v>
          </cell>
          <cell r="E902">
            <v>7.1199999999999999E-2</v>
          </cell>
          <cell r="F902">
            <v>75000</v>
          </cell>
          <cell r="G902">
            <v>5340</v>
          </cell>
        </row>
        <row r="903">
          <cell r="A903" t="str">
            <v>6.</v>
          </cell>
          <cell r="B903" t="str">
            <v>Tandem Roller</v>
          </cell>
          <cell r="D903" t="str">
            <v>Jam</v>
          </cell>
          <cell r="E903">
            <v>5.5099999999999996E-2</v>
          </cell>
          <cell r="F903">
            <v>76000</v>
          </cell>
          <cell r="G903">
            <v>4187.5999999999995</v>
          </cell>
        </row>
        <row r="904">
          <cell r="A904" t="str">
            <v>7.</v>
          </cell>
          <cell r="B904" t="str">
            <v>Peunematic Tyre Roller</v>
          </cell>
          <cell r="D904" t="str">
            <v>Jam</v>
          </cell>
          <cell r="E904">
            <v>2.9799999999999997E-2</v>
          </cell>
          <cell r="F904">
            <v>98000</v>
          </cell>
          <cell r="G904">
            <v>2920.3999999999996</v>
          </cell>
        </row>
        <row r="905">
          <cell r="A905" t="str">
            <v>8.</v>
          </cell>
          <cell r="B905" t="str">
            <v>Alat Bantu</v>
          </cell>
          <cell r="D905" t="str">
            <v>Ls</v>
          </cell>
          <cell r="E905">
            <v>1</v>
          </cell>
          <cell r="F905">
            <v>450</v>
          </cell>
          <cell r="G905">
            <v>450</v>
          </cell>
        </row>
        <row r="907">
          <cell r="A907" t="str">
            <v>Jumlah Harga Peralatan</v>
          </cell>
          <cell r="G907">
            <v>185965.3</v>
          </cell>
        </row>
        <row r="909">
          <cell r="A909" t="str">
            <v>D</v>
          </cell>
          <cell r="B909" t="str">
            <v>JUMLAH ( A + B + C )</v>
          </cell>
          <cell r="G909">
            <v>970238.96</v>
          </cell>
        </row>
        <row r="910">
          <cell r="A910" t="str">
            <v>E</v>
          </cell>
          <cell r="B910" t="str">
            <v>KEUNTUNGAN  10,0 % X D</v>
          </cell>
          <cell r="G910">
            <v>97023.896000000008</v>
          </cell>
        </row>
        <row r="911">
          <cell r="A911" t="str">
            <v>F</v>
          </cell>
          <cell r="B911" t="str">
            <v>HARGA SATUAN PEKERJAAN  ( D + E )</v>
          </cell>
          <cell r="G911">
            <v>1067262.8559999999</v>
          </cell>
        </row>
        <row r="912">
          <cell r="A912" t="str">
            <v>G</v>
          </cell>
          <cell r="B912" t="str">
            <v>DIBULATKAN</v>
          </cell>
          <cell r="G912">
            <v>1067263</v>
          </cell>
        </row>
        <row r="914">
          <cell r="A914" t="str">
            <v>Note :       1</v>
          </cell>
          <cell r="B914" t="str">
            <v>Satuan dapat berdasarkan atas jam operasi untuk tenaga kerja dan peralatan, volume dan / atau ukuran</v>
          </cell>
        </row>
        <row r="915">
          <cell r="B915" t="str">
            <v xml:space="preserve"> berat untuk bahan-bahan</v>
          </cell>
        </row>
        <row r="916">
          <cell r="A916">
            <v>2</v>
          </cell>
          <cell r="B916" t="str">
            <v>Kuantitas Satuan adalah kuantitas setiap komponen untuk menyelesaikan satu satuan pekerjaan dari nomor</v>
          </cell>
        </row>
        <row r="917">
          <cell r="B917" t="str">
            <v>mata pembayaran</v>
          </cell>
        </row>
        <row r="918">
          <cell r="A918">
            <v>3</v>
          </cell>
          <cell r="B918" t="str">
            <v>Biaya Satuan Untuk Peralatan sudah termasuk bahan bakar, bahan habis dipakai dan operator</v>
          </cell>
        </row>
        <row r="919">
          <cell r="A919">
            <v>4</v>
          </cell>
          <cell r="B919" t="str">
            <v>Biaya Satuan sudah termasuk pengeluaran untuk seluruh pajak yang berkaitan (tetapi tidak termasuk PPN</v>
          </cell>
        </row>
        <row r="920">
          <cell r="B920" t="str">
            <v>yang dibayar dari kontrak) dan biaya-biaya lainnya</v>
          </cell>
        </row>
        <row r="925">
          <cell r="E925" t="str">
            <v>Takengon, 16 Juli 2003</v>
          </cell>
        </row>
        <row r="926">
          <cell r="E926" t="str">
            <v>CV. TRIPA KARYA</v>
          </cell>
        </row>
        <row r="932">
          <cell r="E932" t="str">
            <v>NYAK MUDDIN PUTEH</v>
          </cell>
        </row>
        <row r="933">
          <cell r="E933" t="str">
            <v>Direktur</v>
          </cell>
        </row>
        <row r="936">
          <cell r="A936" t="str">
            <v>ANALISA HARGA SATUAN MATA PEMBAYARAN</v>
          </cell>
        </row>
        <row r="939">
          <cell r="A939" t="str">
            <v>Nama Penawar</v>
          </cell>
          <cell r="C939" t="str">
            <v>:</v>
          </cell>
          <cell r="D939" t="str">
            <v>CV. TAKABEYA PERKASA</v>
          </cell>
        </row>
        <row r="940">
          <cell r="A940" t="str">
            <v>Paket</v>
          </cell>
          <cell r="C940" t="str">
            <v>:</v>
          </cell>
          <cell r="D940" t="str">
            <v xml:space="preserve">Pemeliharaan Berkala Jalan Geudong - Makam Malikussaleh - Mancang </v>
          </cell>
        </row>
        <row r="941">
          <cell r="A941" t="str">
            <v>No. Paket</v>
          </cell>
          <cell r="C941" t="str">
            <v>:</v>
          </cell>
          <cell r="D941" t="str">
            <v>P.039</v>
          </cell>
        </row>
        <row r="942">
          <cell r="A942" t="str">
            <v>Provinsi</v>
          </cell>
          <cell r="C942" t="str">
            <v>:</v>
          </cell>
          <cell r="D942" t="str">
            <v>Nanggroe Aceh Darussalam</v>
          </cell>
        </row>
        <row r="943">
          <cell r="A943" t="str">
            <v>No. Item Pembayaran</v>
          </cell>
          <cell r="C943" t="str">
            <v>:</v>
          </cell>
          <cell r="D943" t="str">
            <v>8.1 ( 9 )</v>
          </cell>
        </row>
        <row r="944">
          <cell r="A944" t="str">
            <v>Jenis Pekerjaan</v>
          </cell>
          <cell r="C944" t="str">
            <v>:</v>
          </cell>
          <cell r="D944" t="str">
            <v>Bitumen Residual Untuk Pekerjaan Minor</v>
          </cell>
        </row>
        <row r="945">
          <cell r="A945" t="str">
            <v>Satuan Pembayaran</v>
          </cell>
          <cell r="C945" t="str">
            <v>:</v>
          </cell>
          <cell r="D945" t="str">
            <v>Liter</v>
          </cell>
        </row>
        <row r="948">
          <cell r="A948" t="str">
            <v>NO.</v>
          </cell>
          <cell r="B948" t="str">
            <v>KOMPONEN</v>
          </cell>
          <cell r="D948" t="str">
            <v>SATUAN</v>
          </cell>
          <cell r="E948" t="str">
            <v>PERKIRAAN</v>
          </cell>
          <cell r="F948" t="str">
            <v>BIAYA SATUAN</v>
          </cell>
          <cell r="G948" t="str">
            <v>JUMLAH HARGA</v>
          </cell>
        </row>
        <row r="949">
          <cell r="E949" t="str">
            <v>KUANTITAS</v>
          </cell>
          <cell r="F949" t="str">
            <v>(Rp)</v>
          </cell>
          <cell r="G949" t="str">
            <v>(Rp)</v>
          </cell>
        </row>
        <row r="950">
          <cell r="A950" t="str">
            <v>A</v>
          </cell>
          <cell r="B950" t="str">
            <v>TENAGA KERJA</v>
          </cell>
        </row>
        <row r="952">
          <cell r="A952" t="str">
            <v>1.</v>
          </cell>
          <cell r="B952" t="str">
            <v>Pekerja</v>
          </cell>
          <cell r="D952" t="str">
            <v>Jam</v>
          </cell>
          <cell r="E952">
            <v>1.78E-2</v>
          </cell>
          <cell r="F952">
            <v>2800</v>
          </cell>
          <cell r="G952">
            <v>49.839999999999996</v>
          </cell>
        </row>
        <row r="953">
          <cell r="A953" t="str">
            <v>2.</v>
          </cell>
          <cell r="B953" t="str">
            <v>Mandor</v>
          </cell>
          <cell r="D953" t="str">
            <v>Jam</v>
          </cell>
          <cell r="E953">
            <v>1.4E-3</v>
          </cell>
          <cell r="F953">
            <v>3600</v>
          </cell>
          <cell r="G953">
            <v>5.04</v>
          </cell>
        </row>
        <row r="956">
          <cell r="A956" t="str">
            <v>Jumlah Harga Tenaga Kerja</v>
          </cell>
          <cell r="G956">
            <v>54.879999999999995</v>
          </cell>
        </row>
        <row r="957">
          <cell r="A957" t="str">
            <v>B</v>
          </cell>
          <cell r="B957" t="str">
            <v xml:space="preserve">BAHAN </v>
          </cell>
        </row>
        <row r="959">
          <cell r="A959" t="str">
            <v>1.</v>
          </cell>
          <cell r="B959" t="str">
            <v>Aspal</v>
          </cell>
          <cell r="D959" t="str">
            <v>Kg</v>
          </cell>
          <cell r="E959">
            <v>0.64170000000000005</v>
          </cell>
          <cell r="F959">
            <v>4000</v>
          </cell>
          <cell r="G959">
            <v>2566.8000000000002</v>
          </cell>
        </row>
        <row r="960">
          <cell r="A960" t="str">
            <v>2.</v>
          </cell>
          <cell r="B960" t="str">
            <v>Korosene</v>
          </cell>
          <cell r="D960" t="str">
            <v>Liter</v>
          </cell>
          <cell r="E960">
            <v>0.4889</v>
          </cell>
          <cell r="F960">
            <v>1350</v>
          </cell>
          <cell r="G960">
            <v>660.01499999999999</v>
          </cell>
        </row>
        <row r="963">
          <cell r="A963" t="str">
            <v>Jumlah Harga Bahan</v>
          </cell>
          <cell r="G963">
            <v>3226.8150000000001</v>
          </cell>
        </row>
        <row r="964">
          <cell r="A964" t="str">
            <v>C</v>
          </cell>
          <cell r="B964" t="str">
            <v>PERALATAN</v>
          </cell>
        </row>
        <row r="966">
          <cell r="A966">
            <v>1</v>
          </cell>
          <cell r="B966" t="str">
            <v>Asphalt Sprayer</v>
          </cell>
          <cell r="D966" t="str">
            <v>Jam</v>
          </cell>
          <cell r="E966">
            <v>1.4E-3</v>
          </cell>
          <cell r="F966">
            <v>30000</v>
          </cell>
          <cell r="G966">
            <v>42</v>
          </cell>
        </row>
        <row r="967">
          <cell r="A967">
            <v>2</v>
          </cell>
          <cell r="B967" t="str">
            <v>Compressor</v>
          </cell>
          <cell r="D967" t="str">
            <v>Jam</v>
          </cell>
          <cell r="E967">
            <v>2.5999999999999999E-3</v>
          </cell>
          <cell r="F967">
            <v>43000</v>
          </cell>
          <cell r="G967">
            <v>111.8</v>
          </cell>
        </row>
        <row r="968">
          <cell r="A968">
            <v>3</v>
          </cell>
          <cell r="B968" t="str">
            <v>Damp Truck</v>
          </cell>
          <cell r="D968" t="str">
            <v>Jam</v>
          </cell>
          <cell r="E968">
            <v>1.4E-3</v>
          </cell>
          <cell r="F968">
            <v>75000</v>
          </cell>
          <cell r="G968">
            <v>105</v>
          </cell>
        </row>
        <row r="970">
          <cell r="A970" t="str">
            <v>Jumlah Harga Peralatan</v>
          </cell>
          <cell r="G970">
            <v>258.8</v>
          </cell>
        </row>
        <row r="972">
          <cell r="A972" t="str">
            <v>D</v>
          </cell>
          <cell r="B972" t="str">
            <v>JUMLAH ( A + B + C )</v>
          </cell>
          <cell r="G972">
            <v>3540.4950000000003</v>
          </cell>
        </row>
        <row r="973">
          <cell r="A973" t="str">
            <v>E</v>
          </cell>
          <cell r="B973" t="str">
            <v>KEUNTUNGAN  10,0 % X D</v>
          </cell>
          <cell r="G973">
            <v>354.04950000000008</v>
          </cell>
        </row>
        <row r="974">
          <cell r="A974" t="str">
            <v>F</v>
          </cell>
          <cell r="B974" t="str">
            <v>HARGA SATUAN PEKERJAAN  ( D + E )</v>
          </cell>
          <cell r="G974">
            <v>3894.5445000000004</v>
          </cell>
        </row>
        <row r="975">
          <cell r="A975" t="str">
            <v>G</v>
          </cell>
          <cell r="B975" t="str">
            <v>DIBULATKAN</v>
          </cell>
          <cell r="G975">
            <v>3895</v>
          </cell>
        </row>
        <row r="977">
          <cell r="A977" t="str">
            <v>Note :       1</v>
          </cell>
          <cell r="B977" t="str">
            <v>Satuan dapat berdasarkan atas jam operasi untuk tenaga kerja dan peralatan, volume dan / atau ukuran</v>
          </cell>
        </row>
        <row r="978">
          <cell r="B978" t="str">
            <v xml:space="preserve"> berat untuk bahan-bahan</v>
          </cell>
        </row>
        <row r="979">
          <cell r="A979">
            <v>2</v>
          </cell>
          <cell r="B979" t="str">
            <v>Kuantitas Satuan adalah kuantitas setiap komponen untuk menyelesaikan satu satuan pekerjaan dari nomor</v>
          </cell>
        </row>
        <row r="980">
          <cell r="B980" t="str">
            <v>mata pembayaran</v>
          </cell>
        </row>
        <row r="981">
          <cell r="A981">
            <v>3</v>
          </cell>
          <cell r="B981" t="str">
            <v>Biaya Satuan Untuk Peralatan sudah termasuk bahan bakar, bahan habis dipakai dan operator</v>
          </cell>
        </row>
        <row r="982">
          <cell r="A982">
            <v>4</v>
          </cell>
          <cell r="B982" t="str">
            <v>Biaya Satuan sudah termasuk pengeluaran untuk seluruh pajak yang berkaitan (tetapi tidak termasuk PPN</v>
          </cell>
        </row>
        <row r="983">
          <cell r="B983" t="str">
            <v>yang dibayar dari kontrak) dan biaya-biaya lainnya</v>
          </cell>
        </row>
        <row r="986">
          <cell r="E986" t="str">
            <v>Takengon, 16 Juli 2003</v>
          </cell>
        </row>
        <row r="987">
          <cell r="E987" t="str">
            <v>CV. TRIPA KARYA</v>
          </cell>
        </row>
        <row r="993">
          <cell r="E993" t="str">
            <v>NYAK MUDDIN PUTEH</v>
          </cell>
        </row>
        <row r="994">
          <cell r="E994" t="str">
            <v>Direktur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kap"/>
      <sheetName val="RAB P Jaga"/>
      <sheetName val="RAB Kantor"/>
      <sheetName val="RaB Gd Bbku"/>
      <sheetName val="RaB Gd BJadi"/>
      <sheetName val="RaB Pabrik"/>
      <sheetName val="RaB Bak Pnmpung"/>
      <sheetName val="RaB Inst Air"/>
      <sheetName val="RaB Genset"/>
      <sheetName val="RAB Bang Pnjang"/>
      <sheetName val="RAB Kantin"/>
      <sheetName val="RAB Musholla"/>
      <sheetName val="RAB PERSIAPAN+iNFRA"/>
      <sheetName val="HSBU ANA"/>
      <sheetName val="Upah"/>
      <sheetName val="ANA"/>
      <sheetName val="HARGA SATUAN"/>
      <sheetName val="Spek Bhn"/>
      <sheetName val="H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1">
          <cell r="D61">
            <v>12500</v>
          </cell>
        </row>
        <row r="136">
          <cell r="D136">
            <v>15000</v>
          </cell>
        </row>
        <row r="306">
          <cell r="D306">
            <v>28000</v>
          </cell>
        </row>
        <row r="309">
          <cell r="D309">
            <v>35000</v>
          </cell>
        </row>
        <row r="310">
          <cell r="D310">
            <v>40000</v>
          </cell>
        </row>
        <row r="321">
          <cell r="D321">
            <v>45000</v>
          </cell>
        </row>
      </sheetData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SAT"/>
      <sheetName val="ANALISA"/>
      <sheetName val="harsat_pek"/>
      <sheetName val="ANA_SANITARY"/>
      <sheetName val="struktur"/>
      <sheetName val="arsitektur"/>
      <sheetName val="lansekap"/>
      <sheetName val="rekapitulasi total"/>
      <sheetName val="sub rekapitulasi"/>
      <sheetName val="Schedule"/>
      <sheetName val="list_material"/>
      <sheetName val="resume"/>
      <sheetName val="kepada"/>
      <sheetName val="dash"/>
    </sheetNames>
    <sheetDataSet>
      <sheetData sheetId="0" refreshError="1"/>
      <sheetData sheetId="1" refreshError="1">
        <row r="14">
          <cell r="K14">
            <v>83880</v>
          </cell>
        </row>
        <row r="50">
          <cell r="K50">
            <v>15335510</v>
          </cell>
        </row>
        <row r="57">
          <cell r="K57">
            <v>350080</v>
          </cell>
        </row>
        <row r="88">
          <cell r="K88">
            <v>6120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*****"/>
      <sheetName val="000000"/>
      <sheetName val="Harsat Upah"/>
      <sheetName val="Harsat Bahan"/>
      <sheetName val="Harsat Pekerjaan"/>
      <sheetName val="Analisa"/>
      <sheetName val="Perhit Beton"/>
      <sheetName val="Perhitungan Besi"/>
      <sheetName val="DAFTAR BESI KANAL C SIKU"/>
      <sheetName val="DAFTAR  BESI IWF"/>
      <sheetName val="Pekerjaan  (2)"/>
      <sheetName val="bahan-semua daerah"/>
      <sheetName val="Upah-semua daerah"/>
    </sheetNames>
    <sheetDataSet>
      <sheetData sheetId="0"/>
      <sheetData sheetId="1"/>
      <sheetData sheetId="2" refreshError="1"/>
      <sheetData sheetId="3" refreshError="1">
        <row r="6">
          <cell r="A6" t="str">
            <v>KODE</v>
          </cell>
          <cell r="D6" t="str">
            <v>SAT</v>
          </cell>
          <cell r="E6" t="str">
            <v>HARGA SAT.</v>
          </cell>
        </row>
        <row r="7">
          <cell r="E7" t="str">
            <v>Rp.</v>
          </cell>
        </row>
        <row r="8">
          <cell r="B8" t="str">
            <v>1</v>
          </cell>
          <cell r="C8" t="str">
            <v>2</v>
          </cell>
          <cell r="D8" t="str">
            <v>3</v>
          </cell>
          <cell r="E8" t="str">
            <v>4</v>
          </cell>
        </row>
        <row r="10">
          <cell r="B10" t="str">
            <v>A</v>
          </cell>
          <cell r="C10" t="str">
            <v>AGREGAT KASAR, BAHAN PEREKAT &amp; BAHAN JADINYA</v>
          </cell>
        </row>
        <row r="11">
          <cell r="A11" t="str">
            <v>BA01</v>
          </cell>
          <cell r="B11" t="str">
            <v>1</v>
          </cell>
          <cell r="C11" t="str">
            <v>Pasir Urug</v>
          </cell>
          <cell r="D11" t="str">
            <v>m³</v>
          </cell>
          <cell r="E11">
            <v>33000</v>
          </cell>
        </row>
        <row r="12">
          <cell r="A12" t="str">
            <v>BA02</v>
          </cell>
          <cell r="B12" t="str">
            <v>2</v>
          </cell>
          <cell r="C12" t="str">
            <v>Sirtu</v>
          </cell>
          <cell r="D12" t="str">
            <v>m³</v>
          </cell>
          <cell r="E12">
            <v>37000</v>
          </cell>
        </row>
        <row r="13">
          <cell r="A13" t="str">
            <v>BA03</v>
          </cell>
          <cell r="B13" t="str">
            <v>3</v>
          </cell>
          <cell r="C13" t="str">
            <v>Pasir Teras</v>
          </cell>
          <cell r="D13" t="str">
            <v>m³</v>
          </cell>
          <cell r="E13">
            <v>41000</v>
          </cell>
        </row>
        <row r="14">
          <cell r="A14" t="str">
            <v>BA04</v>
          </cell>
          <cell r="B14" t="str">
            <v>4</v>
          </cell>
          <cell r="C14" t="str">
            <v>Pasir Pasang Kali</v>
          </cell>
          <cell r="D14" t="str">
            <v>m³</v>
          </cell>
          <cell r="E14">
            <v>45000</v>
          </cell>
        </row>
        <row r="15">
          <cell r="A15" t="str">
            <v>BA05</v>
          </cell>
          <cell r="B15" t="str">
            <v>5</v>
          </cell>
          <cell r="C15" t="str">
            <v>Pasir Beton I</v>
          </cell>
          <cell r="D15" t="str">
            <v>m³</v>
          </cell>
          <cell r="E15">
            <v>58000</v>
          </cell>
        </row>
        <row r="16">
          <cell r="A16" t="str">
            <v>BA06</v>
          </cell>
          <cell r="B16" t="str">
            <v>6</v>
          </cell>
          <cell r="C16" t="str">
            <v>Abu Batu</v>
          </cell>
          <cell r="D16" t="str">
            <v>m³</v>
          </cell>
          <cell r="E16">
            <v>42000</v>
          </cell>
        </row>
        <row r="17">
          <cell r="A17" t="str">
            <v>BA07</v>
          </cell>
          <cell r="B17" t="str">
            <v>7</v>
          </cell>
          <cell r="C17" t="str">
            <v>Batu Gosok ( Apung )</v>
          </cell>
          <cell r="D17" t="str">
            <v>kg</v>
          </cell>
          <cell r="E17">
            <v>7500</v>
          </cell>
        </row>
        <row r="18">
          <cell r="A18" t="str">
            <v>BA08</v>
          </cell>
          <cell r="B18" t="str">
            <v>8</v>
          </cell>
          <cell r="C18" t="str">
            <v>Batu Pecah Mesin  1/2</v>
          </cell>
          <cell r="D18" t="str">
            <v>m³</v>
          </cell>
          <cell r="E18">
            <v>65000</v>
          </cell>
        </row>
        <row r="19">
          <cell r="A19" t="str">
            <v>BA09</v>
          </cell>
          <cell r="B19" t="str">
            <v>9</v>
          </cell>
          <cell r="C19" t="str">
            <v>Batu Pecah Mesin  2/3</v>
          </cell>
          <cell r="D19" t="str">
            <v>m³</v>
          </cell>
          <cell r="E19">
            <v>60000</v>
          </cell>
        </row>
        <row r="20">
          <cell r="A20" t="str">
            <v>BA10</v>
          </cell>
          <cell r="B20" t="str">
            <v>10</v>
          </cell>
          <cell r="C20" t="str">
            <v>Batu Pecah Mesin  3/5</v>
          </cell>
          <cell r="D20" t="str">
            <v>m³</v>
          </cell>
          <cell r="E20">
            <v>55000</v>
          </cell>
        </row>
        <row r="21">
          <cell r="A21" t="str">
            <v>BA11</v>
          </cell>
          <cell r="B21" t="str">
            <v>11</v>
          </cell>
          <cell r="C21" t="str">
            <v>Batu Pecah Mesin  5/7</v>
          </cell>
          <cell r="D21" t="str">
            <v>m³</v>
          </cell>
          <cell r="E21">
            <v>50000</v>
          </cell>
        </row>
        <row r="22">
          <cell r="A22" t="str">
            <v>BA12</v>
          </cell>
          <cell r="B22" t="str">
            <v>12</v>
          </cell>
          <cell r="C22" t="str">
            <v>Batu Belah Pondasi</v>
          </cell>
          <cell r="D22" t="str">
            <v>m³</v>
          </cell>
          <cell r="E22">
            <v>45000</v>
          </cell>
        </row>
        <row r="23">
          <cell r="A23" t="str">
            <v>BA13</v>
          </cell>
          <cell r="B23" t="str">
            <v>13</v>
          </cell>
          <cell r="C23" t="str">
            <v>Batu Bronjol ( Untuk Bronjong )</v>
          </cell>
          <cell r="D23" t="str">
            <v>m³</v>
          </cell>
          <cell r="E23">
            <v>41000</v>
          </cell>
        </row>
        <row r="24">
          <cell r="A24" t="str">
            <v>BA14</v>
          </cell>
          <cell r="B24" t="str">
            <v>14</v>
          </cell>
          <cell r="C24" t="str">
            <v>Batu Koral Beton Kali</v>
          </cell>
          <cell r="D24" t="str">
            <v>m³</v>
          </cell>
          <cell r="E24">
            <v>50000</v>
          </cell>
        </row>
        <row r="25">
          <cell r="A25" t="str">
            <v>BA15</v>
          </cell>
          <cell r="B25" t="str">
            <v>15</v>
          </cell>
          <cell r="C25" t="str">
            <v xml:space="preserve">Batu Tempel Hitam </v>
          </cell>
          <cell r="D25" t="str">
            <v>m²</v>
          </cell>
          <cell r="E25">
            <v>11000</v>
          </cell>
        </row>
        <row r="26">
          <cell r="A26" t="str">
            <v>BA16</v>
          </cell>
          <cell r="B26" t="str">
            <v>16</v>
          </cell>
          <cell r="C26" t="str">
            <v>Batu Pinggir Beton 10 x 20 x 35</v>
          </cell>
          <cell r="D26" t="str">
            <v>bh</v>
          </cell>
          <cell r="E26">
            <v>58000</v>
          </cell>
        </row>
        <row r="27">
          <cell r="A27" t="str">
            <v>BA17</v>
          </cell>
          <cell r="B27" t="str">
            <v>17</v>
          </cell>
          <cell r="C27" t="str">
            <v>Batu Pinggir Beton 15 x 35 x 50 ( K -225 )</v>
          </cell>
          <cell r="D27" t="str">
            <v>bh</v>
          </cell>
          <cell r="E27">
            <v>13000</v>
          </cell>
        </row>
        <row r="28">
          <cell r="A28" t="str">
            <v>BA18</v>
          </cell>
          <cell r="B28" t="str">
            <v>18</v>
          </cell>
          <cell r="C28" t="str">
            <v>Batu Telor</v>
          </cell>
          <cell r="D28" t="str">
            <v>m³</v>
          </cell>
          <cell r="E28">
            <v>50000</v>
          </cell>
        </row>
        <row r="29">
          <cell r="A29" t="str">
            <v>BA19</v>
          </cell>
          <cell r="B29" t="str">
            <v>19</v>
          </cell>
          <cell r="C29" t="str">
            <v>Batako kecil 8 x 10 x 20</v>
          </cell>
          <cell r="D29" t="str">
            <v>bh</v>
          </cell>
          <cell r="E29">
            <v>500</v>
          </cell>
        </row>
        <row r="30">
          <cell r="A30" t="str">
            <v>BA20</v>
          </cell>
          <cell r="B30" t="str">
            <v>20</v>
          </cell>
          <cell r="C30" t="str">
            <v>Batako Besar 8 x 20 x 30</v>
          </cell>
          <cell r="D30" t="str">
            <v>bh</v>
          </cell>
          <cell r="E30">
            <v>1200</v>
          </cell>
        </row>
        <row r="31">
          <cell r="A31" t="str">
            <v>BA21</v>
          </cell>
          <cell r="B31" t="str">
            <v>21</v>
          </cell>
          <cell r="C31" t="str">
            <v>Con Blok 8 x 20 x 40</v>
          </cell>
          <cell r="D31" t="str">
            <v>bh</v>
          </cell>
          <cell r="E31">
            <v>2600</v>
          </cell>
        </row>
        <row r="32">
          <cell r="A32" t="str">
            <v>BA22</v>
          </cell>
          <cell r="B32" t="str">
            <v>22</v>
          </cell>
          <cell r="C32" t="str">
            <v>Bata Merah Bakar Kelas I</v>
          </cell>
          <cell r="D32" t="str">
            <v>bh</v>
          </cell>
          <cell r="E32">
            <v>220</v>
          </cell>
        </row>
        <row r="33">
          <cell r="A33" t="str">
            <v>BA23</v>
          </cell>
          <cell r="B33" t="str">
            <v>23</v>
          </cell>
          <cell r="C33" t="str">
            <v>Bata Merah Bakar Kelas II</v>
          </cell>
          <cell r="D33" t="str">
            <v>bh</v>
          </cell>
          <cell r="E33">
            <v>200</v>
          </cell>
        </row>
        <row r="34">
          <cell r="A34" t="str">
            <v>BA24</v>
          </cell>
          <cell r="B34" t="str">
            <v>24</v>
          </cell>
          <cell r="C34" t="str">
            <v>Bata Merah Oven ( Klingker )</v>
          </cell>
          <cell r="D34" t="str">
            <v>bh</v>
          </cell>
          <cell r="E34">
            <v>530</v>
          </cell>
        </row>
        <row r="35">
          <cell r="A35" t="str">
            <v>BA25</v>
          </cell>
          <cell r="B35" t="str">
            <v>25</v>
          </cell>
          <cell r="C35" t="str">
            <v>Roster Beton 20 x 20</v>
          </cell>
          <cell r="D35" t="str">
            <v>bh</v>
          </cell>
          <cell r="E35">
            <v>2250</v>
          </cell>
        </row>
        <row r="36">
          <cell r="A36" t="str">
            <v>BA26</v>
          </cell>
          <cell r="B36" t="str">
            <v>26</v>
          </cell>
          <cell r="C36" t="str">
            <v>Roster Beton 30 x 30</v>
          </cell>
          <cell r="D36" t="str">
            <v>bh</v>
          </cell>
          <cell r="E36">
            <v>3000</v>
          </cell>
        </row>
        <row r="37">
          <cell r="A37" t="str">
            <v>BA27</v>
          </cell>
          <cell r="B37" t="str">
            <v>27</v>
          </cell>
          <cell r="C37" t="str">
            <v>Grass Blok 20 x 20</v>
          </cell>
          <cell r="D37" t="str">
            <v>bh</v>
          </cell>
          <cell r="E37">
            <v>2250</v>
          </cell>
        </row>
        <row r="38">
          <cell r="A38" t="str">
            <v>BA28</v>
          </cell>
          <cell r="B38" t="str">
            <v>28</v>
          </cell>
          <cell r="C38" t="str">
            <v>Grass Blok 30 x 30</v>
          </cell>
          <cell r="D38" t="str">
            <v>bh</v>
          </cell>
          <cell r="E38">
            <v>3000</v>
          </cell>
        </row>
        <row r="39">
          <cell r="A39" t="str">
            <v>BA29</v>
          </cell>
          <cell r="B39" t="str">
            <v>29</v>
          </cell>
          <cell r="C39" t="str">
            <v>Paving Blok Natural 8 cm</v>
          </cell>
          <cell r="D39" t="str">
            <v>m²</v>
          </cell>
          <cell r="E39">
            <v>31000</v>
          </cell>
        </row>
        <row r="40">
          <cell r="A40" t="str">
            <v>BA30</v>
          </cell>
          <cell r="B40" t="str">
            <v>30</v>
          </cell>
          <cell r="C40" t="str">
            <v>Paving Blok Warna 8 cm</v>
          </cell>
          <cell r="D40" t="str">
            <v>m²</v>
          </cell>
          <cell r="E40">
            <v>37000</v>
          </cell>
        </row>
        <row r="41">
          <cell r="A41" t="str">
            <v>BA31</v>
          </cell>
          <cell r="B41" t="str">
            <v>31</v>
          </cell>
          <cell r="C41" t="str">
            <v>Paving Blok Natural 6 cm</v>
          </cell>
          <cell r="D41" t="str">
            <v>m²</v>
          </cell>
          <cell r="E41">
            <v>27000</v>
          </cell>
        </row>
        <row r="44">
          <cell r="A44" t="str">
            <v>BA32</v>
          </cell>
          <cell r="B44" t="str">
            <v>32</v>
          </cell>
          <cell r="C44" t="str">
            <v>Paving Blok Warna 6 cm</v>
          </cell>
          <cell r="D44" t="str">
            <v>m²</v>
          </cell>
          <cell r="E44">
            <v>31000</v>
          </cell>
        </row>
        <row r="45">
          <cell r="A45" t="str">
            <v>BA33</v>
          </cell>
          <cell r="B45" t="str">
            <v>33</v>
          </cell>
          <cell r="C45" t="str">
            <v>Kanstin Paving Blok</v>
          </cell>
          <cell r="D45" t="str">
            <v>m1</v>
          </cell>
          <cell r="E45">
            <v>10500</v>
          </cell>
        </row>
        <row r="46">
          <cell r="A46" t="str">
            <v>BA34</v>
          </cell>
          <cell r="B46" t="str">
            <v>34</v>
          </cell>
          <cell r="C46" t="str">
            <v>Semen PC Tiga Roda / 50 kg</v>
          </cell>
          <cell r="D46" t="str">
            <v>zak</v>
          </cell>
          <cell r="E46">
            <v>23500</v>
          </cell>
        </row>
        <row r="47">
          <cell r="A47" t="str">
            <v>BA35</v>
          </cell>
          <cell r="B47" t="str">
            <v>35</v>
          </cell>
          <cell r="C47" t="str">
            <v>Semen Putih</v>
          </cell>
          <cell r="D47" t="str">
            <v>zak</v>
          </cell>
          <cell r="E47">
            <v>42000</v>
          </cell>
        </row>
        <row r="48">
          <cell r="A48" t="str">
            <v>BA36</v>
          </cell>
          <cell r="B48" t="str">
            <v>36</v>
          </cell>
          <cell r="C48" t="str">
            <v>Kanstin Jalan ukuran Besar ( bina Marga ) 1 bh = 60 cm</v>
          </cell>
          <cell r="D48" t="str">
            <v>m³</v>
          </cell>
          <cell r="E48">
            <v>21000</v>
          </cell>
        </row>
        <row r="49">
          <cell r="A49" t="str">
            <v>BA37</v>
          </cell>
          <cell r="B49" t="str">
            <v>37</v>
          </cell>
          <cell r="C49" t="str">
            <v>Readymix Beton K 300, tanpa pompa ( selang )</v>
          </cell>
          <cell r="D49" t="str">
            <v>m³</v>
          </cell>
          <cell r="E49">
            <v>318000</v>
          </cell>
        </row>
        <row r="50">
          <cell r="A50" t="str">
            <v>BA38</v>
          </cell>
          <cell r="B50" t="str">
            <v>38</v>
          </cell>
          <cell r="C50" t="str">
            <v>Readymix Beton K 225, tanpa pompa ( selang )</v>
          </cell>
          <cell r="D50" t="str">
            <v>m³</v>
          </cell>
          <cell r="E50">
            <v>294000</v>
          </cell>
        </row>
        <row r="51">
          <cell r="A51" t="str">
            <v>BA39</v>
          </cell>
          <cell r="B51" t="str">
            <v>39</v>
          </cell>
          <cell r="C51" t="str">
            <v>Readymix Beton K 175, tanpa pompa ( selang )</v>
          </cell>
          <cell r="D51" t="str">
            <v>m³</v>
          </cell>
          <cell r="E51">
            <v>270000</v>
          </cell>
        </row>
        <row r="52">
          <cell r="A52" t="str">
            <v>BA40</v>
          </cell>
          <cell r="B52" t="str">
            <v>40</v>
          </cell>
          <cell r="C52" t="str">
            <v>Kapur Pasang/ kapur tembok</v>
          </cell>
          <cell r="D52" t="str">
            <v>m³</v>
          </cell>
          <cell r="E52">
            <v>62000</v>
          </cell>
        </row>
        <row r="53">
          <cell r="A53" t="str">
            <v>BA41</v>
          </cell>
          <cell r="B53" t="str">
            <v>41</v>
          </cell>
          <cell r="C53" t="str">
            <v>Kapur Sirih</v>
          </cell>
          <cell r="D53" t="str">
            <v>kg</v>
          </cell>
          <cell r="E53">
            <v>4200</v>
          </cell>
        </row>
        <row r="54">
          <cell r="A54" t="str">
            <v>BA42</v>
          </cell>
          <cell r="B54" t="str">
            <v>42</v>
          </cell>
          <cell r="C54" t="str">
            <v>Semen Warna</v>
          </cell>
          <cell r="D54" t="str">
            <v>kg</v>
          </cell>
          <cell r="E54">
            <v>3000</v>
          </cell>
        </row>
        <row r="55">
          <cell r="A55" t="str">
            <v>BA43</v>
          </cell>
          <cell r="B55">
            <v>43</v>
          </cell>
          <cell r="C55" t="str">
            <v>Tanah Liat</v>
          </cell>
          <cell r="D55" t="str">
            <v>m³</v>
          </cell>
          <cell r="E55">
            <v>10000</v>
          </cell>
        </row>
        <row r="57">
          <cell r="C57" t="str">
            <v xml:space="preserve">B. BAHAN FINISHING  : </v>
          </cell>
        </row>
        <row r="58">
          <cell r="C58" t="str">
            <v xml:space="preserve">     LABURAN, PENGISI DAN ALATNYA</v>
          </cell>
        </row>
        <row r="59">
          <cell r="A59" t="str">
            <v>BD01</v>
          </cell>
          <cell r="B59">
            <v>44</v>
          </cell>
          <cell r="C59" t="str">
            <v>Plamir Tembok</v>
          </cell>
          <cell r="D59" t="str">
            <v>kg</v>
          </cell>
          <cell r="E59">
            <v>3900</v>
          </cell>
        </row>
        <row r="60">
          <cell r="A60" t="str">
            <v>BD02</v>
          </cell>
          <cell r="B60">
            <v>45</v>
          </cell>
          <cell r="C60" t="str">
            <v>Cat Tembok ICI Eksterior ( BETON )</v>
          </cell>
          <cell r="D60" t="str">
            <v>lt</v>
          </cell>
          <cell r="E60">
            <v>47100</v>
          </cell>
        </row>
        <row r="61">
          <cell r="A61" t="str">
            <v>BD03</v>
          </cell>
          <cell r="B61">
            <v>46</v>
          </cell>
          <cell r="C61" t="str">
            <v>Cat Tembok ICI Interior ( PLAFOND DAN DINDING )</v>
          </cell>
          <cell r="D61" t="str">
            <v>lt</v>
          </cell>
          <cell r="E61">
            <v>47100</v>
          </cell>
        </row>
        <row r="62">
          <cell r="A62" t="str">
            <v>BD04</v>
          </cell>
          <cell r="B62">
            <v>47</v>
          </cell>
          <cell r="C62" t="str">
            <v>Cat Tembok Vinilex</v>
          </cell>
          <cell r="D62" t="str">
            <v>kg</v>
          </cell>
          <cell r="E62">
            <v>9900</v>
          </cell>
        </row>
        <row r="63">
          <cell r="A63" t="str">
            <v>BD05</v>
          </cell>
          <cell r="B63">
            <v>48</v>
          </cell>
          <cell r="C63" t="str">
            <v>Cat Dasar ICI untuk Interior ( 2 Pelapis ) Rp. 18.000 x 2</v>
          </cell>
          <cell r="D63" t="str">
            <v>lt</v>
          </cell>
          <cell r="E63">
            <v>43900</v>
          </cell>
        </row>
        <row r="64">
          <cell r="A64" t="str">
            <v>BD06</v>
          </cell>
          <cell r="B64">
            <v>49</v>
          </cell>
          <cell r="C64" t="str">
            <v>Cat Tembok Sanlex</v>
          </cell>
          <cell r="D64" t="str">
            <v>kg</v>
          </cell>
          <cell r="E64">
            <v>6800</v>
          </cell>
        </row>
        <row r="65">
          <cell r="A65" t="str">
            <v>BD07</v>
          </cell>
          <cell r="B65">
            <v>50</v>
          </cell>
          <cell r="C65" t="str">
            <v>Cat Tahan Asam</v>
          </cell>
          <cell r="D65" t="str">
            <v>kg</v>
          </cell>
          <cell r="E65">
            <v>15000</v>
          </cell>
        </row>
        <row r="66">
          <cell r="A66" t="str">
            <v>BD08</v>
          </cell>
          <cell r="B66">
            <v>51</v>
          </cell>
          <cell r="C66" t="str">
            <v>Pelapis Alkali ICI ( Cat Dasar Beton Ekterior )</v>
          </cell>
          <cell r="D66" t="str">
            <v>lt</v>
          </cell>
          <cell r="E66">
            <v>25700</v>
          </cell>
        </row>
        <row r="67">
          <cell r="A67" t="str">
            <v>BD09</v>
          </cell>
          <cell r="B67">
            <v>52</v>
          </cell>
          <cell r="C67" t="str">
            <v>Cat Marka / Spotlight</v>
          </cell>
          <cell r="D67" t="str">
            <v>kg</v>
          </cell>
          <cell r="E67">
            <v>47900</v>
          </cell>
        </row>
        <row r="68">
          <cell r="A68" t="str">
            <v>BD10</v>
          </cell>
          <cell r="B68">
            <v>53</v>
          </cell>
          <cell r="C68" t="str">
            <v>Water Profing Emulsion</v>
          </cell>
          <cell r="D68" t="str">
            <v>kg</v>
          </cell>
          <cell r="E68">
            <v>35000</v>
          </cell>
        </row>
        <row r="69">
          <cell r="A69" t="str">
            <v>BD11</v>
          </cell>
          <cell r="B69">
            <v>54</v>
          </cell>
          <cell r="C69" t="str">
            <v>Water Profing Membrance</v>
          </cell>
          <cell r="D69" t="str">
            <v>ml</v>
          </cell>
          <cell r="E69">
            <v>30000</v>
          </cell>
        </row>
        <row r="70">
          <cell r="A70" t="str">
            <v>BD12</v>
          </cell>
          <cell r="B70">
            <v>55</v>
          </cell>
          <cell r="C70" t="str">
            <v>Rool Cat Tembok</v>
          </cell>
          <cell r="D70" t="str">
            <v>bh</v>
          </cell>
          <cell r="E70">
            <v>15000</v>
          </cell>
        </row>
        <row r="71">
          <cell r="A71" t="str">
            <v>BD13</v>
          </cell>
          <cell r="B71">
            <v>56</v>
          </cell>
          <cell r="C71" t="str">
            <v>Kape Tembok</v>
          </cell>
          <cell r="D71" t="str">
            <v>bh</v>
          </cell>
          <cell r="E71">
            <v>3000</v>
          </cell>
        </row>
        <row r="72">
          <cell r="A72" t="str">
            <v>BD14</v>
          </cell>
          <cell r="B72">
            <v>57</v>
          </cell>
          <cell r="C72" t="str">
            <v>Kape Kayu</v>
          </cell>
          <cell r="D72" t="str">
            <v>bh</v>
          </cell>
          <cell r="E72">
            <v>3500</v>
          </cell>
        </row>
        <row r="73">
          <cell r="A73" t="str">
            <v>BD15</v>
          </cell>
          <cell r="B73">
            <v>58</v>
          </cell>
          <cell r="C73" t="str">
            <v>Soligneum 1 blek</v>
          </cell>
          <cell r="D73" t="str">
            <v>5 lt</v>
          </cell>
          <cell r="E73">
            <v>15000</v>
          </cell>
        </row>
        <row r="74">
          <cell r="A74" t="str">
            <v>BD16</v>
          </cell>
          <cell r="B74">
            <v>59</v>
          </cell>
          <cell r="C74" t="str">
            <v>Plincote</v>
          </cell>
          <cell r="D74" t="str">
            <v>kg</v>
          </cell>
          <cell r="E74">
            <v>15000</v>
          </cell>
        </row>
        <row r="75">
          <cell r="A75" t="str">
            <v>BD17</v>
          </cell>
          <cell r="B75">
            <v>60</v>
          </cell>
          <cell r="C75" t="str">
            <v>Pengawetan Kayu</v>
          </cell>
          <cell r="D75" t="str">
            <v>m³</v>
          </cell>
          <cell r="E75">
            <v>150000</v>
          </cell>
        </row>
        <row r="76">
          <cell r="A76" t="str">
            <v>BD18</v>
          </cell>
          <cell r="B76">
            <v>61</v>
          </cell>
          <cell r="C76" t="str">
            <v>Pengopenan Kayu</v>
          </cell>
          <cell r="D76" t="str">
            <v>m³</v>
          </cell>
          <cell r="E76">
            <v>200000</v>
          </cell>
        </row>
        <row r="77">
          <cell r="A77" t="str">
            <v>BD19</v>
          </cell>
          <cell r="B77">
            <v>62</v>
          </cell>
          <cell r="C77" t="str">
            <v>Kwas 3"</v>
          </cell>
          <cell r="D77" t="str">
            <v>bh</v>
          </cell>
          <cell r="E77">
            <v>6000</v>
          </cell>
        </row>
        <row r="78">
          <cell r="A78" t="str">
            <v>BD20</v>
          </cell>
          <cell r="B78">
            <v>63</v>
          </cell>
          <cell r="C78" t="str">
            <v>Oker</v>
          </cell>
          <cell r="D78" t="str">
            <v>kg</v>
          </cell>
          <cell r="E78">
            <v>12750</v>
          </cell>
        </row>
        <row r="79">
          <cell r="A79" t="str">
            <v>BD21</v>
          </cell>
          <cell r="B79">
            <v>64</v>
          </cell>
          <cell r="C79" t="str">
            <v>Oyan</v>
          </cell>
          <cell r="D79" t="str">
            <v>bks</v>
          </cell>
          <cell r="E79">
            <v>1000</v>
          </cell>
        </row>
        <row r="80">
          <cell r="A80" t="str">
            <v>BD22</v>
          </cell>
          <cell r="B80">
            <v>65</v>
          </cell>
          <cell r="C80" t="str">
            <v>Oten (Pewarna Plitur )</v>
          </cell>
          <cell r="D80" t="str">
            <v>bks</v>
          </cell>
          <cell r="E80">
            <v>1000</v>
          </cell>
        </row>
        <row r="81">
          <cell r="A81" t="str">
            <v>BD23</v>
          </cell>
          <cell r="B81">
            <v>66</v>
          </cell>
          <cell r="C81" t="str">
            <v>Spirtus</v>
          </cell>
          <cell r="D81" t="str">
            <v>lt</v>
          </cell>
          <cell r="E81">
            <v>6000</v>
          </cell>
        </row>
        <row r="82">
          <cell r="A82" t="str">
            <v>BD24</v>
          </cell>
          <cell r="B82">
            <v>67</v>
          </cell>
          <cell r="C82" t="str">
            <v>Bahan Plitur Kripik ( Sirlak India )</v>
          </cell>
          <cell r="D82" t="str">
            <v>kg</v>
          </cell>
          <cell r="E82">
            <v>46000</v>
          </cell>
        </row>
        <row r="85">
          <cell r="A85" t="str">
            <v>BD25</v>
          </cell>
          <cell r="B85">
            <v>68</v>
          </cell>
          <cell r="C85" t="str">
            <v>Dempul Lilin</v>
          </cell>
          <cell r="D85" t="str">
            <v>kg</v>
          </cell>
          <cell r="E85">
            <v>8100</v>
          </cell>
        </row>
        <row r="86">
          <cell r="A86" t="str">
            <v>BD26</v>
          </cell>
          <cell r="B86">
            <v>69</v>
          </cell>
          <cell r="C86" t="str">
            <v>Dempul Plitur</v>
          </cell>
          <cell r="D86" t="str">
            <v>kg</v>
          </cell>
          <cell r="E86">
            <v>11500</v>
          </cell>
        </row>
        <row r="87">
          <cell r="A87" t="str">
            <v>BD27</v>
          </cell>
          <cell r="B87">
            <v>70</v>
          </cell>
          <cell r="C87" t="str">
            <v>Dempul Halus / Imfra ( Wood Filler )</v>
          </cell>
          <cell r="D87" t="str">
            <v>kg</v>
          </cell>
          <cell r="E87">
            <v>17300</v>
          </cell>
        </row>
        <row r="88">
          <cell r="A88" t="str">
            <v>BD28</v>
          </cell>
          <cell r="B88">
            <v>71</v>
          </cell>
          <cell r="C88" t="str">
            <v>Terpentin</v>
          </cell>
          <cell r="D88" t="str">
            <v>lt</v>
          </cell>
          <cell r="E88">
            <v>1700</v>
          </cell>
        </row>
        <row r="89">
          <cell r="A89" t="str">
            <v>BD29</v>
          </cell>
          <cell r="B89">
            <v>72</v>
          </cell>
          <cell r="C89" t="str">
            <v>Tiner A</v>
          </cell>
          <cell r="D89" t="str">
            <v>lt</v>
          </cell>
          <cell r="E89">
            <v>7500</v>
          </cell>
        </row>
        <row r="90">
          <cell r="A90" t="str">
            <v>BD30</v>
          </cell>
          <cell r="B90">
            <v>73</v>
          </cell>
          <cell r="C90" t="str">
            <v>Tiner B</v>
          </cell>
          <cell r="D90" t="str">
            <v>lt</v>
          </cell>
          <cell r="E90">
            <v>11500</v>
          </cell>
        </row>
        <row r="91">
          <cell r="A91" t="str">
            <v>BD31</v>
          </cell>
          <cell r="B91">
            <v>74</v>
          </cell>
          <cell r="C91" t="str">
            <v>Kumpon</v>
          </cell>
          <cell r="D91" t="str">
            <v>kg</v>
          </cell>
          <cell r="E91">
            <v>11500</v>
          </cell>
        </row>
        <row r="92">
          <cell r="A92" t="str">
            <v>BD32</v>
          </cell>
          <cell r="B92">
            <v>75</v>
          </cell>
          <cell r="C92" t="str">
            <v>Melamik</v>
          </cell>
          <cell r="D92" t="str">
            <v>kg</v>
          </cell>
          <cell r="E92">
            <v>20100</v>
          </cell>
        </row>
        <row r="93">
          <cell r="A93" t="str">
            <v>BD33</v>
          </cell>
          <cell r="B93">
            <v>76</v>
          </cell>
          <cell r="C93" t="str">
            <v>Dempul Plastik</v>
          </cell>
          <cell r="D93" t="str">
            <v>kg</v>
          </cell>
          <cell r="E93">
            <v>14400</v>
          </cell>
        </row>
        <row r="94">
          <cell r="A94" t="str">
            <v>BD34</v>
          </cell>
          <cell r="B94">
            <v>77</v>
          </cell>
          <cell r="C94" t="str">
            <v>Dempul Duco</v>
          </cell>
          <cell r="D94" t="str">
            <v>kg</v>
          </cell>
          <cell r="E94">
            <v>17300</v>
          </cell>
        </row>
        <row r="95">
          <cell r="A95" t="str">
            <v>BD35</v>
          </cell>
          <cell r="B95">
            <v>78</v>
          </cell>
          <cell r="C95" t="str">
            <v>Ampelas</v>
          </cell>
          <cell r="D95" t="str">
            <v>lbr</v>
          </cell>
          <cell r="E95">
            <v>2300</v>
          </cell>
        </row>
        <row r="96">
          <cell r="A96" t="str">
            <v>BD36</v>
          </cell>
          <cell r="B96">
            <v>79</v>
          </cell>
          <cell r="C96" t="str">
            <v>Dempul Kayu Cap Kucing</v>
          </cell>
          <cell r="D96" t="str">
            <v>kg</v>
          </cell>
          <cell r="E96">
            <v>8600</v>
          </cell>
        </row>
        <row r="97">
          <cell r="A97" t="str">
            <v>BD37</v>
          </cell>
          <cell r="B97">
            <v>80</v>
          </cell>
          <cell r="C97" t="str">
            <v>Meni Kayu / Besi</v>
          </cell>
          <cell r="D97" t="str">
            <v>kg</v>
          </cell>
          <cell r="E97">
            <v>6900</v>
          </cell>
        </row>
        <row r="98">
          <cell r="A98" t="str">
            <v>BD38</v>
          </cell>
          <cell r="B98">
            <v>81</v>
          </cell>
          <cell r="C98" t="str">
            <v>Sincromat</v>
          </cell>
          <cell r="D98" t="str">
            <v>kg</v>
          </cell>
          <cell r="E98">
            <v>22000</v>
          </cell>
        </row>
        <row r="99">
          <cell r="A99" t="str">
            <v>BD39</v>
          </cell>
          <cell r="B99">
            <v>82</v>
          </cell>
          <cell r="C99" t="str">
            <v>Cat Kayu Sieve</v>
          </cell>
          <cell r="D99" t="str">
            <v>kg</v>
          </cell>
          <cell r="E99">
            <v>21000</v>
          </cell>
        </row>
        <row r="100">
          <cell r="A100" t="str">
            <v>BD40</v>
          </cell>
          <cell r="B100">
            <v>83</v>
          </cell>
          <cell r="C100" t="str">
            <v>Cat Besi Sieve</v>
          </cell>
          <cell r="D100" t="str">
            <v>kg</v>
          </cell>
          <cell r="E100">
            <v>21000</v>
          </cell>
        </row>
        <row r="101">
          <cell r="A101" t="str">
            <v>BD41</v>
          </cell>
          <cell r="B101">
            <v>84</v>
          </cell>
          <cell r="C101" t="str">
            <v>Cat Besi Duco Danaglos/ICI</v>
          </cell>
          <cell r="D101" t="str">
            <v>kg</v>
          </cell>
          <cell r="E101">
            <v>41000</v>
          </cell>
        </row>
        <row r="102">
          <cell r="A102" t="str">
            <v>BD42</v>
          </cell>
          <cell r="B102">
            <v>85</v>
          </cell>
          <cell r="C102" t="str">
            <v>Cat Bron</v>
          </cell>
          <cell r="D102" t="str">
            <v>kg</v>
          </cell>
          <cell r="E102">
            <v>25000</v>
          </cell>
        </row>
        <row r="104">
          <cell r="C104" t="str">
            <v>C. BAHAN KAYU BERIKUT BAHAN JADINYA</v>
          </cell>
        </row>
        <row r="105">
          <cell r="A105" t="str">
            <v>BF01</v>
          </cell>
          <cell r="B105">
            <v>86</v>
          </cell>
          <cell r="C105" t="str">
            <v>Bambu Ø 5 s.d 7</v>
          </cell>
          <cell r="D105" t="str">
            <v>bt</v>
          </cell>
          <cell r="E105">
            <v>10000</v>
          </cell>
        </row>
        <row r="106">
          <cell r="A106" t="str">
            <v>BF02</v>
          </cell>
          <cell r="B106">
            <v>87</v>
          </cell>
          <cell r="C106" t="str">
            <v>Bambu Ø 7 s.d 10</v>
          </cell>
          <cell r="D106" t="str">
            <v>bt</v>
          </cell>
          <cell r="E106">
            <v>15000</v>
          </cell>
        </row>
        <row r="107">
          <cell r="A107" t="str">
            <v>BF03</v>
          </cell>
          <cell r="B107">
            <v>88</v>
          </cell>
          <cell r="C107" t="str">
            <v>Bambu Gombong</v>
          </cell>
          <cell r="D107" t="str">
            <v>bt</v>
          </cell>
          <cell r="E107">
            <v>30000</v>
          </cell>
        </row>
        <row r="108">
          <cell r="A108" t="str">
            <v>BF04</v>
          </cell>
          <cell r="B108">
            <v>89</v>
          </cell>
          <cell r="C108" t="str">
            <v>Kayu Terentang</v>
          </cell>
          <cell r="D108" t="str">
            <v>m³</v>
          </cell>
          <cell r="E108">
            <v>750000</v>
          </cell>
        </row>
        <row r="109">
          <cell r="B109">
            <v>90</v>
          </cell>
          <cell r="C109" t="str">
            <v>Kayu Kamper Singkil / Kapur (K. Samarinda Klas III)</v>
          </cell>
          <cell r="D109" t="str">
            <v>m³</v>
          </cell>
          <cell r="E109">
            <v>2695000</v>
          </cell>
        </row>
        <row r="110">
          <cell r="A110" t="str">
            <v>BF05</v>
          </cell>
          <cell r="B110">
            <v>91</v>
          </cell>
          <cell r="C110" t="str">
            <v>Kayu Balok Borneo Super</v>
          </cell>
          <cell r="D110" t="str">
            <v>m³</v>
          </cell>
          <cell r="E110">
            <v>1375000</v>
          </cell>
        </row>
        <row r="111">
          <cell r="A111" t="str">
            <v>BF06</v>
          </cell>
          <cell r="B111">
            <v>91</v>
          </cell>
          <cell r="C111" t="str">
            <v>Kayu Papan Borneo Super</v>
          </cell>
          <cell r="D111" t="str">
            <v>m³</v>
          </cell>
          <cell r="E111">
            <v>1430000</v>
          </cell>
        </row>
        <row r="112">
          <cell r="A112" t="str">
            <v>BF07</v>
          </cell>
          <cell r="B112">
            <v>92</v>
          </cell>
          <cell r="C112" t="str">
            <v>Kayu Balok Kamper Medan (kruing)</v>
          </cell>
          <cell r="D112" t="str">
            <v>m³</v>
          </cell>
          <cell r="E112">
            <v>1980000</v>
          </cell>
        </row>
        <row r="113">
          <cell r="A113" t="str">
            <v>BF08</v>
          </cell>
          <cell r="B113">
            <v>93</v>
          </cell>
          <cell r="C113" t="str">
            <v>Kayu Papan Kamper Medan (Kruing)</v>
          </cell>
          <cell r="D113" t="str">
            <v>m³</v>
          </cell>
          <cell r="E113">
            <v>2090000</v>
          </cell>
        </row>
        <row r="114">
          <cell r="A114" t="str">
            <v>BF09</v>
          </cell>
          <cell r="B114">
            <v>94</v>
          </cell>
          <cell r="C114" t="str">
            <v>Kayu Balok Kamper Banjar</v>
          </cell>
          <cell r="D114" t="str">
            <v>m³</v>
          </cell>
          <cell r="E114">
            <v>2365000</v>
          </cell>
        </row>
        <row r="115">
          <cell r="A115" t="str">
            <v>BF10</v>
          </cell>
          <cell r="B115">
            <v>95</v>
          </cell>
          <cell r="C115" t="str">
            <v>Kayu Papan Kamper Banjar</v>
          </cell>
          <cell r="D115" t="str">
            <v>m³</v>
          </cell>
          <cell r="E115">
            <v>2475000</v>
          </cell>
        </row>
        <row r="116">
          <cell r="A116" t="str">
            <v>BF11</v>
          </cell>
          <cell r="B116">
            <v>96</v>
          </cell>
          <cell r="C116" t="str">
            <v>Kayu Balok Kamper Samarinda</v>
          </cell>
          <cell r="D116" t="str">
            <v>m³</v>
          </cell>
          <cell r="E116">
            <v>3795000</v>
          </cell>
        </row>
        <row r="117">
          <cell r="A117" t="str">
            <v>BF12</v>
          </cell>
          <cell r="B117">
            <v>97</v>
          </cell>
          <cell r="C117" t="str">
            <v>Kayu Papan Kamper Samarinda</v>
          </cell>
          <cell r="D117" t="str">
            <v>m³</v>
          </cell>
          <cell r="E117">
            <v>3905000</v>
          </cell>
        </row>
        <row r="118">
          <cell r="A118" t="str">
            <v>BF13</v>
          </cell>
          <cell r="B118">
            <v>98</v>
          </cell>
          <cell r="C118" t="str">
            <v>Kayu Balok Rasamala</v>
          </cell>
          <cell r="D118" t="str">
            <v>m³</v>
          </cell>
          <cell r="E118">
            <v>900000</v>
          </cell>
        </row>
        <row r="119">
          <cell r="A119" t="str">
            <v>BF14</v>
          </cell>
          <cell r="B119">
            <v>99</v>
          </cell>
          <cell r="C119" t="str">
            <v>Kayu Jati Jatim Tua Lepas Mata dari dia. 80 cm keatas</v>
          </cell>
          <cell r="D119" t="str">
            <v>m³</v>
          </cell>
          <cell r="E119">
            <v>19800000</v>
          </cell>
        </row>
        <row r="120">
          <cell r="A120" t="str">
            <v>BF15</v>
          </cell>
          <cell r="B120">
            <v>100</v>
          </cell>
          <cell r="C120" t="str">
            <v>Kayu Jati Jateng Tua Lepas Mata dari dia. 80 cm keatas</v>
          </cell>
          <cell r="D120" t="str">
            <v>m³</v>
          </cell>
          <cell r="E120">
            <v>13750000</v>
          </cell>
        </row>
        <row r="121">
          <cell r="A121" t="str">
            <v>BF16</v>
          </cell>
          <cell r="B121">
            <v>101</v>
          </cell>
          <cell r="C121" t="str">
            <v>Kayu Jati Jabar Tua Lepas Mata dari dia. 80 cm keatas</v>
          </cell>
          <cell r="D121" t="str">
            <v>m³</v>
          </cell>
          <cell r="E121">
            <v>7600000</v>
          </cell>
        </row>
        <row r="122">
          <cell r="A122" t="str">
            <v>BF17</v>
          </cell>
          <cell r="B122">
            <v>102</v>
          </cell>
          <cell r="C122" t="str">
            <v xml:space="preserve">Kayu Jati Jabar dia. 40 cm kebawah </v>
          </cell>
          <cell r="D122" t="str">
            <v>m³</v>
          </cell>
          <cell r="E122">
            <v>4100000</v>
          </cell>
        </row>
        <row r="123">
          <cell r="A123" t="str">
            <v>BF18</v>
          </cell>
          <cell r="B123">
            <v>103</v>
          </cell>
          <cell r="C123" t="str">
            <v xml:space="preserve">Kayu Hutan Kelas I ( Segeng, Mahoni, Laban ) </v>
          </cell>
          <cell r="D123" t="str">
            <v>m³</v>
          </cell>
          <cell r="E123">
            <v>950000</v>
          </cell>
        </row>
        <row r="124">
          <cell r="A124" t="str">
            <v>BF19</v>
          </cell>
          <cell r="B124">
            <v>104</v>
          </cell>
          <cell r="C124" t="str">
            <v>Kayu Albasia</v>
          </cell>
          <cell r="D124" t="str">
            <v>m³</v>
          </cell>
          <cell r="E124">
            <v>650000</v>
          </cell>
        </row>
        <row r="127">
          <cell r="A127" t="str">
            <v>BF20</v>
          </cell>
          <cell r="B127">
            <v>105</v>
          </cell>
          <cell r="C127" t="str">
            <v>Dolken 5 s/d 7</v>
          </cell>
          <cell r="D127" t="str">
            <v>bt</v>
          </cell>
          <cell r="E127">
            <v>9000</v>
          </cell>
        </row>
        <row r="128">
          <cell r="A128" t="str">
            <v>BF21</v>
          </cell>
          <cell r="B128">
            <v>106</v>
          </cell>
          <cell r="C128" t="str">
            <v>Dolken 7 s/d 10</v>
          </cell>
          <cell r="D128" t="str">
            <v>bt</v>
          </cell>
          <cell r="E128">
            <v>12000</v>
          </cell>
        </row>
        <row r="129">
          <cell r="A129" t="str">
            <v>BF22</v>
          </cell>
          <cell r="B129">
            <v>107</v>
          </cell>
          <cell r="C129" t="str">
            <v>List profil kamper 1 cm</v>
          </cell>
          <cell r="D129" t="str">
            <v>m1</v>
          </cell>
          <cell r="E129">
            <v>1000</v>
          </cell>
        </row>
        <row r="130">
          <cell r="A130" t="str">
            <v>BF23</v>
          </cell>
          <cell r="B130">
            <v>108</v>
          </cell>
          <cell r="C130" t="str">
            <v>List profil kamper 2 cm</v>
          </cell>
          <cell r="D130" t="str">
            <v>m1</v>
          </cell>
          <cell r="E130">
            <v>1750</v>
          </cell>
        </row>
        <row r="131">
          <cell r="A131" t="str">
            <v>BF24</v>
          </cell>
          <cell r="B131">
            <v>109</v>
          </cell>
          <cell r="C131" t="str">
            <v>List profil kamper 4 cm</v>
          </cell>
          <cell r="D131" t="str">
            <v>m1</v>
          </cell>
          <cell r="E131">
            <v>4000</v>
          </cell>
        </row>
        <row r="132">
          <cell r="A132" t="str">
            <v>BF25</v>
          </cell>
          <cell r="B132">
            <v>110</v>
          </cell>
          <cell r="C132" t="str">
            <v>List profil kamper 5 cm</v>
          </cell>
          <cell r="D132" t="str">
            <v>m1</v>
          </cell>
          <cell r="E132">
            <v>6500</v>
          </cell>
        </row>
        <row r="133">
          <cell r="A133" t="str">
            <v>BF26</v>
          </cell>
          <cell r="B133">
            <v>111</v>
          </cell>
          <cell r="C133" t="str">
            <v>List profil kamper 10 cm</v>
          </cell>
          <cell r="D133" t="str">
            <v>m1</v>
          </cell>
          <cell r="E133">
            <v>12500</v>
          </cell>
        </row>
        <row r="134">
          <cell r="A134" t="str">
            <v>BF27</v>
          </cell>
          <cell r="B134">
            <v>112</v>
          </cell>
          <cell r="C134" t="str">
            <v>Pegangan Tangga profil Jati</v>
          </cell>
          <cell r="D134" t="str">
            <v>m1</v>
          </cell>
          <cell r="E134">
            <v>69000</v>
          </cell>
        </row>
        <row r="135">
          <cell r="A135" t="str">
            <v>BF28</v>
          </cell>
          <cell r="B135">
            <v>113</v>
          </cell>
          <cell r="C135" t="str">
            <v>Pegangan Tangga profil Kamper</v>
          </cell>
          <cell r="D135" t="str">
            <v>m1</v>
          </cell>
          <cell r="E135">
            <v>20000</v>
          </cell>
        </row>
        <row r="136">
          <cell r="A136" t="str">
            <v>BF29</v>
          </cell>
          <cell r="B136">
            <v>114</v>
          </cell>
          <cell r="C136" t="str">
            <v>Kayu Reng 2/3 Borneo Super</v>
          </cell>
          <cell r="D136" t="str">
            <v>m1</v>
          </cell>
          <cell r="E136">
            <v>700</v>
          </cell>
        </row>
        <row r="137">
          <cell r="A137" t="str">
            <v>BF30</v>
          </cell>
          <cell r="B137">
            <v>115</v>
          </cell>
          <cell r="C137" t="str">
            <v>Kayu Reng 2/3 Kamper Banjar</v>
          </cell>
          <cell r="D137" t="str">
            <v>m1</v>
          </cell>
          <cell r="E137">
            <v>1200</v>
          </cell>
        </row>
        <row r="138">
          <cell r="A138" t="str">
            <v>BF31</v>
          </cell>
          <cell r="B138">
            <v>116</v>
          </cell>
          <cell r="C138" t="str">
            <v>Kayu Reng 3/4 Kamper Banjar</v>
          </cell>
          <cell r="D138" t="str">
            <v>m1</v>
          </cell>
          <cell r="E138">
            <v>1600</v>
          </cell>
        </row>
        <row r="140">
          <cell r="C140" t="str">
            <v>D. BAHAN PENUTUP RANGKA PLAFOND</v>
          </cell>
        </row>
        <row r="141">
          <cell r="A141" t="str">
            <v>BH01</v>
          </cell>
          <cell r="B141">
            <v>117</v>
          </cell>
          <cell r="C141" t="str">
            <v>Bahan plafond Enternit 4 mm</v>
          </cell>
          <cell r="D141" t="str">
            <v>m²</v>
          </cell>
          <cell r="E141">
            <v>4500</v>
          </cell>
        </row>
        <row r="142">
          <cell r="A142" t="str">
            <v>BH02</v>
          </cell>
          <cell r="B142">
            <v>118</v>
          </cell>
          <cell r="C142" t="str">
            <v>Bahan plafond hardpleks 5 mm 120 x 240</v>
          </cell>
          <cell r="D142" t="str">
            <v>lbr</v>
          </cell>
          <cell r="E142">
            <v>43500</v>
          </cell>
        </row>
        <row r="143">
          <cell r="A143" t="str">
            <v>BH03</v>
          </cell>
          <cell r="B143">
            <v>119</v>
          </cell>
          <cell r="C143" t="str">
            <v>Bahan plafond Asbes Semen 5 mm</v>
          </cell>
          <cell r="D143" t="str">
            <v>m²</v>
          </cell>
          <cell r="E143">
            <v>8500</v>
          </cell>
        </row>
        <row r="144">
          <cell r="A144" t="str">
            <v>BH04</v>
          </cell>
          <cell r="B144">
            <v>120</v>
          </cell>
          <cell r="C144" t="str">
            <v>Gypsum 120 x 240  t = 9 mm ex DN</v>
          </cell>
          <cell r="D144" t="str">
            <v>lbr</v>
          </cell>
          <cell r="E144">
            <v>33000</v>
          </cell>
        </row>
        <row r="145">
          <cell r="A145" t="str">
            <v>BH05</v>
          </cell>
          <cell r="B145">
            <v>121</v>
          </cell>
          <cell r="C145" t="str">
            <v>Gypsum 120 x 240  t = 9 mm ex Luar</v>
          </cell>
          <cell r="D145" t="str">
            <v>lbr</v>
          </cell>
          <cell r="E145">
            <v>42500</v>
          </cell>
        </row>
        <row r="146">
          <cell r="A146" t="str">
            <v>BH06</v>
          </cell>
          <cell r="B146">
            <v>122</v>
          </cell>
          <cell r="C146" t="str">
            <v xml:space="preserve">Acustik Amstrong 60 x 120 </v>
          </cell>
          <cell r="D146" t="str">
            <v>lbr</v>
          </cell>
          <cell r="E146">
            <v>63000</v>
          </cell>
        </row>
        <row r="148">
          <cell r="C148" t="str">
            <v>E. BAHAN KAYU LAPIS</v>
          </cell>
        </row>
        <row r="149">
          <cell r="A149" t="str">
            <v>BJ01</v>
          </cell>
          <cell r="B149">
            <v>123</v>
          </cell>
          <cell r="C149" t="str">
            <v>Triplek 3 mm 120 x 240</v>
          </cell>
          <cell r="D149" t="str">
            <v>lbr</v>
          </cell>
          <cell r="E149">
            <v>30200</v>
          </cell>
        </row>
        <row r="150">
          <cell r="A150" t="str">
            <v>BJ02</v>
          </cell>
          <cell r="B150">
            <v>124</v>
          </cell>
          <cell r="C150" t="str">
            <v>Triplek 4 mm 120 x 240</v>
          </cell>
          <cell r="D150" t="str">
            <v>lbr</v>
          </cell>
          <cell r="E150">
            <v>36600</v>
          </cell>
        </row>
        <row r="151">
          <cell r="A151" t="str">
            <v>BJ03</v>
          </cell>
          <cell r="B151">
            <v>125</v>
          </cell>
          <cell r="C151" t="str">
            <v>Triplek 4 mm Ukuran Pintu</v>
          </cell>
          <cell r="D151" t="str">
            <v>lbr</v>
          </cell>
          <cell r="E151">
            <v>24400</v>
          </cell>
        </row>
        <row r="152">
          <cell r="A152" t="str">
            <v>BJ04</v>
          </cell>
          <cell r="B152">
            <v>126</v>
          </cell>
          <cell r="C152" t="str">
            <v>Triplek 6 mm 120 x 240</v>
          </cell>
          <cell r="D152" t="str">
            <v>lbr</v>
          </cell>
          <cell r="E152">
            <v>53600</v>
          </cell>
        </row>
        <row r="153">
          <cell r="A153" t="str">
            <v>BJ05</v>
          </cell>
          <cell r="B153">
            <v>127</v>
          </cell>
          <cell r="C153" t="str">
            <v>Triplek 9 mm 120 x 240</v>
          </cell>
          <cell r="D153" t="str">
            <v>lbr</v>
          </cell>
          <cell r="E153">
            <v>82900</v>
          </cell>
        </row>
        <row r="154">
          <cell r="A154" t="str">
            <v>BJ06</v>
          </cell>
          <cell r="B154">
            <v>128</v>
          </cell>
          <cell r="C154" t="str">
            <v>Jabar Wood 4 mm</v>
          </cell>
          <cell r="D154" t="str">
            <v>lbr</v>
          </cell>
          <cell r="E154">
            <v>48800</v>
          </cell>
        </row>
        <row r="155">
          <cell r="A155" t="str">
            <v>BJ07</v>
          </cell>
          <cell r="B155">
            <v>129</v>
          </cell>
          <cell r="C155" t="str">
            <v>Bilik Bambu ( tanpa kulit )</v>
          </cell>
          <cell r="D155" t="str">
            <v>m²</v>
          </cell>
          <cell r="E155">
            <v>4900</v>
          </cell>
        </row>
        <row r="156">
          <cell r="A156" t="str">
            <v>BJ08</v>
          </cell>
          <cell r="B156">
            <v>130</v>
          </cell>
          <cell r="C156" t="str">
            <v>Bilik Bambu ( dengan kulit )</v>
          </cell>
          <cell r="D156" t="str">
            <v>m²</v>
          </cell>
          <cell r="E156">
            <v>7300</v>
          </cell>
        </row>
        <row r="157">
          <cell r="A157" t="str">
            <v>BJ09</v>
          </cell>
          <cell r="B157">
            <v>131</v>
          </cell>
          <cell r="C157" t="str">
            <v>Bilik Bambu Hitam Variasi</v>
          </cell>
          <cell r="D157" t="str">
            <v>m²</v>
          </cell>
          <cell r="E157">
            <v>9800</v>
          </cell>
        </row>
        <row r="158">
          <cell r="A158" t="str">
            <v>BJ10</v>
          </cell>
          <cell r="B158">
            <v>132</v>
          </cell>
          <cell r="C158" t="str">
            <v>Wall Paper ( kls menengah )</v>
          </cell>
          <cell r="D158" t="str">
            <v>m²</v>
          </cell>
          <cell r="E158">
            <v>24400</v>
          </cell>
        </row>
        <row r="159">
          <cell r="A159" t="str">
            <v>BJ11</v>
          </cell>
          <cell r="B159">
            <v>133</v>
          </cell>
          <cell r="C159" t="str">
            <v>Multiplek 9 mm 120 x 240</v>
          </cell>
          <cell r="D159" t="str">
            <v>lbr</v>
          </cell>
          <cell r="E159">
            <v>71200</v>
          </cell>
        </row>
        <row r="160">
          <cell r="A160" t="str">
            <v>BJ12</v>
          </cell>
          <cell r="B160">
            <v>134</v>
          </cell>
          <cell r="C160" t="str">
            <v>Multiplek 12 mm 120 x 240</v>
          </cell>
          <cell r="D160" t="str">
            <v>lbr</v>
          </cell>
          <cell r="E160">
            <v>92600</v>
          </cell>
        </row>
        <row r="161">
          <cell r="A161" t="str">
            <v>BJ13</v>
          </cell>
          <cell r="B161">
            <v>135</v>
          </cell>
          <cell r="C161" t="str">
            <v>Multiplek 18 mm 120 x 240</v>
          </cell>
          <cell r="D161" t="str">
            <v>lbr</v>
          </cell>
          <cell r="E161">
            <v>121900</v>
          </cell>
        </row>
        <row r="162">
          <cell r="A162" t="str">
            <v>BJ14</v>
          </cell>
          <cell r="B162">
            <v>136</v>
          </cell>
          <cell r="C162" t="str">
            <v>Play Wood 18 mm 120 x 240</v>
          </cell>
          <cell r="D162" t="str">
            <v>lbr</v>
          </cell>
          <cell r="E162">
            <v>160900</v>
          </cell>
        </row>
        <row r="163">
          <cell r="A163" t="str">
            <v>BJ15</v>
          </cell>
          <cell r="B163">
            <v>137</v>
          </cell>
          <cell r="C163" t="str">
            <v>Teak Wood 3 mm 120 x 240</v>
          </cell>
          <cell r="D163" t="str">
            <v>lbr</v>
          </cell>
          <cell r="E163">
            <v>58500</v>
          </cell>
        </row>
        <row r="164">
          <cell r="A164" t="str">
            <v>BJ16</v>
          </cell>
          <cell r="B164">
            <v>138</v>
          </cell>
          <cell r="C164" t="str">
            <v>Teak Wood 4 mm 120 x 240</v>
          </cell>
          <cell r="D164" t="str">
            <v>lbr</v>
          </cell>
          <cell r="E164">
            <v>65800</v>
          </cell>
        </row>
        <row r="165">
          <cell r="A165" t="str">
            <v>BJ17</v>
          </cell>
          <cell r="B165">
            <v>139</v>
          </cell>
          <cell r="C165" t="str">
            <v xml:space="preserve">Teak Wood 3 mm 120 x 240 Ukuran Pintu </v>
          </cell>
          <cell r="D165" t="str">
            <v>lbr</v>
          </cell>
          <cell r="E165">
            <v>43900</v>
          </cell>
        </row>
        <row r="168">
          <cell r="A168" t="str">
            <v>BJ18</v>
          </cell>
          <cell r="B168">
            <v>140</v>
          </cell>
          <cell r="C168" t="str">
            <v>Teak Wood ukuran Pintu 4 mm</v>
          </cell>
          <cell r="D168" t="str">
            <v>lbr</v>
          </cell>
          <cell r="E168">
            <v>53600</v>
          </cell>
        </row>
        <row r="169">
          <cell r="A169" t="str">
            <v>BJ19</v>
          </cell>
          <cell r="B169">
            <v>141</v>
          </cell>
          <cell r="C169" t="str">
            <v>Tacon ( tahan bakar )</v>
          </cell>
          <cell r="D169" t="str">
            <v>m²</v>
          </cell>
          <cell r="E169">
            <v>58500</v>
          </cell>
        </row>
        <row r="170">
          <cell r="A170" t="str">
            <v>BJ20</v>
          </cell>
          <cell r="B170">
            <v>142</v>
          </cell>
          <cell r="C170" t="str">
            <v>Supercon</v>
          </cell>
          <cell r="D170" t="str">
            <v>m²</v>
          </cell>
          <cell r="E170">
            <v>20500</v>
          </cell>
        </row>
        <row r="171">
          <cell r="A171" t="str">
            <v>BJ21</v>
          </cell>
          <cell r="B171">
            <v>143</v>
          </cell>
          <cell r="C171" t="str">
            <v xml:space="preserve">Melamin 4 mm 120 x 240 </v>
          </cell>
          <cell r="D171" t="str">
            <v>lbr</v>
          </cell>
          <cell r="E171">
            <v>63400</v>
          </cell>
        </row>
        <row r="172">
          <cell r="A172" t="str">
            <v>BJ22</v>
          </cell>
          <cell r="B172">
            <v>144</v>
          </cell>
          <cell r="C172" t="str">
            <v>Melamin TOK 4 mm</v>
          </cell>
          <cell r="D172" t="str">
            <v>lbr</v>
          </cell>
          <cell r="E172">
            <v>96000</v>
          </cell>
        </row>
        <row r="173">
          <cell r="A173" t="str">
            <v>BJ23</v>
          </cell>
          <cell r="B173">
            <v>145</v>
          </cell>
          <cell r="C173" t="str">
            <v xml:space="preserve">Formika 120 x 240 </v>
          </cell>
          <cell r="D173" t="str">
            <v>lbr</v>
          </cell>
          <cell r="E173">
            <v>78000</v>
          </cell>
        </row>
        <row r="174">
          <cell r="A174" t="str">
            <v>BJ24</v>
          </cell>
          <cell r="B174">
            <v>146</v>
          </cell>
          <cell r="C174" t="str">
            <v>Formika Ukuran Pintu</v>
          </cell>
          <cell r="D174" t="str">
            <v>lbr</v>
          </cell>
          <cell r="E174">
            <v>58500</v>
          </cell>
        </row>
        <row r="176">
          <cell r="C176" t="str">
            <v>F. BAHAN LANTAI DAN PELAPIS DINDING</v>
          </cell>
        </row>
        <row r="177">
          <cell r="A177" t="str">
            <v>BL01</v>
          </cell>
          <cell r="B177">
            <v>147</v>
          </cell>
          <cell r="C177" t="str">
            <v>Tegel PC 20 x 20</v>
          </cell>
          <cell r="D177" t="str">
            <v>bh</v>
          </cell>
          <cell r="E177">
            <v>700</v>
          </cell>
        </row>
        <row r="178">
          <cell r="A178" t="str">
            <v>BL02</v>
          </cell>
          <cell r="B178">
            <v>148</v>
          </cell>
          <cell r="C178" t="str">
            <v>Plin Tegel PC 10 x 20</v>
          </cell>
          <cell r="D178" t="str">
            <v>bh</v>
          </cell>
          <cell r="E178">
            <v>600</v>
          </cell>
        </row>
        <row r="179">
          <cell r="A179" t="str">
            <v>BL03</v>
          </cell>
          <cell r="B179">
            <v>149</v>
          </cell>
          <cell r="C179" t="str">
            <v>Tegel PC 30 x 30</v>
          </cell>
          <cell r="D179" t="str">
            <v>bh</v>
          </cell>
          <cell r="E179">
            <v>900</v>
          </cell>
        </row>
        <row r="180">
          <cell r="A180" t="str">
            <v>BL04</v>
          </cell>
          <cell r="B180">
            <v>150</v>
          </cell>
          <cell r="C180" t="str">
            <v>Plin Tegel PC 15 x 30</v>
          </cell>
          <cell r="D180" t="str">
            <v>bh</v>
          </cell>
          <cell r="E180">
            <v>700</v>
          </cell>
        </row>
        <row r="181">
          <cell r="A181" t="str">
            <v>BL05</v>
          </cell>
          <cell r="B181">
            <v>151</v>
          </cell>
          <cell r="C181" t="str">
            <v>Tegel Warna 20 x 20</v>
          </cell>
          <cell r="D181" t="str">
            <v>bh</v>
          </cell>
          <cell r="E181">
            <v>900</v>
          </cell>
        </row>
        <row r="182">
          <cell r="A182" t="str">
            <v>BL06</v>
          </cell>
          <cell r="B182">
            <v>152</v>
          </cell>
          <cell r="C182" t="str">
            <v>Plin Tegel Warna 10 x 20</v>
          </cell>
          <cell r="D182" t="str">
            <v>bh</v>
          </cell>
          <cell r="E182">
            <v>700</v>
          </cell>
        </row>
        <row r="183">
          <cell r="A183" t="str">
            <v>BL07</v>
          </cell>
          <cell r="B183">
            <v>153</v>
          </cell>
          <cell r="C183" t="str">
            <v>Tegel Warna 30 x 30</v>
          </cell>
          <cell r="D183" t="str">
            <v>bh</v>
          </cell>
          <cell r="E183">
            <v>1300</v>
          </cell>
        </row>
        <row r="184">
          <cell r="A184" t="str">
            <v>BL08</v>
          </cell>
          <cell r="B184">
            <v>154</v>
          </cell>
          <cell r="C184" t="str">
            <v>Plin Tegel Warna 15 x 30</v>
          </cell>
          <cell r="D184" t="str">
            <v>bh</v>
          </cell>
          <cell r="E184">
            <v>1100</v>
          </cell>
        </row>
        <row r="185">
          <cell r="A185" t="str">
            <v>BL09</v>
          </cell>
          <cell r="B185">
            <v>155</v>
          </cell>
          <cell r="C185" t="str">
            <v>Tegel Wafel PC 20 x 20</v>
          </cell>
          <cell r="D185" t="str">
            <v>bh</v>
          </cell>
          <cell r="E185">
            <v>700</v>
          </cell>
        </row>
        <row r="186">
          <cell r="A186" t="str">
            <v>BL10</v>
          </cell>
          <cell r="B186">
            <v>156</v>
          </cell>
          <cell r="C186" t="str">
            <v>Tegel Wafel Warna 20 x 20</v>
          </cell>
          <cell r="D186" t="str">
            <v>bh</v>
          </cell>
          <cell r="E186">
            <v>1000</v>
          </cell>
        </row>
        <row r="187">
          <cell r="A187" t="str">
            <v>BL11</v>
          </cell>
          <cell r="B187">
            <v>157</v>
          </cell>
          <cell r="C187" t="str">
            <v>Tegel Badak PC 30 x 30</v>
          </cell>
          <cell r="D187" t="str">
            <v>bh</v>
          </cell>
          <cell r="E187">
            <v>1000</v>
          </cell>
        </row>
        <row r="188">
          <cell r="A188" t="str">
            <v>BL12</v>
          </cell>
          <cell r="B188">
            <v>158</v>
          </cell>
          <cell r="C188" t="str">
            <v>Poslin 11 x 11 Warna Standar DN</v>
          </cell>
          <cell r="D188" t="str">
            <v>m²</v>
          </cell>
          <cell r="E188">
            <v>23000</v>
          </cell>
        </row>
        <row r="189">
          <cell r="A189" t="str">
            <v>BL13</v>
          </cell>
          <cell r="B189">
            <v>159</v>
          </cell>
          <cell r="C189" t="str">
            <v>Poslin 11 x 11 Warna Khusus DN</v>
          </cell>
          <cell r="D189" t="str">
            <v>m²</v>
          </cell>
          <cell r="E189">
            <v>26500</v>
          </cell>
        </row>
        <row r="190">
          <cell r="A190" t="str">
            <v>BL14</v>
          </cell>
          <cell r="B190">
            <v>160</v>
          </cell>
          <cell r="C190" t="str">
            <v>Keramik 10 x 20 dan 20 x 20 KW I DN Putih  / Polos</v>
          </cell>
          <cell r="D190" t="str">
            <v>m²</v>
          </cell>
          <cell r="E190">
            <v>24000</v>
          </cell>
        </row>
        <row r="191">
          <cell r="A191" t="str">
            <v>BL15</v>
          </cell>
          <cell r="B191">
            <v>161</v>
          </cell>
          <cell r="C191" t="str">
            <v>Keramik 10 x 20 KW I DN Corak / Warna / Anti Slip</v>
          </cell>
          <cell r="D191" t="str">
            <v>m²</v>
          </cell>
          <cell r="E191">
            <v>27000</v>
          </cell>
        </row>
        <row r="192">
          <cell r="A192" t="str">
            <v>BL16</v>
          </cell>
          <cell r="B192">
            <v>162</v>
          </cell>
          <cell r="C192" t="str">
            <v>Keramik 20 x 20 (KM) KW I DN Corak / Warna / Anti Slip</v>
          </cell>
          <cell r="D192" t="str">
            <v>m²</v>
          </cell>
          <cell r="E192">
            <v>29000</v>
          </cell>
        </row>
        <row r="193">
          <cell r="A193" t="str">
            <v>BL17</v>
          </cell>
          <cell r="B193">
            <v>163</v>
          </cell>
          <cell r="C193" t="str">
            <v xml:space="preserve">Keramik 20 x 20 (KM) KWI DN Putih Polos </v>
          </cell>
          <cell r="D193" t="str">
            <v>m²</v>
          </cell>
          <cell r="E193">
            <v>26500</v>
          </cell>
        </row>
        <row r="194">
          <cell r="A194" t="str">
            <v>BL18</v>
          </cell>
          <cell r="B194">
            <v>164</v>
          </cell>
          <cell r="C194" t="str">
            <v xml:space="preserve">Keramik 20 x 25 Dinding KM KWI DN Corak </v>
          </cell>
          <cell r="D194" t="str">
            <v>m²</v>
          </cell>
          <cell r="E194">
            <v>35500</v>
          </cell>
        </row>
        <row r="195">
          <cell r="A195" t="str">
            <v>BL19</v>
          </cell>
          <cell r="B195">
            <v>165</v>
          </cell>
          <cell r="C195" t="str">
            <v>Keramik 30 x 30 KW I DN putih polos</v>
          </cell>
          <cell r="D195" t="str">
            <v>m²</v>
          </cell>
          <cell r="E195">
            <v>27000</v>
          </cell>
        </row>
        <row r="196">
          <cell r="A196" t="str">
            <v>BL20</v>
          </cell>
          <cell r="B196">
            <v>166</v>
          </cell>
          <cell r="C196" t="str">
            <v>Keramik 30 x 30 KW I DN Warna/Corak ( ANTI SLIP )</v>
          </cell>
          <cell r="D196" t="str">
            <v>m²</v>
          </cell>
          <cell r="E196">
            <v>36500</v>
          </cell>
        </row>
        <row r="197">
          <cell r="A197" t="str">
            <v>BL21</v>
          </cell>
          <cell r="B197">
            <v>167</v>
          </cell>
          <cell r="C197" t="str">
            <v>Vinyl Lantai standar</v>
          </cell>
          <cell r="D197" t="str">
            <v>m²</v>
          </cell>
          <cell r="E197">
            <v>14000</v>
          </cell>
        </row>
        <row r="198">
          <cell r="A198" t="str">
            <v>BL22</v>
          </cell>
          <cell r="B198">
            <v>168</v>
          </cell>
          <cell r="C198" t="str">
            <v>Karpet Kelas Baik LN</v>
          </cell>
          <cell r="D198" t="str">
            <v>m²</v>
          </cell>
          <cell r="E198">
            <v>424500</v>
          </cell>
        </row>
        <row r="199">
          <cell r="A199" t="str">
            <v>BL23</v>
          </cell>
          <cell r="B199">
            <v>169</v>
          </cell>
          <cell r="C199" t="str">
            <v>Karpet Kelas Sedang LN</v>
          </cell>
          <cell r="D199" t="str">
            <v>m²</v>
          </cell>
          <cell r="E199">
            <v>165800</v>
          </cell>
        </row>
        <row r="200">
          <cell r="A200" t="str">
            <v>BL24</v>
          </cell>
          <cell r="B200">
            <v>170</v>
          </cell>
          <cell r="C200" t="str">
            <v>Stairnosing keramik 10/20</v>
          </cell>
          <cell r="D200" t="str">
            <v>bh</v>
          </cell>
          <cell r="E200">
            <v>3700</v>
          </cell>
        </row>
        <row r="201">
          <cell r="A201" t="str">
            <v>BL25</v>
          </cell>
          <cell r="B201">
            <v>171</v>
          </cell>
          <cell r="C201" t="str">
            <v>Stairnosing fiber</v>
          </cell>
          <cell r="D201" t="str">
            <v>m'</v>
          </cell>
          <cell r="E201">
            <v>9800</v>
          </cell>
        </row>
        <row r="202">
          <cell r="A202" t="str">
            <v>BL26</v>
          </cell>
          <cell r="B202">
            <v>172</v>
          </cell>
          <cell r="C202" t="str">
            <v>Taraso Kerang 30 x 30</v>
          </cell>
          <cell r="D202" t="str">
            <v>m²</v>
          </cell>
          <cell r="E202">
            <v>14500</v>
          </cell>
        </row>
        <row r="203">
          <cell r="A203" t="str">
            <v>BL27</v>
          </cell>
          <cell r="B203">
            <v>173</v>
          </cell>
          <cell r="C203" t="str">
            <v>Plin Taraso 10 x 30</v>
          </cell>
          <cell r="D203" t="str">
            <v>bh</v>
          </cell>
          <cell r="E203">
            <v>3400</v>
          </cell>
        </row>
        <row r="204">
          <cell r="A204" t="str">
            <v>BL28</v>
          </cell>
          <cell r="B204">
            <v>174</v>
          </cell>
          <cell r="C204" t="str">
            <v xml:space="preserve">Granit Alam LN Ukuran Besar </v>
          </cell>
          <cell r="D204" t="str">
            <v>m²</v>
          </cell>
          <cell r="E204">
            <v>949000</v>
          </cell>
        </row>
        <row r="205">
          <cell r="A205" t="str">
            <v>BL29</v>
          </cell>
          <cell r="B205">
            <v>175</v>
          </cell>
          <cell r="C205" t="str">
            <v xml:space="preserve">Granit Alam LN Ukuran Kecil </v>
          </cell>
          <cell r="D205" t="str">
            <v>m²</v>
          </cell>
          <cell r="E205">
            <v>799000</v>
          </cell>
        </row>
        <row r="206">
          <cell r="A206" t="str">
            <v>BL30</v>
          </cell>
          <cell r="B206">
            <v>176</v>
          </cell>
          <cell r="C206" t="str">
            <v xml:space="preserve">Granit Alam DN Ukuran Besar </v>
          </cell>
          <cell r="D206" t="str">
            <v>m²</v>
          </cell>
          <cell r="E206">
            <v>699000</v>
          </cell>
        </row>
        <row r="209">
          <cell r="A209" t="str">
            <v>BL31</v>
          </cell>
          <cell r="B209">
            <v>177</v>
          </cell>
          <cell r="C209" t="str">
            <v>Granit Alam DN Ukuran Kecil</v>
          </cell>
          <cell r="D209" t="str">
            <v>m²</v>
          </cell>
          <cell r="E209">
            <v>649000</v>
          </cell>
        </row>
        <row r="210">
          <cell r="A210" t="str">
            <v>BL32</v>
          </cell>
          <cell r="B210">
            <v>178</v>
          </cell>
          <cell r="C210" t="str">
            <v>Granito Tile Essenza Ukuran 40 x 40 Polis</v>
          </cell>
          <cell r="D210" t="str">
            <v>m²</v>
          </cell>
          <cell r="E210">
            <v>129000</v>
          </cell>
        </row>
        <row r="211">
          <cell r="A211" t="str">
            <v>BL33</v>
          </cell>
          <cell r="B211">
            <v>179</v>
          </cell>
          <cell r="C211" t="str">
            <v>Granito Tile Essenza Ukuran 40 x 40 Unpolis</v>
          </cell>
          <cell r="D211" t="str">
            <v>m²</v>
          </cell>
          <cell r="E211">
            <v>74000</v>
          </cell>
        </row>
        <row r="212">
          <cell r="A212" t="str">
            <v>BL34</v>
          </cell>
          <cell r="B212">
            <v>180</v>
          </cell>
          <cell r="C212" t="str">
            <v xml:space="preserve">Marmer Alam  Lampung Ukuran Besar </v>
          </cell>
          <cell r="D212" t="str">
            <v>m²</v>
          </cell>
          <cell r="E212">
            <v>204000</v>
          </cell>
        </row>
        <row r="213">
          <cell r="A213" t="str">
            <v>BL35</v>
          </cell>
          <cell r="B213">
            <v>181</v>
          </cell>
          <cell r="C213" t="str">
            <v>Marmer Alam  Lampung Ukuran Kecil</v>
          </cell>
          <cell r="D213" t="str">
            <v>m²</v>
          </cell>
          <cell r="E213">
            <v>169000</v>
          </cell>
        </row>
        <row r="214">
          <cell r="A214" t="str">
            <v>BL36</v>
          </cell>
          <cell r="B214">
            <v>182</v>
          </cell>
          <cell r="C214" t="str">
            <v xml:space="preserve">Marmer Alam Citatah Ukuran Besar </v>
          </cell>
          <cell r="D214" t="str">
            <v>m²</v>
          </cell>
          <cell r="E214">
            <v>109000</v>
          </cell>
        </row>
        <row r="215">
          <cell r="A215" t="str">
            <v>BL37</v>
          </cell>
          <cell r="B215">
            <v>183</v>
          </cell>
          <cell r="C215" t="str">
            <v>Marmer Alam Citatah Ukuran Kecil</v>
          </cell>
          <cell r="D215" t="str">
            <v>m²</v>
          </cell>
          <cell r="E215">
            <v>83000</v>
          </cell>
        </row>
        <row r="216">
          <cell r="A216" t="str">
            <v>BL38</v>
          </cell>
          <cell r="B216">
            <v>184</v>
          </cell>
          <cell r="C216" t="str">
            <v>Marmer Sintetis</v>
          </cell>
          <cell r="D216" t="str">
            <v>m²</v>
          </cell>
          <cell r="E216">
            <v>65000</v>
          </cell>
        </row>
        <row r="217">
          <cell r="A217" t="str">
            <v>BL39</v>
          </cell>
          <cell r="B217">
            <v>185</v>
          </cell>
          <cell r="C217" t="str">
            <v>Granito Tile Essenza 60 x 60  Polis</v>
          </cell>
          <cell r="D217" t="str">
            <v>m²</v>
          </cell>
          <cell r="E217">
            <v>159000</v>
          </cell>
        </row>
        <row r="218">
          <cell r="A218" t="str">
            <v>BL40</v>
          </cell>
          <cell r="B218">
            <v>186</v>
          </cell>
          <cell r="C218" t="str">
            <v>Granito Tile Essenza 60 x 60  Unpolis</v>
          </cell>
          <cell r="D218" t="str">
            <v>m²</v>
          </cell>
          <cell r="E218">
            <v>89000</v>
          </cell>
        </row>
        <row r="219">
          <cell r="A219" t="str">
            <v>BL41</v>
          </cell>
          <cell r="B219">
            <v>187</v>
          </cell>
          <cell r="C219" t="str">
            <v xml:space="preserve">Bata Karawang </v>
          </cell>
          <cell r="D219" t="str">
            <v>bh</v>
          </cell>
          <cell r="E219">
            <v>1500</v>
          </cell>
        </row>
        <row r="220">
          <cell r="A220" t="str">
            <v>BL42</v>
          </cell>
          <cell r="B220">
            <v>188</v>
          </cell>
          <cell r="C220" t="str">
            <v>Campuran untuk Kedap Air</v>
          </cell>
          <cell r="D220" t="str">
            <v>ls</v>
          </cell>
          <cell r="E220">
            <v>16500</v>
          </cell>
        </row>
        <row r="222">
          <cell r="C222" t="str">
            <v>G. BAHAN SALURAN AIR KOTOR / BERSIH</v>
          </cell>
        </row>
        <row r="223">
          <cell r="A223" t="str">
            <v>BN01</v>
          </cell>
          <cell r="B223">
            <v>189</v>
          </cell>
          <cell r="C223" t="str">
            <v>Grafel U 20 cm'</v>
          </cell>
          <cell r="D223" t="str">
            <v>m1</v>
          </cell>
          <cell r="E223">
            <v>12000</v>
          </cell>
        </row>
        <row r="224">
          <cell r="A224" t="str">
            <v>BN02</v>
          </cell>
          <cell r="B224">
            <v>190</v>
          </cell>
          <cell r="C224" t="str">
            <v>Grafel U 30 cm'</v>
          </cell>
          <cell r="D224" t="str">
            <v>m1</v>
          </cell>
          <cell r="E224">
            <v>17500</v>
          </cell>
        </row>
        <row r="225">
          <cell r="A225" t="str">
            <v>BN03</v>
          </cell>
          <cell r="B225">
            <v>191</v>
          </cell>
          <cell r="C225" t="str">
            <v>Grafel U 40 cm'</v>
          </cell>
          <cell r="D225" t="str">
            <v>m1</v>
          </cell>
          <cell r="E225">
            <v>20000</v>
          </cell>
        </row>
        <row r="226">
          <cell r="A226" t="str">
            <v>BN04</v>
          </cell>
          <cell r="B226">
            <v>192</v>
          </cell>
          <cell r="C226" t="str">
            <v>Buis Beton Ø 20 cm ( 1 m' )</v>
          </cell>
          <cell r="D226" t="str">
            <v>m1</v>
          </cell>
          <cell r="E226">
            <v>22000</v>
          </cell>
        </row>
        <row r="227">
          <cell r="A227" t="str">
            <v>BN05</v>
          </cell>
          <cell r="B227">
            <v>193</v>
          </cell>
          <cell r="C227" t="str">
            <v>Buis Beton Ø 30 cm ( 1 m' )</v>
          </cell>
          <cell r="D227" t="str">
            <v>m1</v>
          </cell>
          <cell r="E227">
            <v>32000</v>
          </cell>
        </row>
        <row r="228">
          <cell r="A228" t="str">
            <v>BN06</v>
          </cell>
          <cell r="B228">
            <v>194</v>
          </cell>
          <cell r="C228" t="str">
            <v>Buis Beton Ø 40 cm ( 1 m' )</v>
          </cell>
          <cell r="D228" t="str">
            <v>m1</v>
          </cell>
          <cell r="E228">
            <v>39000</v>
          </cell>
        </row>
        <row r="229">
          <cell r="A229" t="str">
            <v>BN07</v>
          </cell>
          <cell r="B229">
            <v>195</v>
          </cell>
          <cell r="C229" t="str">
            <v>Buis Beton Ø 50 cm ( 1 m' )</v>
          </cell>
          <cell r="D229" t="str">
            <v>stk</v>
          </cell>
          <cell r="E229">
            <v>50000</v>
          </cell>
        </row>
        <row r="230">
          <cell r="A230" t="str">
            <v>BN08</v>
          </cell>
          <cell r="B230">
            <v>196</v>
          </cell>
          <cell r="C230" t="str">
            <v>Buis Beton Ø 60 cm ( 1 m' )</v>
          </cell>
          <cell r="D230" t="str">
            <v>stk</v>
          </cell>
          <cell r="E230">
            <v>65000</v>
          </cell>
        </row>
        <row r="231">
          <cell r="A231" t="str">
            <v>BN09</v>
          </cell>
          <cell r="B231">
            <v>197</v>
          </cell>
          <cell r="C231" t="str">
            <v>Buis Beton Ø 100 cm ( 0.50 m )</v>
          </cell>
          <cell r="D231" t="str">
            <v>stk</v>
          </cell>
          <cell r="E231">
            <v>85000</v>
          </cell>
        </row>
        <row r="232">
          <cell r="A232" t="str">
            <v>BN10</v>
          </cell>
          <cell r="B232">
            <v>198</v>
          </cell>
          <cell r="C232" t="str">
            <v>Buis Beton Ø 80 cm ( 0.50 m )</v>
          </cell>
          <cell r="D232" t="str">
            <v>stk</v>
          </cell>
          <cell r="E232">
            <v>70000</v>
          </cell>
        </row>
        <row r="233">
          <cell r="A233" t="str">
            <v>BN11</v>
          </cell>
          <cell r="B233">
            <v>199</v>
          </cell>
          <cell r="C233" t="str">
            <v>Buis Tanah Ø 10 cm ( 0.50 m )</v>
          </cell>
          <cell r="D233" t="str">
            <v>stk</v>
          </cell>
          <cell r="E233">
            <v>3500</v>
          </cell>
        </row>
        <row r="234">
          <cell r="A234" t="str">
            <v>BN12</v>
          </cell>
          <cell r="B234">
            <v>200</v>
          </cell>
          <cell r="C234" t="str">
            <v>Buis Tanah Ø 15 cm ( 0.50 m )</v>
          </cell>
          <cell r="D234" t="str">
            <v>stk</v>
          </cell>
          <cell r="E234">
            <v>5500</v>
          </cell>
        </row>
        <row r="235">
          <cell r="A235" t="str">
            <v>BN13</v>
          </cell>
          <cell r="B235">
            <v>201</v>
          </cell>
          <cell r="C235" t="str">
            <v>Buis Tanah Ø 20 cm ( 0.50 m )</v>
          </cell>
          <cell r="D235" t="str">
            <v>stk</v>
          </cell>
          <cell r="E235">
            <v>6500</v>
          </cell>
        </row>
        <row r="236">
          <cell r="A236" t="str">
            <v>BN14</v>
          </cell>
          <cell r="B236">
            <v>202</v>
          </cell>
          <cell r="C236" t="str">
            <v>Buis Tanah Ø 25 cm ( 0.50 m )</v>
          </cell>
          <cell r="D236" t="str">
            <v>stk</v>
          </cell>
          <cell r="E236">
            <v>9000</v>
          </cell>
        </row>
        <row r="237">
          <cell r="A237" t="str">
            <v>BN15</v>
          </cell>
          <cell r="B237">
            <v>203</v>
          </cell>
          <cell r="C237" t="str">
            <v>Injuk</v>
          </cell>
          <cell r="D237" t="str">
            <v>kg</v>
          </cell>
          <cell r="E237">
            <v>2500</v>
          </cell>
        </row>
        <row r="239">
          <cell r="C239" t="str">
            <v>H. BAHAN LOGAM DAN BAHAN JADINYA</v>
          </cell>
        </row>
        <row r="240">
          <cell r="A240" t="str">
            <v>BP01</v>
          </cell>
          <cell r="B240">
            <v>204</v>
          </cell>
          <cell r="C240" t="str">
            <v>Besi Beton U-24 Rata - Rata</v>
          </cell>
          <cell r="D240" t="str">
            <v>kg</v>
          </cell>
          <cell r="E240">
            <v>2900</v>
          </cell>
        </row>
        <row r="241">
          <cell r="A241" t="str">
            <v>BP02</v>
          </cell>
          <cell r="B241">
            <v>205</v>
          </cell>
          <cell r="C241" t="str">
            <v>Besi Beton U-39 / U-32 Rata - Rata</v>
          </cell>
          <cell r="D241" t="str">
            <v>kg</v>
          </cell>
          <cell r="E241">
            <v>3000</v>
          </cell>
        </row>
        <row r="242">
          <cell r="A242" t="str">
            <v>BP03</v>
          </cell>
          <cell r="B242">
            <v>206</v>
          </cell>
          <cell r="C242" t="str">
            <v>Pagar BRC Lengkap Tiang ( Tanpa Pondasi )</v>
          </cell>
          <cell r="D242" t="str">
            <v>m²</v>
          </cell>
          <cell r="E242">
            <v>63300</v>
          </cell>
        </row>
        <row r="243">
          <cell r="A243" t="str">
            <v>BP04</v>
          </cell>
          <cell r="B243">
            <v>207</v>
          </cell>
          <cell r="C243" t="str">
            <v>Bondek</v>
          </cell>
          <cell r="D243" t="str">
            <v>m²</v>
          </cell>
          <cell r="E243">
            <v>73100</v>
          </cell>
        </row>
        <row r="244">
          <cell r="A244" t="str">
            <v>BP05</v>
          </cell>
          <cell r="B244">
            <v>208</v>
          </cell>
          <cell r="C244" t="str">
            <v>IWF Ex DN SII</v>
          </cell>
          <cell r="D244" t="str">
            <v>kg</v>
          </cell>
          <cell r="E244">
            <v>3800</v>
          </cell>
        </row>
        <row r="245">
          <cell r="A245" t="str">
            <v>BP06</v>
          </cell>
          <cell r="B245">
            <v>209</v>
          </cell>
          <cell r="C245" t="str">
            <v>IWF Ex Jepang</v>
          </cell>
          <cell r="D245" t="str">
            <v>kg</v>
          </cell>
          <cell r="E245">
            <v>4000</v>
          </cell>
        </row>
        <row r="246">
          <cell r="A246" t="str">
            <v>BP07</v>
          </cell>
          <cell r="B246">
            <v>210</v>
          </cell>
          <cell r="C246" t="str">
            <v>Besi Profil DN SII</v>
          </cell>
          <cell r="D246" t="str">
            <v>kg</v>
          </cell>
          <cell r="E246">
            <v>3200</v>
          </cell>
        </row>
        <row r="247">
          <cell r="A247" t="str">
            <v>BP08</v>
          </cell>
          <cell r="B247">
            <v>211</v>
          </cell>
          <cell r="C247" t="str">
            <v>Besi Profil Ex LN</v>
          </cell>
          <cell r="D247" t="str">
            <v>kg</v>
          </cell>
          <cell r="E247">
            <v>3400</v>
          </cell>
        </row>
        <row r="250">
          <cell r="A250" t="str">
            <v>BP09</v>
          </cell>
          <cell r="B250">
            <v>212</v>
          </cell>
          <cell r="C250" t="str">
            <v>Besi C Lip Chanel</v>
          </cell>
          <cell r="D250" t="str">
            <v>kg</v>
          </cell>
          <cell r="E250">
            <v>3100</v>
          </cell>
        </row>
        <row r="251">
          <cell r="A251" t="str">
            <v>BP10</v>
          </cell>
          <cell r="B251">
            <v>213</v>
          </cell>
          <cell r="C251" t="str">
            <v>Ongkos Galfanis Besi</v>
          </cell>
          <cell r="D251" t="str">
            <v>kg</v>
          </cell>
          <cell r="E251">
            <v>3000</v>
          </cell>
        </row>
        <row r="252">
          <cell r="A252" t="str">
            <v>BP11</v>
          </cell>
          <cell r="B252">
            <v>214</v>
          </cell>
          <cell r="C252" t="str">
            <v>Kawat Beton</v>
          </cell>
          <cell r="D252" t="str">
            <v>kg</v>
          </cell>
          <cell r="E252">
            <v>6600</v>
          </cell>
        </row>
        <row r="253">
          <cell r="A253" t="str">
            <v>BP12</v>
          </cell>
          <cell r="B253">
            <v>215</v>
          </cell>
          <cell r="C253" t="str">
            <v>Kawat Duri</v>
          </cell>
          <cell r="D253" t="str">
            <v>m1</v>
          </cell>
          <cell r="E253">
            <v>1600</v>
          </cell>
        </row>
        <row r="254">
          <cell r="A254" t="str">
            <v>BP13</v>
          </cell>
          <cell r="B254">
            <v>216</v>
          </cell>
          <cell r="C254" t="str">
            <v xml:space="preserve">Kawat Pengikat </v>
          </cell>
          <cell r="D254" t="str">
            <v>m1</v>
          </cell>
          <cell r="E254">
            <v>500</v>
          </cell>
        </row>
        <row r="255">
          <cell r="A255" t="str">
            <v>BP14</v>
          </cell>
          <cell r="B255">
            <v>217</v>
          </cell>
          <cell r="C255" t="str">
            <v>Kawat Bronjong 4 mm</v>
          </cell>
          <cell r="D255" t="str">
            <v>kg</v>
          </cell>
          <cell r="E255">
            <v>3000</v>
          </cell>
        </row>
        <row r="256">
          <cell r="A256" t="str">
            <v>BP15</v>
          </cell>
          <cell r="B256">
            <v>218</v>
          </cell>
          <cell r="C256" t="str">
            <v>Kawat Tembaga</v>
          </cell>
          <cell r="D256" t="str">
            <v>kg</v>
          </cell>
          <cell r="E256">
            <v>14700</v>
          </cell>
        </row>
        <row r="257">
          <cell r="A257" t="str">
            <v>BP16</v>
          </cell>
          <cell r="B257">
            <v>219</v>
          </cell>
          <cell r="C257" t="str">
            <v>Ram Nyamuk Hijau</v>
          </cell>
          <cell r="D257" t="str">
            <v>m²</v>
          </cell>
          <cell r="E257">
            <v>2900</v>
          </cell>
        </row>
        <row r="258">
          <cell r="A258" t="str">
            <v>BP17</v>
          </cell>
          <cell r="B258">
            <v>220</v>
          </cell>
          <cell r="C258" t="str">
            <v>Ram Kawat 1 x 1 cm</v>
          </cell>
          <cell r="D258" t="str">
            <v>m²</v>
          </cell>
          <cell r="E258">
            <v>3900</v>
          </cell>
        </row>
        <row r="259">
          <cell r="A259" t="str">
            <v>BP18</v>
          </cell>
          <cell r="B259">
            <v>221</v>
          </cell>
          <cell r="C259" t="str">
            <v>Ram Ayam</v>
          </cell>
          <cell r="D259" t="str">
            <v>m²</v>
          </cell>
          <cell r="E259">
            <v>1600</v>
          </cell>
        </row>
        <row r="260">
          <cell r="A260" t="str">
            <v>BP19</v>
          </cell>
          <cell r="B260">
            <v>222</v>
          </cell>
          <cell r="C260" t="str">
            <v xml:space="preserve">Kawat Kasa 1 x 1 cm ( Putih ) </v>
          </cell>
          <cell r="D260" t="str">
            <v>m²</v>
          </cell>
          <cell r="E260">
            <v>14000</v>
          </cell>
        </row>
        <row r="261">
          <cell r="A261" t="str">
            <v>BP20</v>
          </cell>
          <cell r="B261">
            <v>223</v>
          </cell>
          <cell r="C261" t="str">
            <v>Kawat Harmonika 4 cm</v>
          </cell>
          <cell r="D261" t="str">
            <v>m²</v>
          </cell>
          <cell r="E261">
            <v>16800</v>
          </cell>
        </row>
        <row r="262">
          <cell r="A262" t="str">
            <v>BP21</v>
          </cell>
          <cell r="B262">
            <v>224</v>
          </cell>
          <cell r="C262" t="str">
            <v>Kawat Harmonika 2 cm</v>
          </cell>
          <cell r="D262" t="str">
            <v>m²</v>
          </cell>
          <cell r="E262">
            <v>11200</v>
          </cell>
        </row>
        <row r="263">
          <cell r="A263" t="str">
            <v>BP22</v>
          </cell>
          <cell r="B263">
            <v>225</v>
          </cell>
          <cell r="C263" t="str">
            <v>Kawat Las Listrik</v>
          </cell>
          <cell r="D263" t="str">
            <v>kg</v>
          </cell>
          <cell r="E263">
            <v>9500</v>
          </cell>
        </row>
        <row r="264">
          <cell r="A264" t="str">
            <v>BP23</v>
          </cell>
          <cell r="B264">
            <v>226</v>
          </cell>
          <cell r="C264" t="str">
            <v>Wiremesh M8</v>
          </cell>
          <cell r="D264" t="str">
            <v>m²</v>
          </cell>
          <cell r="E264">
            <v>20900</v>
          </cell>
        </row>
        <row r="265">
          <cell r="A265" t="str">
            <v>BP24</v>
          </cell>
          <cell r="B265">
            <v>227</v>
          </cell>
          <cell r="C265" t="str">
            <v>Wiremesh M6</v>
          </cell>
          <cell r="D265" t="str">
            <v>m²</v>
          </cell>
          <cell r="E265">
            <v>17000</v>
          </cell>
        </row>
        <row r="266">
          <cell r="A266" t="str">
            <v>BP25</v>
          </cell>
          <cell r="B266">
            <v>228</v>
          </cell>
          <cell r="C266" t="str">
            <v>Timah</v>
          </cell>
          <cell r="D266" t="str">
            <v>kg</v>
          </cell>
          <cell r="E266">
            <v>19500</v>
          </cell>
        </row>
        <row r="267">
          <cell r="A267" t="str">
            <v>BP26</v>
          </cell>
          <cell r="B267">
            <v>229</v>
          </cell>
          <cell r="C267" t="str">
            <v>Timah Hitam</v>
          </cell>
          <cell r="D267" t="str">
            <v>kg</v>
          </cell>
          <cell r="E267">
            <v>17000</v>
          </cell>
        </row>
        <row r="268">
          <cell r="A268" t="str">
            <v>BP27</v>
          </cell>
          <cell r="B268">
            <v>230</v>
          </cell>
          <cell r="C268" t="str">
            <v>Ram Nyamuk Aluminium</v>
          </cell>
          <cell r="D268" t="str">
            <v>m²</v>
          </cell>
          <cell r="E268">
            <v>9700</v>
          </cell>
        </row>
        <row r="269">
          <cell r="A269" t="str">
            <v>BP28</v>
          </cell>
          <cell r="B269">
            <v>231</v>
          </cell>
          <cell r="C269" t="str">
            <v xml:space="preserve">Plat Srip Ø 2 x 30 mm ( 6 m1) </v>
          </cell>
          <cell r="D269" t="str">
            <v>bt</v>
          </cell>
          <cell r="E269">
            <v>13600</v>
          </cell>
        </row>
        <row r="270">
          <cell r="A270" t="str">
            <v>BP29</v>
          </cell>
          <cell r="B270">
            <v>232</v>
          </cell>
          <cell r="C270" t="str">
            <v xml:space="preserve">Plat Srip Ø 3 x 30 mm ( 6 m1) </v>
          </cell>
          <cell r="D270" t="str">
            <v>bt</v>
          </cell>
          <cell r="E270">
            <v>17500</v>
          </cell>
        </row>
        <row r="271">
          <cell r="A271" t="str">
            <v>BP30</v>
          </cell>
          <cell r="B271">
            <v>233</v>
          </cell>
          <cell r="C271" t="str">
            <v>Plat Alumunium 0.2 mm</v>
          </cell>
          <cell r="D271" t="str">
            <v>m²</v>
          </cell>
          <cell r="E271">
            <v>39500</v>
          </cell>
        </row>
        <row r="272">
          <cell r="A272" t="str">
            <v>BP31</v>
          </cell>
          <cell r="B272">
            <v>234</v>
          </cell>
          <cell r="C272" t="str">
            <v>Plat Alumunium 0.3 mm</v>
          </cell>
          <cell r="D272" t="str">
            <v>m²</v>
          </cell>
          <cell r="E272">
            <v>50600</v>
          </cell>
        </row>
        <row r="273">
          <cell r="A273" t="str">
            <v>BP32</v>
          </cell>
          <cell r="B273">
            <v>235</v>
          </cell>
          <cell r="C273" t="str">
            <v>Plat Alumunium 0.4 mm</v>
          </cell>
          <cell r="D273" t="str">
            <v>m²</v>
          </cell>
          <cell r="E273">
            <v>61800</v>
          </cell>
        </row>
        <row r="274">
          <cell r="A274" t="str">
            <v>BP33</v>
          </cell>
          <cell r="B274">
            <v>236</v>
          </cell>
          <cell r="C274" t="str">
            <v>Plat Alumunium 0.5 mm</v>
          </cell>
          <cell r="D274" t="str">
            <v>m²</v>
          </cell>
          <cell r="E274">
            <v>72800</v>
          </cell>
        </row>
        <row r="275">
          <cell r="A275" t="str">
            <v>BP34</v>
          </cell>
          <cell r="B275">
            <v>237</v>
          </cell>
          <cell r="C275" t="str">
            <v>Plat Alumunium 0.6 mm</v>
          </cell>
          <cell r="D275" t="str">
            <v>m²</v>
          </cell>
          <cell r="E275">
            <v>84300</v>
          </cell>
        </row>
        <row r="276">
          <cell r="A276" t="str">
            <v>BP35</v>
          </cell>
          <cell r="B276">
            <v>238</v>
          </cell>
          <cell r="C276" t="str">
            <v>Plat Alumunium 0.1 mm</v>
          </cell>
          <cell r="D276" t="str">
            <v>m²</v>
          </cell>
          <cell r="E276">
            <v>22400</v>
          </cell>
        </row>
        <row r="277">
          <cell r="A277" t="str">
            <v>BP36</v>
          </cell>
          <cell r="B277">
            <v>239</v>
          </cell>
          <cell r="C277" t="str">
            <v>Kusen Alumunium Natural 1.3 mm  t=1,3 mm ( 4 " )</v>
          </cell>
          <cell r="D277" t="str">
            <v>m1</v>
          </cell>
          <cell r="E277">
            <v>51700</v>
          </cell>
        </row>
        <row r="278">
          <cell r="A278" t="str">
            <v>BP37</v>
          </cell>
          <cell r="B278">
            <v>240</v>
          </cell>
          <cell r="C278" t="str">
            <v>Kusen Alumunium Warna 1.3 mm t=1,3 mm ( 4 " )</v>
          </cell>
          <cell r="D278" t="str">
            <v>m1</v>
          </cell>
          <cell r="E278">
            <v>74000</v>
          </cell>
        </row>
        <row r="279">
          <cell r="A279" t="str">
            <v>BP38</v>
          </cell>
          <cell r="B279">
            <v>241</v>
          </cell>
          <cell r="C279" t="str">
            <v xml:space="preserve">Daun Jendela Alumunium Natural ( Tanpa Kaca ) </v>
          </cell>
          <cell r="D279" t="str">
            <v>m²</v>
          </cell>
          <cell r="E279">
            <v>46000</v>
          </cell>
        </row>
        <row r="280">
          <cell r="A280" t="str">
            <v>BP39</v>
          </cell>
          <cell r="B280">
            <v>242</v>
          </cell>
          <cell r="C280" t="str">
            <v>Daun Jendela Alumunium Warna ( Tanpa Kaca )</v>
          </cell>
          <cell r="D280" t="str">
            <v>m²</v>
          </cell>
          <cell r="E280">
            <v>68400</v>
          </cell>
        </row>
        <row r="281">
          <cell r="A281" t="str">
            <v>BP40</v>
          </cell>
          <cell r="B281">
            <v>243</v>
          </cell>
          <cell r="C281" t="str">
            <v>Daun Pintu Alumunium Natural tanpa kaca</v>
          </cell>
          <cell r="D281" t="str">
            <v>m²</v>
          </cell>
          <cell r="E281">
            <v>90800</v>
          </cell>
        </row>
        <row r="282">
          <cell r="A282" t="str">
            <v>BP41</v>
          </cell>
          <cell r="B282">
            <v>244</v>
          </cell>
          <cell r="C282" t="str">
            <v>Daun Pintu Alumunium Warna tanpa kaca</v>
          </cell>
          <cell r="D282" t="str">
            <v>m²</v>
          </cell>
          <cell r="E282">
            <v>99100</v>
          </cell>
        </row>
        <row r="283">
          <cell r="A283" t="str">
            <v>BP42</v>
          </cell>
          <cell r="B283">
            <v>245</v>
          </cell>
          <cell r="C283" t="str">
            <v xml:space="preserve">Handle Alumunium ( Tarikan Pintu Alumunium ) </v>
          </cell>
          <cell r="D283" t="str">
            <v>bh</v>
          </cell>
          <cell r="E283">
            <v>194800</v>
          </cell>
        </row>
        <row r="284">
          <cell r="A284" t="str">
            <v>BP43</v>
          </cell>
          <cell r="B284">
            <v>246</v>
          </cell>
          <cell r="C284" t="str">
            <v xml:space="preserve">Kait Angin Sendok alumunium </v>
          </cell>
          <cell r="D284" t="str">
            <v>ps</v>
          </cell>
          <cell r="E284">
            <v>53600</v>
          </cell>
        </row>
        <row r="285">
          <cell r="A285" t="str">
            <v>BP44</v>
          </cell>
          <cell r="B285">
            <v>247</v>
          </cell>
          <cell r="C285" t="str">
            <v xml:space="preserve">Karet Asisoris Kusen / Pintu Alumunium </v>
          </cell>
          <cell r="D285" t="str">
            <v>m1</v>
          </cell>
          <cell r="E285">
            <v>3000</v>
          </cell>
        </row>
        <row r="286">
          <cell r="A286" t="str">
            <v>BP45</v>
          </cell>
          <cell r="B286">
            <v>248</v>
          </cell>
          <cell r="C286" t="str">
            <v>Seng Plat BJLS 30 dia. 60 cm  ( 100 m1 )</v>
          </cell>
          <cell r="D286" t="str">
            <v>rool</v>
          </cell>
          <cell r="E286">
            <v>756100</v>
          </cell>
        </row>
        <row r="287">
          <cell r="A287" t="str">
            <v>BP46</v>
          </cell>
          <cell r="B287">
            <v>249</v>
          </cell>
          <cell r="C287" t="str">
            <v>Seng Plat BJLS 30 dia. 90 cm ( 100 m1 )</v>
          </cell>
          <cell r="D287" t="str">
            <v>rool</v>
          </cell>
          <cell r="E287">
            <v>1092000</v>
          </cell>
        </row>
        <row r="288">
          <cell r="A288" t="str">
            <v>BP47</v>
          </cell>
          <cell r="B288">
            <v>250</v>
          </cell>
          <cell r="C288" t="str">
            <v>Plat Besi Tipis 1 mm</v>
          </cell>
          <cell r="D288" t="str">
            <v>kg</v>
          </cell>
          <cell r="E288">
            <v>6400</v>
          </cell>
        </row>
        <row r="291">
          <cell r="A291" t="str">
            <v>BP48</v>
          </cell>
          <cell r="B291">
            <v>251</v>
          </cell>
          <cell r="C291" t="str">
            <v>Plat Besi Tipis 0.5 mm</v>
          </cell>
          <cell r="D291" t="str">
            <v>kg</v>
          </cell>
          <cell r="E291">
            <v>6900</v>
          </cell>
        </row>
        <row r="292">
          <cell r="A292" t="str">
            <v>BP49</v>
          </cell>
          <cell r="B292">
            <v>252</v>
          </cell>
          <cell r="C292" t="str">
            <v xml:space="preserve">Plat Besi 2 mm s/d 5 mm </v>
          </cell>
          <cell r="D292" t="str">
            <v>kg</v>
          </cell>
          <cell r="E292">
            <v>5300</v>
          </cell>
        </row>
        <row r="293">
          <cell r="A293" t="str">
            <v>BP50</v>
          </cell>
          <cell r="B293">
            <v>253</v>
          </cell>
          <cell r="C293" t="str">
            <v xml:space="preserve">Plat Besi 6 mm s/d 10 mm </v>
          </cell>
          <cell r="D293" t="str">
            <v>kg</v>
          </cell>
          <cell r="E293">
            <v>5300</v>
          </cell>
        </row>
        <row r="294">
          <cell r="A294" t="str">
            <v>BP51</v>
          </cell>
          <cell r="B294">
            <v>254</v>
          </cell>
          <cell r="C294" t="str">
            <v>Plat Besi 10 mm Ke atas</v>
          </cell>
          <cell r="D294" t="str">
            <v>kg</v>
          </cell>
          <cell r="E294">
            <v>5300</v>
          </cell>
        </row>
        <row r="295">
          <cell r="A295" t="str">
            <v>BP52</v>
          </cell>
          <cell r="B295">
            <v>255</v>
          </cell>
          <cell r="C295" t="str">
            <v>Lem Kuning (aibond)</v>
          </cell>
          <cell r="D295" t="str">
            <v>kg</v>
          </cell>
          <cell r="E295">
            <v>9700</v>
          </cell>
        </row>
        <row r="296">
          <cell r="A296" t="str">
            <v>BP53</v>
          </cell>
          <cell r="B296">
            <v>256</v>
          </cell>
          <cell r="C296" t="str">
            <v>Lem Fox</v>
          </cell>
          <cell r="D296" t="str">
            <v>kg</v>
          </cell>
          <cell r="E296">
            <v>7300</v>
          </cell>
        </row>
        <row r="298">
          <cell r="C298" t="str">
            <v>I.  BAHAN  KACA</v>
          </cell>
        </row>
        <row r="299">
          <cell r="A299" t="str">
            <v>BR01</v>
          </cell>
          <cell r="B299">
            <v>257</v>
          </cell>
          <cell r="C299" t="str">
            <v>Kaca Polos 2 mm ( ASAHI )</v>
          </cell>
          <cell r="D299" t="str">
            <v>m²</v>
          </cell>
          <cell r="E299">
            <v>21000</v>
          </cell>
        </row>
        <row r="300">
          <cell r="A300" t="str">
            <v>BR02</v>
          </cell>
          <cell r="B300">
            <v>258</v>
          </cell>
          <cell r="C300" t="str">
            <v>Kaca Polos 3 mm ( ASAHI )</v>
          </cell>
          <cell r="D300" t="str">
            <v>m²</v>
          </cell>
          <cell r="E300">
            <v>30500</v>
          </cell>
        </row>
        <row r="301">
          <cell r="A301" t="str">
            <v>BR03</v>
          </cell>
          <cell r="B301">
            <v>259</v>
          </cell>
          <cell r="C301" t="str">
            <v>Kaca Polos 5 mm ( ASAHI )</v>
          </cell>
          <cell r="D301" t="str">
            <v>m²</v>
          </cell>
          <cell r="E301">
            <v>45000</v>
          </cell>
        </row>
        <row r="302">
          <cell r="A302" t="str">
            <v>BR04</v>
          </cell>
          <cell r="B302">
            <v>260</v>
          </cell>
          <cell r="C302" t="str">
            <v>Kaca Rayband 5 mm ( ASAHI )</v>
          </cell>
          <cell r="D302" t="str">
            <v>m²</v>
          </cell>
          <cell r="E302">
            <v>54500</v>
          </cell>
        </row>
        <row r="303">
          <cell r="A303" t="str">
            <v>BR05</v>
          </cell>
          <cell r="B303">
            <v>261</v>
          </cell>
          <cell r="C303" t="str">
            <v>Kaca Rayband 8 mm ( ASAHI )</v>
          </cell>
          <cell r="D303" t="str">
            <v>m²</v>
          </cell>
          <cell r="E303">
            <v>169000</v>
          </cell>
        </row>
        <row r="304">
          <cell r="A304" t="str">
            <v>BR06</v>
          </cell>
          <cell r="B304">
            <v>262</v>
          </cell>
          <cell r="C304" t="str">
            <v>Kaca Rayband 12 mm ( ASAHI )</v>
          </cell>
          <cell r="D304" t="str">
            <v>m²</v>
          </cell>
          <cell r="E304">
            <v>277750</v>
          </cell>
        </row>
        <row r="305">
          <cell r="A305" t="str">
            <v>BR07</v>
          </cell>
          <cell r="B305">
            <v>263</v>
          </cell>
          <cell r="C305" t="str">
            <v>Kaca Patri Lokal Terpasang ( ASAHI )</v>
          </cell>
          <cell r="D305" t="str">
            <v>m²</v>
          </cell>
          <cell r="E305">
            <v>664000</v>
          </cell>
        </row>
        <row r="306">
          <cell r="A306" t="str">
            <v>BR08</v>
          </cell>
          <cell r="B306">
            <v>264</v>
          </cell>
          <cell r="C306" t="str">
            <v xml:space="preserve">Kaca Patri EX Luar negeri  terpasang </v>
          </cell>
          <cell r="D306" t="str">
            <v>m²</v>
          </cell>
          <cell r="E306">
            <v>2173500</v>
          </cell>
        </row>
        <row r="307">
          <cell r="A307" t="str">
            <v>BR09</v>
          </cell>
          <cell r="B307">
            <v>265</v>
          </cell>
          <cell r="C307" t="str">
            <v xml:space="preserve">Kaca 6 mm Gravver </v>
          </cell>
          <cell r="D307" t="str">
            <v>m²</v>
          </cell>
          <cell r="E307">
            <v>181000</v>
          </cell>
        </row>
        <row r="308">
          <cell r="A308" t="str">
            <v>BR10</v>
          </cell>
          <cell r="B308">
            <v>266</v>
          </cell>
          <cell r="C308" t="str">
            <v>Glass Block  DN  20 x 20 ( Kedawung )</v>
          </cell>
          <cell r="D308" t="str">
            <v>bh</v>
          </cell>
          <cell r="E308">
            <v>11000</v>
          </cell>
        </row>
        <row r="309">
          <cell r="A309" t="str">
            <v>BR11</v>
          </cell>
          <cell r="B309">
            <v>267</v>
          </cell>
          <cell r="C309" t="str">
            <v>Glass Block  DN  20 x 20 Ex LN</v>
          </cell>
          <cell r="D309" t="str">
            <v>bh</v>
          </cell>
          <cell r="E309">
            <v>42500</v>
          </cell>
        </row>
        <row r="311">
          <cell r="C311" t="str">
            <v>J. BAHAN PAKU DAN MUR BAUT</v>
          </cell>
        </row>
        <row r="312">
          <cell r="A312" t="str">
            <v>BS01</v>
          </cell>
          <cell r="B312">
            <v>268</v>
          </cell>
          <cell r="C312" t="str">
            <v>Paku 1 cm s/d 3 cm</v>
          </cell>
          <cell r="D312" t="str">
            <v>kg</v>
          </cell>
          <cell r="E312">
            <v>6000</v>
          </cell>
        </row>
        <row r="313">
          <cell r="A313" t="str">
            <v>BS02</v>
          </cell>
          <cell r="B313">
            <v>269</v>
          </cell>
          <cell r="C313" t="str">
            <v>Paku 4 cm s/d 7 cm</v>
          </cell>
          <cell r="D313" t="str">
            <v>kg</v>
          </cell>
          <cell r="E313">
            <v>5500</v>
          </cell>
        </row>
        <row r="314">
          <cell r="A314" t="str">
            <v>BS03</v>
          </cell>
          <cell r="B314">
            <v>270</v>
          </cell>
          <cell r="C314" t="str">
            <v>Paku 8 cm s/d 12 cm</v>
          </cell>
          <cell r="D314" t="str">
            <v>kg</v>
          </cell>
          <cell r="E314">
            <v>4750</v>
          </cell>
        </row>
        <row r="315">
          <cell r="A315" t="str">
            <v>BS04</v>
          </cell>
          <cell r="B315">
            <v>271</v>
          </cell>
          <cell r="C315" t="str">
            <v>Paku Beton 2 cm s/d 5 cm</v>
          </cell>
          <cell r="D315" t="str">
            <v>bh</v>
          </cell>
          <cell r="E315">
            <v>1250</v>
          </cell>
        </row>
        <row r="316">
          <cell r="A316" t="str">
            <v>BS05</v>
          </cell>
          <cell r="B316">
            <v>272</v>
          </cell>
          <cell r="C316" t="str">
            <v>Paku Kait Lengkap</v>
          </cell>
          <cell r="D316" t="str">
            <v>bh</v>
          </cell>
          <cell r="E316">
            <v>250</v>
          </cell>
        </row>
        <row r="317">
          <cell r="A317" t="str">
            <v>BS06</v>
          </cell>
          <cell r="B317">
            <v>273</v>
          </cell>
          <cell r="C317" t="str">
            <v>Paku Cacing</v>
          </cell>
          <cell r="D317" t="str">
            <v>kg</v>
          </cell>
          <cell r="E317">
            <v>15500</v>
          </cell>
        </row>
        <row r="318">
          <cell r="A318" t="str">
            <v>BS07</v>
          </cell>
          <cell r="B318">
            <v>274</v>
          </cell>
          <cell r="C318" t="str">
            <v>Besi Beugel kuda - kuda</v>
          </cell>
          <cell r="D318" t="str">
            <v>kg</v>
          </cell>
          <cell r="E318">
            <v>5750</v>
          </cell>
        </row>
        <row r="319">
          <cell r="A319" t="str">
            <v>BS08</v>
          </cell>
          <cell r="B319">
            <v>275</v>
          </cell>
          <cell r="C319" t="str">
            <v>Duk Angker</v>
          </cell>
          <cell r="D319" t="str">
            <v>bh</v>
          </cell>
          <cell r="E319">
            <v>1500</v>
          </cell>
        </row>
        <row r="320">
          <cell r="A320" t="str">
            <v>BS09</v>
          </cell>
          <cell r="B320">
            <v>276</v>
          </cell>
          <cell r="C320" t="str">
            <v>Angker Mur Baut dia.19 / panjang 60 cm</v>
          </cell>
          <cell r="D320" t="str">
            <v>bh</v>
          </cell>
          <cell r="E320">
            <v>26000</v>
          </cell>
        </row>
        <row r="321">
          <cell r="A321" t="str">
            <v>BS10</v>
          </cell>
          <cell r="B321">
            <v>277</v>
          </cell>
          <cell r="C321" t="str">
            <v>Mur Baut HTB dia. 19 s/d 16 (5 cm)</v>
          </cell>
          <cell r="D321" t="str">
            <v>bh</v>
          </cell>
          <cell r="E321">
            <v>4750</v>
          </cell>
        </row>
        <row r="322">
          <cell r="A322" t="str">
            <v>BS11</v>
          </cell>
          <cell r="B322">
            <v>278</v>
          </cell>
          <cell r="C322" t="str">
            <v>Mur Baut Biasa dia.19 s/d 16 (5 cm)</v>
          </cell>
          <cell r="D322" t="str">
            <v>bh</v>
          </cell>
          <cell r="E322">
            <v>2750</v>
          </cell>
        </row>
        <row r="323">
          <cell r="A323" t="str">
            <v>BS12</v>
          </cell>
          <cell r="B323">
            <v>279</v>
          </cell>
          <cell r="C323" t="str">
            <v>Piser dia. 12 s/d 20 cm</v>
          </cell>
          <cell r="D323" t="str">
            <v>bh</v>
          </cell>
          <cell r="E323">
            <v>2250</v>
          </cell>
        </row>
        <row r="325">
          <cell r="C325" t="str">
            <v>K. BAHAN PERPIPAAN</v>
          </cell>
          <cell r="D325" t="str">
            <v>1.²</v>
          </cell>
        </row>
        <row r="326">
          <cell r="A326" t="str">
            <v>BT01</v>
          </cell>
          <cell r="B326">
            <v>280</v>
          </cell>
          <cell r="C326" t="str">
            <v>Besi Pipa untuk Hydrant BSP Ø  1"</v>
          </cell>
          <cell r="D326" t="str">
            <v>bt</v>
          </cell>
          <cell r="E326">
            <v>73250</v>
          </cell>
        </row>
        <row r="327">
          <cell r="A327" t="str">
            <v>BT02</v>
          </cell>
          <cell r="B327">
            <v>281</v>
          </cell>
          <cell r="C327" t="str">
            <v>Besi Pipa untuk Hydrant BSP Ø  1,25"</v>
          </cell>
          <cell r="D327" t="str">
            <v>bt</v>
          </cell>
          <cell r="E327">
            <v>103000</v>
          </cell>
        </row>
        <row r="328">
          <cell r="A328" t="str">
            <v>BT03</v>
          </cell>
          <cell r="B328">
            <v>282</v>
          </cell>
          <cell r="C328" t="str">
            <v>Besi Pipa untuk Hydrant BSP Ø  1,5"</v>
          </cell>
          <cell r="D328" t="str">
            <v>bt</v>
          </cell>
          <cell r="E328">
            <v>114500</v>
          </cell>
        </row>
        <row r="329">
          <cell r="A329" t="str">
            <v>BT04</v>
          </cell>
          <cell r="B329">
            <v>283</v>
          </cell>
          <cell r="C329" t="str">
            <v>Besi Pipa untuk Hydrant BSP Ø 2"</v>
          </cell>
          <cell r="D329" t="str">
            <v>bt</v>
          </cell>
          <cell r="E329">
            <v>161750</v>
          </cell>
        </row>
        <row r="332">
          <cell r="A332" t="str">
            <v>BT05</v>
          </cell>
          <cell r="B332">
            <v>284</v>
          </cell>
          <cell r="C332" t="str">
            <v>Besi Pipa untuk Hydrant BSP Ø 2,5"</v>
          </cell>
          <cell r="D332" t="str">
            <v>bt</v>
          </cell>
          <cell r="E332">
            <v>238000</v>
          </cell>
        </row>
        <row r="333">
          <cell r="A333" t="str">
            <v>BT06</v>
          </cell>
          <cell r="B333">
            <v>285</v>
          </cell>
          <cell r="C333" t="str">
            <v>Besi Pipa untuk Hydrant BSP Ø  3"</v>
          </cell>
          <cell r="D333" t="str">
            <v>bt</v>
          </cell>
          <cell r="E333">
            <v>311250</v>
          </cell>
        </row>
        <row r="334">
          <cell r="A334" t="str">
            <v>BT07</v>
          </cell>
          <cell r="B334">
            <v>286</v>
          </cell>
          <cell r="C334" t="str">
            <v>Besi Pipa untuk Hydrant BSP Ø  4"</v>
          </cell>
          <cell r="D334" t="str">
            <v>bt</v>
          </cell>
          <cell r="E334">
            <v>445750</v>
          </cell>
        </row>
        <row r="335">
          <cell r="A335" t="str">
            <v>BT08</v>
          </cell>
          <cell r="B335">
            <v>287</v>
          </cell>
          <cell r="C335" t="str">
            <v>Besi Pipa untuk Hydrant BSP Ø  6"</v>
          </cell>
          <cell r="D335" t="str">
            <v>bt</v>
          </cell>
          <cell r="E335">
            <v>754000</v>
          </cell>
        </row>
        <row r="336">
          <cell r="A336" t="str">
            <v>BT09</v>
          </cell>
          <cell r="B336">
            <v>288</v>
          </cell>
          <cell r="C336" t="str">
            <v xml:space="preserve">Besi Pipa Hitam Ø 1" t=2 mm </v>
          </cell>
          <cell r="D336" t="str">
            <v>bt</v>
          </cell>
          <cell r="E336">
            <v>47000</v>
          </cell>
        </row>
        <row r="337">
          <cell r="A337" t="str">
            <v>BT10</v>
          </cell>
          <cell r="B337">
            <v>289</v>
          </cell>
          <cell r="C337" t="str">
            <v xml:space="preserve">Besi Pipa Hitam Ø 2" t=2 mm   </v>
          </cell>
          <cell r="D337" t="str">
            <v>bt</v>
          </cell>
          <cell r="E337">
            <v>100000</v>
          </cell>
        </row>
        <row r="338">
          <cell r="A338" t="str">
            <v>BT11</v>
          </cell>
          <cell r="B338">
            <v>290</v>
          </cell>
          <cell r="C338" t="str">
            <v xml:space="preserve">Besi Pipa Hitam Ø 3" t=2 mm </v>
          </cell>
          <cell r="D338" t="str">
            <v>bt</v>
          </cell>
          <cell r="E338">
            <v>185000</v>
          </cell>
        </row>
        <row r="339">
          <cell r="A339" t="str">
            <v>BT12</v>
          </cell>
          <cell r="B339">
            <v>291</v>
          </cell>
          <cell r="C339" t="str">
            <v xml:space="preserve">Besi Pipa Hitam Ø 4" t=2 mm  </v>
          </cell>
          <cell r="D339" t="str">
            <v>bt</v>
          </cell>
          <cell r="E339">
            <v>245000</v>
          </cell>
        </row>
        <row r="340">
          <cell r="A340" t="str">
            <v>BT13</v>
          </cell>
          <cell r="B340">
            <v>292</v>
          </cell>
          <cell r="C340" t="str">
            <v>Besi Pipa Hitam Ø 5" t=2 mm</v>
          </cell>
          <cell r="D340" t="str">
            <v>bt</v>
          </cell>
          <cell r="E340">
            <v>345000</v>
          </cell>
        </row>
        <row r="341">
          <cell r="A341" t="str">
            <v>BT14</v>
          </cell>
          <cell r="B341">
            <v>293</v>
          </cell>
          <cell r="C341" t="str">
            <v>Pipa GIP Medium B Ø 1/2"  ( 6 m1 )</v>
          </cell>
          <cell r="D341" t="str">
            <v>bt</v>
          </cell>
          <cell r="E341">
            <v>47000</v>
          </cell>
        </row>
        <row r="342">
          <cell r="A342" t="str">
            <v>BT15</v>
          </cell>
          <cell r="B342">
            <v>294</v>
          </cell>
          <cell r="C342" t="str">
            <v>Pipa GIP Medium B Ø 3/4"  ( 6 m1 )</v>
          </cell>
          <cell r="D342" t="str">
            <v>bt</v>
          </cell>
          <cell r="E342">
            <v>56000</v>
          </cell>
        </row>
        <row r="343">
          <cell r="A343" t="str">
            <v>BT16</v>
          </cell>
          <cell r="B343">
            <v>295</v>
          </cell>
          <cell r="C343" t="str">
            <v>Pipa GIP Medium B Ø 1"   ( 6 m1 )</v>
          </cell>
          <cell r="D343" t="str">
            <v>bt</v>
          </cell>
          <cell r="E343">
            <v>84000</v>
          </cell>
        </row>
        <row r="344">
          <cell r="A344" t="str">
            <v>BT17</v>
          </cell>
          <cell r="B344">
            <v>296</v>
          </cell>
          <cell r="C344" t="str">
            <v>Pipa GIP Medium B Ø 1 1/4"  ( 6 m1 )</v>
          </cell>
          <cell r="D344" t="str">
            <v>bt</v>
          </cell>
          <cell r="E344">
            <v>120000</v>
          </cell>
        </row>
        <row r="345">
          <cell r="A345" t="str">
            <v>BT18</v>
          </cell>
          <cell r="B345">
            <v>297</v>
          </cell>
          <cell r="C345" t="str">
            <v>Pipa GIP Medium B Ø 1 1/2" ( 6 m1 )</v>
          </cell>
          <cell r="D345" t="str">
            <v>bt</v>
          </cell>
          <cell r="E345">
            <v>133000</v>
          </cell>
        </row>
        <row r="346">
          <cell r="A346" t="str">
            <v>BT19</v>
          </cell>
          <cell r="B346">
            <v>298</v>
          </cell>
          <cell r="C346" t="str">
            <v>Pipa GIP Medium B Ø 1 3/4"( 6 m1 )</v>
          </cell>
          <cell r="D346" t="str">
            <v>bt</v>
          </cell>
          <cell r="E346">
            <v>170000</v>
          </cell>
        </row>
        <row r="347">
          <cell r="A347" t="str">
            <v>BT20</v>
          </cell>
          <cell r="B347">
            <v>299</v>
          </cell>
          <cell r="C347" t="str">
            <v>Pipa GIP Medium B Ø 2"  ( 6 m1 )</v>
          </cell>
          <cell r="D347" t="str">
            <v>bt</v>
          </cell>
          <cell r="E347">
            <v>179000</v>
          </cell>
        </row>
        <row r="348">
          <cell r="A348" t="str">
            <v>BT21</v>
          </cell>
          <cell r="B348">
            <v>300</v>
          </cell>
          <cell r="C348" t="str">
            <v>Pipa GIP Medium B Ø 2 1/2" ( 6 m1 )</v>
          </cell>
          <cell r="D348" t="str">
            <v>bt</v>
          </cell>
          <cell r="E348">
            <v>254000</v>
          </cell>
        </row>
        <row r="349">
          <cell r="A349" t="str">
            <v>BT22</v>
          </cell>
          <cell r="B349">
            <v>301</v>
          </cell>
          <cell r="C349" t="str">
            <v>Pipa GIP Medium B Ø 3"  ( 6 m1 )</v>
          </cell>
          <cell r="D349" t="str">
            <v>bt</v>
          </cell>
          <cell r="E349">
            <v>340000</v>
          </cell>
        </row>
        <row r="350">
          <cell r="A350" t="str">
            <v>BT23</v>
          </cell>
          <cell r="B350">
            <v>302</v>
          </cell>
          <cell r="C350" t="str">
            <v>Pipa GIP Medium B Ø 4"  ( 6 m1 )</v>
          </cell>
          <cell r="D350" t="str">
            <v>bt</v>
          </cell>
          <cell r="E350">
            <v>455000</v>
          </cell>
        </row>
        <row r="351">
          <cell r="A351" t="str">
            <v>BT24</v>
          </cell>
          <cell r="B351">
            <v>303</v>
          </cell>
          <cell r="C351" t="str">
            <v>Macam2 Sambungan GIP Ø 1/2"</v>
          </cell>
          <cell r="D351" t="str">
            <v>bh</v>
          </cell>
          <cell r="E351">
            <v>2900</v>
          </cell>
        </row>
        <row r="352">
          <cell r="A352" t="str">
            <v>BT25</v>
          </cell>
          <cell r="B352">
            <v>304</v>
          </cell>
          <cell r="C352" t="str">
            <v>Macam2 Sambungan GIP Ø 3/4"</v>
          </cell>
          <cell r="D352" t="str">
            <v>bh</v>
          </cell>
          <cell r="E352">
            <v>3500</v>
          </cell>
        </row>
        <row r="353">
          <cell r="A353" t="str">
            <v>BT26</v>
          </cell>
          <cell r="B353">
            <v>305</v>
          </cell>
          <cell r="C353" t="str">
            <v>Macam2 Sambungan GIP Ø 1"</v>
          </cell>
          <cell r="D353" t="str">
            <v>bh</v>
          </cell>
          <cell r="E353">
            <v>5750</v>
          </cell>
        </row>
        <row r="354">
          <cell r="A354" t="str">
            <v>BT27</v>
          </cell>
          <cell r="B354">
            <v>306</v>
          </cell>
          <cell r="C354" t="str">
            <v>Macam2 Sambungan GIP Ø 1 1/4"</v>
          </cell>
          <cell r="D354" t="str">
            <v>bh</v>
          </cell>
          <cell r="E354">
            <v>8750</v>
          </cell>
        </row>
        <row r="355">
          <cell r="A355" t="str">
            <v>BT28</v>
          </cell>
          <cell r="B355">
            <v>307</v>
          </cell>
          <cell r="C355" t="str">
            <v>Macam2 Sambungan GIP Ø 11/2"</v>
          </cell>
          <cell r="D355" t="str">
            <v>bh</v>
          </cell>
          <cell r="E355">
            <v>9750</v>
          </cell>
        </row>
        <row r="356">
          <cell r="A356" t="str">
            <v>BT29</v>
          </cell>
          <cell r="B356">
            <v>308</v>
          </cell>
          <cell r="C356" t="str">
            <v>Macam2 Sambungan GIP Ø 13/4"</v>
          </cell>
          <cell r="D356" t="str">
            <v>bh</v>
          </cell>
          <cell r="E356">
            <v>12000</v>
          </cell>
        </row>
        <row r="357">
          <cell r="A357" t="str">
            <v>BT30</v>
          </cell>
          <cell r="B357">
            <v>309</v>
          </cell>
          <cell r="C357" t="str">
            <v>Macam2 Sambungan GIP Ø 2"</v>
          </cell>
          <cell r="D357" t="str">
            <v>bh</v>
          </cell>
          <cell r="E357">
            <v>20000</v>
          </cell>
        </row>
        <row r="358">
          <cell r="A358" t="str">
            <v>BT31</v>
          </cell>
          <cell r="B358">
            <v>310</v>
          </cell>
          <cell r="C358" t="str">
            <v>Macam2 Sambungan GIP Ø 2 1/2"</v>
          </cell>
          <cell r="D358" t="str">
            <v>bh</v>
          </cell>
          <cell r="E358">
            <v>25500</v>
          </cell>
        </row>
        <row r="359">
          <cell r="A359" t="str">
            <v>BT32</v>
          </cell>
          <cell r="B359">
            <v>311</v>
          </cell>
          <cell r="C359" t="str">
            <v>Macam2 Sambungan GIP Ø 3"</v>
          </cell>
          <cell r="D359" t="str">
            <v>bh</v>
          </cell>
          <cell r="E359">
            <v>34500</v>
          </cell>
        </row>
        <row r="360">
          <cell r="A360" t="str">
            <v>BT33</v>
          </cell>
          <cell r="B360">
            <v>312</v>
          </cell>
          <cell r="C360" t="str">
            <v>Macam2 Sambungan GIP Ø 4"</v>
          </cell>
          <cell r="D360" t="str">
            <v>bh</v>
          </cell>
          <cell r="E360">
            <v>49500</v>
          </cell>
        </row>
        <row r="361">
          <cell r="A361" t="str">
            <v>BT34</v>
          </cell>
          <cell r="B361">
            <v>313</v>
          </cell>
          <cell r="C361" t="str">
            <v xml:space="preserve">Pipa PVC RUCIKA type AW  Ø 1/2" </v>
          </cell>
          <cell r="D361" t="str">
            <v>bt</v>
          </cell>
          <cell r="E361">
            <v>17500</v>
          </cell>
        </row>
        <row r="362">
          <cell r="A362" t="str">
            <v>BT35</v>
          </cell>
          <cell r="B362">
            <v>314</v>
          </cell>
          <cell r="C362" t="str">
            <v xml:space="preserve">Pipa PVC RUCIKA type AW    Ø 3/4" </v>
          </cell>
          <cell r="D362" t="str">
            <v>bt</v>
          </cell>
          <cell r="E362">
            <v>17750</v>
          </cell>
        </row>
        <row r="363">
          <cell r="A363" t="str">
            <v>BT36</v>
          </cell>
          <cell r="B363">
            <v>315</v>
          </cell>
          <cell r="C363" t="str">
            <v xml:space="preserve">Pipa PVC RUCIKA type AW    Ø 1" </v>
          </cell>
          <cell r="D363" t="str">
            <v>bt</v>
          </cell>
          <cell r="E363">
            <v>22250</v>
          </cell>
        </row>
        <row r="364">
          <cell r="A364" t="str">
            <v>BT37</v>
          </cell>
          <cell r="B364">
            <v>316</v>
          </cell>
          <cell r="C364" t="str">
            <v xml:space="preserve">Pipa PVC RUCIKA type AW    Ø 1 1/4" </v>
          </cell>
          <cell r="D364" t="str">
            <v>bt</v>
          </cell>
          <cell r="E364">
            <v>47500</v>
          </cell>
        </row>
        <row r="365">
          <cell r="A365" t="str">
            <v>BT38</v>
          </cell>
          <cell r="B365">
            <v>317</v>
          </cell>
          <cell r="C365" t="str">
            <v xml:space="preserve">Pipa PVC RUCIKA type AW    Ø 1 1/2" </v>
          </cell>
          <cell r="D365" t="str">
            <v>bt</v>
          </cell>
          <cell r="E365">
            <v>45750</v>
          </cell>
        </row>
        <row r="366">
          <cell r="A366" t="str">
            <v>BT39</v>
          </cell>
          <cell r="B366">
            <v>318</v>
          </cell>
          <cell r="C366" t="str">
            <v xml:space="preserve">Pipa PVC RUCIKA type AW    Ø 2" </v>
          </cell>
          <cell r="D366" t="str">
            <v>bt</v>
          </cell>
          <cell r="E366">
            <v>70250</v>
          </cell>
        </row>
        <row r="367">
          <cell r="A367" t="str">
            <v>BT40</v>
          </cell>
          <cell r="B367">
            <v>319</v>
          </cell>
          <cell r="C367" t="str">
            <v xml:space="preserve">Pipa PVC RUCIKA type AW    Ø 2 1/2" </v>
          </cell>
          <cell r="D367" t="str">
            <v>bt</v>
          </cell>
          <cell r="E367">
            <v>91250</v>
          </cell>
        </row>
        <row r="368">
          <cell r="A368" t="str">
            <v>BT41</v>
          </cell>
          <cell r="B368">
            <v>320</v>
          </cell>
          <cell r="C368" t="str">
            <v xml:space="preserve">Pipa PVC RUCIKA type AW    Ø 3" </v>
          </cell>
          <cell r="D368" t="str">
            <v>bt</v>
          </cell>
          <cell r="E368">
            <v>131500</v>
          </cell>
        </row>
        <row r="369">
          <cell r="A369" t="str">
            <v>BT42</v>
          </cell>
          <cell r="B369">
            <v>321</v>
          </cell>
          <cell r="C369" t="str">
            <v xml:space="preserve">Pipa PVC RUCIKA type AW    Ø 4" </v>
          </cell>
          <cell r="D369" t="str">
            <v>bt</v>
          </cell>
          <cell r="E369">
            <v>196250</v>
          </cell>
        </row>
        <row r="370">
          <cell r="A370" t="str">
            <v>BT43</v>
          </cell>
          <cell r="B370">
            <v>322</v>
          </cell>
          <cell r="C370" t="str">
            <v xml:space="preserve">Pipa PVC RUCIKA type AW    Ø 6" </v>
          </cell>
          <cell r="D370" t="str">
            <v>bt</v>
          </cell>
          <cell r="E370">
            <v>418000</v>
          </cell>
        </row>
        <row r="373">
          <cell r="A373" t="str">
            <v>BT44</v>
          </cell>
          <cell r="B373">
            <v>323</v>
          </cell>
          <cell r="C373" t="str">
            <v xml:space="preserve">Pipa PVC RUCIKA type AW    Ø 8" </v>
          </cell>
          <cell r="D373" t="str">
            <v>bt</v>
          </cell>
          <cell r="E373">
            <v>620000</v>
          </cell>
        </row>
        <row r="374">
          <cell r="A374" t="str">
            <v>BT45</v>
          </cell>
          <cell r="B374">
            <v>324</v>
          </cell>
          <cell r="C374" t="str">
            <v>Pipa PVC  MASPION ABU Ø 1/2" (AW)</v>
          </cell>
          <cell r="D374" t="str">
            <v>bt</v>
          </cell>
          <cell r="E374">
            <v>10000</v>
          </cell>
        </row>
        <row r="375">
          <cell r="A375" t="str">
            <v>BT46</v>
          </cell>
          <cell r="B375">
            <v>325</v>
          </cell>
          <cell r="C375" t="str">
            <v>Pipa PVC  MASPION ABU Ø 3/4" (AW)</v>
          </cell>
          <cell r="D375" t="str">
            <v>bt</v>
          </cell>
          <cell r="E375">
            <v>13000</v>
          </cell>
        </row>
        <row r="376">
          <cell r="A376" t="str">
            <v>BT47</v>
          </cell>
          <cell r="B376">
            <v>326</v>
          </cell>
          <cell r="C376" t="str">
            <v>Pipa PVC  MASPION ABU Ø 1" (AW)</v>
          </cell>
          <cell r="D376" t="str">
            <v>bt</v>
          </cell>
          <cell r="E376">
            <v>15000</v>
          </cell>
        </row>
        <row r="377">
          <cell r="A377" t="str">
            <v>BT48</v>
          </cell>
          <cell r="B377">
            <v>327</v>
          </cell>
          <cell r="C377" t="str">
            <v>Pipa PVC  MASPION ABU Ø 1 1/4" (AW)</v>
          </cell>
          <cell r="D377" t="str">
            <v>bt</v>
          </cell>
          <cell r="E377">
            <v>30000</v>
          </cell>
        </row>
        <row r="378">
          <cell r="A378" t="str">
            <v>BT49</v>
          </cell>
          <cell r="B378">
            <v>328</v>
          </cell>
          <cell r="C378" t="str">
            <v>Pipa PVC  MASPION ABU Ø 1 1/2" (AW)</v>
          </cell>
          <cell r="D378" t="str">
            <v>bt</v>
          </cell>
          <cell r="E378">
            <v>29000</v>
          </cell>
        </row>
        <row r="379">
          <cell r="A379" t="str">
            <v>BT50</v>
          </cell>
          <cell r="B379">
            <v>329</v>
          </cell>
          <cell r="C379" t="str">
            <v>Pipa PVC  MASPION ABU Ø 2" (AW)</v>
          </cell>
          <cell r="D379" t="str">
            <v>bt</v>
          </cell>
          <cell r="E379">
            <v>43000</v>
          </cell>
        </row>
        <row r="380">
          <cell r="A380" t="str">
            <v>BT51</v>
          </cell>
          <cell r="B380">
            <v>330</v>
          </cell>
          <cell r="C380" t="str">
            <v>Pipa PVC  MASPION ABU Ø 2 1/2" (AW)</v>
          </cell>
          <cell r="D380" t="str">
            <v>bt</v>
          </cell>
          <cell r="E380">
            <v>50000</v>
          </cell>
        </row>
        <row r="381">
          <cell r="A381" t="str">
            <v>BT52</v>
          </cell>
          <cell r="B381">
            <v>331</v>
          </cell>
          <cell r="C381" t="str">
            <v>Pipa PVC  MASPION ABU Ø 3" (AW)</v>
          </cell>
          <cell r="D381" t="str">
            <v>bt</v>
          </cell>
          <cell r="E381">
            <v>73000</v>
          </cell>
        </row>
        <row r="382">
          <cell r="A382" t="str">
            <v>BT53</v>
          </cell>
          <cell r="B382">
            <v>332</v>
          </cell>
          <cell r="C382" t="str">
            <v>Pipa PVC  MASPION ABU Ø 4" (AW)</v>
          </cell>
          <cell r="D382" t="str">
            <v>bt</v>
          </cell>
          <cell r="E382">
            <v>110000</v>
          </cell>
        </row>
        <row r="383">
          <cell r="A383" t="str">
            <v>BT54</v>
          </cell>
          <cell r="B383">
            <v>333</v>
          </cell>
          <cell r="C383" t="str">
            <v>Macam2 Sambungan Paralon Ø 1/2"</v>
          </cell>
          <cell r="D383" t="str">
            <v>bh</v>
          </cell>
          <cell r="E383">
            <v>1000</v>
          </cell>
        </row>
        <row r="384">
          <cell r="A384" t="str">
            <v>BT55</v>
          </cell>
          <cell r="B384">
            <v>334</v>
          </cell>
          <cell r="C384" t="str">
            <v>Macam2 Sambungan Paralon Ø 3/4"</v>
          </cell>
          <cell r="D384" t="str">
            <v>bh</v>
          </cell>
          <cell r="E384">
            <v>1250</v>
          </cell>
        </row>
        <row r="385">
          <cell r="A385" t="str">
            <v>BT56</v>
          </cell>
          <cell r="B385">
            <v>335</v>
          </cell>
          <cell r="C385" t="str">
            <v>Macam2 Sambungan Paralon Ø 1"</v>
          </cell>
          <cell r="D385" t="str">
            <v>bh</v>
          </cell>
          <cell r="E385">
            <v>1500</v>
          </cell>
        </row>
        <row r="386">
          <cell r="A386" t="str">
            <v>BT57</v>
          </cell>
          <cell r="B386">
            <v>336</v>
          </cell>
          <cell r="C386" t="str">
            <v>Macam2 Sambungan Paralon Ø 1 1/4"</v>
          </cell>
          <cell r="D386" t="str">
            <v>bh</v>
          </cell>
          <cell r="E386">
            <v>3500</v>
          </cell>
        </row>
        <row r="387">
          <cell r="A387" t="str">
            <v>BT58</v>
          </cell>
          <cell r="B387">
            <v>337</v>
          </cell>
          <cell r="C387" t="str">
            <v>Macam2 Sambungan Paralon Ø 1 1/2"</v>
          </cell>
          <cell r="D387" t="str">
            <v>bh</v>
          </cell>
          <cell r="E387">
            <v>3500</v>
          </cell>
        </row>
        <row r="388">
          <cell r="A388" t="str">
            <v>BT59</v>
          </cell>
          <cell r="B388">
            <v>338</v>
          </cell>
          <cell r="C388" t="str">
            <v>Macam2 Sambungan Paralon Ø 1 3/4"</v>
          </cell>
          <cell r="D388" t="str">
            <v>bh</v>
          </cell>
          <cell r="E388">
            <v>4000</v>
          </cell>
        </row>
        <row r="389">
          <cell r="A389" t="str">
            <v>BT60</v>
          </cell>
          <cell r="B389">
            <v>339</v>
          </cell>
          <cell r="C389" t="str">
            <v>Macam2 Sambungan Paralon Ø 2"</v>
          </cell>
          <cell r="D389" t="str">
            <v>bh</v>
          </cell>
          <cell r="E389">
            <v>7000</v>
          </cell>
        </row>
        <row r="390">
          <cell r="A390" t="str">
            <v>BT61</v>
          </cell>
          <cell r="B390">
            <v>340</v>
          </cell>
          <cell r="C390" t="str">
            <v>Macam2 Samb. Paralon Ø 2 1/2"</v>
          </cell>
          <cell r="D390" t="str">
            <v>bh</v>
          </cell>
          <cell r="E390">
            <v>10500</v>
          </cell>
        </row>
        <row r="391">
          <cell r="A391" t="str">
            <v>BT62</v>
          </cell>
          <cell r="B391">
            <v>341</v>
          </cell>
          <cell r="C391" t="str">
            <v>Macam2 Samb. Paralon Ø 3"</v>
          </cell>
          <cell r="D391" t="str">
            <v>bh</v>
          </cell>
          <cell r="E391">
            <v>22000</v>
          </cell>
        </row>
        <row r="392">
          <cell r="A392" t="str">
            <v>BT63</v>
          </cell>
          <cell r="B392">
            <v>342</v>
          </cell>
          <cell r="C392" t="str">
            <v>Macam2 Samb. Paralon Ø 4"</v>
          </cell>
          <cell r="D392" t="str">
            <v>bh</v>
          </cell>
          <cell r="E392">
            <v>29000</v>
          </cell>
        </row>
        <row r="393">
          <cell r="A393" t="str">
            <v>BT64</v>
          </cell>
          <cell r="B393">
            <v>343</v>
          </cell>
          <cell r="C393" t="str">
            <v>Sambungan Pipa PVC Jenis AW 4 " TY</v>
          </cell>
          <cell r="D393" t="str">
            <v>bh</v>
          </cell>
          <cell r="E393">
            <v>47000</v>
          </cell>
        </row>
        <row r="394">
          <cell r="A394" t="str">
            <v>BT65</v>
          </cell>
          <cell r="B394">
            <v>344</v>
          </cell>
          <cell r="C394" t="str">
            <v>Lem Paralon</v>
          </cell>
          <cell r="D394" t="str">
            <v>tb</v>
          </cell>
          <cell r="E394">
            <v>3000</v>
          </cell>
        </row>
        <row r="395">
          <cell r="A395" t="str">
            <v>BT66</v>
          </cell>
          <cell r="B395">
            <v>345</v>
          </cell>
          <cell r="C395" t="str">
            <v>Solatip Leideng</v>
          </cell>
          <cell r="D395" t="str">
            <v>gl</v>
          </cell>
          <cell r="E395">
            <v>1750</v>
          </cell>
        </row>
        <row r="396">
          <cell r="A396" t="str">
            <v>BT67</v>
          </cell>
          <cell r="B396">
            <v>346</v>
          </cell>
          <cell r="C396" t="str">
            <v>Pipa PVC 4" berlobang jenis AW</v>
          </cell>
          <cell r="D396" t="str">
            <v>m1</v>
          </cell>
          <cell r="E396">
            <v>17000</v>
          </cell>
        </row>
        <row r="398">
          <cell r="C398" t="str">
            <v>L. BAHAN SANITAIR</v>
          </cell>
        </row>
        <row r="399">
          <cell r="A399" t="str">
            <v>BV01</v>
          </cell>
          <cell r="B399">
            <v>347</v>
          </cell>
          <cell r="C399" t="str">
            <v>Stop Kran 3/4 " KIT</v>
          </cell>
          <cell r="D399" t="str">
            <v>bh</v>
          </cell>
          <cell r="E399">
            <v>71000</v>
          </cell>
        </row>
        <row r="400">
          <cell r="A400" t="str">
            <v>BV02</v>
          </cell>
          <cell r="B400">
            <v>348</v>
          </cell>
          <cell r="C400" t="str">
            <v>Stop Kran 1 " KIT</v>
          </cell>
          <cell r="D400" t="str">
            <v>bh</v>
          </cell>
          <cell r="E400">
            <v>105000</v>
          </cell>
        </row>
        <row r="401">
          <cell r="A401" t="str">
            <v>BV03</v>
          </cell>
          <cell r="B401">
            <v>349</v>
          </cell>
          <cell r="C401" t="str">
            <v>Stop Kran 1 1/2 " KIT</v>
          </cell>
          <cell r="D401" t="str">
            <v>bh</v>
          </cell>
          <cell r="E401">
            <v>200000</v>
          </cell>
        </row>
        <row r="402">
          <cell r="A402" t="str">
            <v>BV04</v>
          </cell>
          <cell r="B402">
            <v>350</v>
          </cell>
          <cell r="C402" t="str">
            <v>Stop Kran 2 " KIT</v>
          </cell>
          <cell r="D402" t="str">
            <v>bh</v>
          </cell>
          <cell r="E402">
            <v>295000</v>
          </cell>
        </row>
        <row r="403">
          <cell r="A403" t="str">
            <v>BV05</v>
          </cell>
          <cell r="B403">
            <v>351</v>
          </cell>
          <cell r="C403" t="str">
            <v>Stop Kran 2 1/2" KIT</v>
          </cell>
          <cell r="D403" t="str">
            <v>bh</v>
          </cell>
          <cell r="E403">
            <v>383000</v>
          </cell>
        </row>
        <row r="404">
          <cell r="A404" t="str">
            <v>BV06</v>
          </cell>
          <cell r="B404">
            <v>352</v>
          </cell>
          <cell r="C404" t="str">
            <v>Stop Kran 3 " KIT</v>
          </cell>
          <cell r="D404" t="str">
            <v>bh</v>
          </cell>
          <cell r="E404">
            <v>459000</v>
          </cell>
        </row>
        <row r="405">
          <cell r="A405" t="str">
            <v>BV07</v>
          </cell>
          <cell r="B405">
            <v>353</v>
          </cell>
          <cell r="C405" t="str">
            <v>Check Valve 1/2 "</v>
          </cell>
          <cell r="D405" t="str">
            <v>bh</v>
          </cell>
          <cell r="E405">
            <v>71000</v>
          </cell>
        </row>
        <row r="406">
          <cell r="A406" t="str">
            <v>BV08</v>
          </cell>
          <cell r="B406">
            <v>354</v>
          </cell>
          <cell r="C406" t="str">
            <v>Double Neple 1/2 "</v>
          </cell>
          <cell r="D406" t="str">
            <v>bh</v>
          </cell>
          <cell r="E406">
            <v>22000</v>
          </cell>
        </row>
        <row r="407">
          <cell r="A407" t="str">
            <v>BV09</v>
          </cell>
          <cell r="B407">
            <v>355</v>
          </cell>
          <cell r="C407" t="str">
            <v>Water Mur 1/2 "</v>
          </cell>
          <cell r="D407" t="str">
            <v>bh</v>
          </cell>
          <cell r="E407">
            <v>22000</v>
          </cell>
        </row>
        <row r="408">
          <cell r="A408" t="str">
            <v>BV10</v>
          </cell>
          <cell r="B408">
            <v>356</v>
          </cell>
          <cell r="C408" t="str">
            <v>Gate Walve 1/2 "</v>
          </cell>
          <cell r="D408" t="str">
            <v>bh</v>
          </cell>
          <cell r="E408">
            <v>28000</v>
          </cell>
        </row>
        <row r="409">
          <cell r="A409" t="str">
            <v>BV11</v>
          </cell>
          <cell r="B409">
            <v>357</v>
          </cell>
          <cell r="C409" t="str">
            <v xml:space="preserve">Saringan Air Lt KM Stainless Steel </v>
          </cell>
          <cell r="D409" t="str">
            <v>bh</v>
          </cell>
          <cell r="E409">
            <v>28000</v>
          </cell>
        </row>
        <row r="410">
          <cell r="A410" t="str">
            <v>BV12</v>
          </cell>
          <cell r="B410">
            <v>358</v>
          </cell>
          <cell r="C410" t="str">
            <v>Apooer Bath Tube</v>
          </cell>
          <cell r="D410" t="str">
            <v>bh</v>
          </cell>
          <cell r="E410">
            <v>137000</v>
          </cell>
        </row>
        <row r="411">
          <cell r="A411" t="str">
            <v>BV13</v>
          </cell>
          <cell r="B411">
            <v>359</v>
          </cell>
          <cell r="C411" t="str">
            <v>Kran stain less Lokal Kait</v>
          </cell>
          <cell r="D411" t="str">
            <v>bh</v>
          </cell>
          <cell r="E411">
            <v>24000</v>
          </cell>
        </row>
        <row r="414">
          <cell r="A414" t="str">
            <v>BV14</v>
          </cell>
          <cell r="B414">
            <v>360</v>
          </cell>
          <cell r="C414" t="str">
            <v xml:space="preserve">Shower Dengan Tiang </v>
          </cell>
          <cell r="D414" t="str">
            <v>bh</v>
          </cell>
          <cell r="E414">
            <v>466000</v>
          </cell>
        </row>
        <row r="415">
          <cell r="A415" t="str">
            <v>BV15</v>
          </cell>
          <cell r="B415">
            <v>361</v>
          </cell>
          <cell r="C415" t="str">
            <v xml:space="preserve">Shower Tanpa Tiang </v>
          </cell>
          <cell r="D415" t="str">
            <v>bh</v>
          </cell>
          <cell r="E415">
            <v>138000</v>
          </cell>
        </row>
        <row r="416">
          <cell r="A416" t="str">
            <v>BV16</v>
          </cell>
          <cell r="B416">
            <v>362</v>
          </cell>
          <cell r="C416" t="str">
            <v xml:space="preserve">Kran Tembok Sun Eui  dia. 1/2 " </v>
          </cell>
          <cell r="D416" t="str">
            <v>bh</v>
          </cell>
          <cell r="E416">
            <v>40000</v>
          </cell>
        </row>
        <row r="417">
          <cell r="A417" t="str">
            <v>BV17</v>
          </cell>
          <cell r="B417">
            <v>363</v>
          </cell>
          <cell r="C417" t="str">
            <v xml:space="preserve">Kran Tembok ITAP dia. 1/2 " </v>
          </cell>
          <cell r="D417" t="str">
            <v>bh</v>
          </cell>
          <cell r="E417">
            <v>29000</v>
          </cell>
        </row>
        <row r="418">
          <cell r="A418" t="str">
            <v>BV18</v>
          </cell>
          <cell r="B418">
            <v>364</v>
          </cell>
          <cell r="C418" t="str">
            <v xml:space="preserve">Kran Bebek Sun Eui 1/2 " </v>
          </cell>
          <cell r="D418" t="str">
            <v>bh</v>
          </cell>
          <cell r="E418">
            <v>114000</v>
          </cell>
        </row>
        <row r="419">
          <cell r="A419" t="str">
            <v>BV19</v>
          </cell>
          <cell r="B419">
            <v>365</v>
          </cell>
          <cell r="C419" t="str">
            <v>Kran Bebek ITAP 1/2 "</v>
          </cell>
          <cell r="D419" t="str">
            <v>bh</v>
          </cell>
          <cell r="E419">
            <v>62000</v>
          </cell>
        </row>
        <row r="420">
          <cell r="A420" t="str">
            <v>BV20</v>
          </cell>
          <cell r="B420">
            <v>366</v>
          </cell>
          <cell r="C420" t="str">
            <v>Kran Panas Dingin San Eui  Standard</v>
          </cell>
          <cell r="D420" t="str">
            <v>bh</v>
          </cell>
          <cell r="E420">
            <v>295000</v>
          </cell>
        </row>
        <row r="421">
          <cell r="A421" t="str">
            <v>BV21</v>
          </cell>
          <cell r="B421">
            <v>367</v>
          </cell>
          <cell r="C421" t="str">
            <v xml:space="preserve">Bath Cape  Washteren </v>
          </cell>
          <cell r="D421" t="str">
            <v>unit</v>
          </cell>
          <cell r="E421">
            <v>1140000</v>
          </cell>
        </row>
        <row r="422">
          <cell r="A422" t="str">
            <v>BV22</v>
          </cell>
          <cell r="B422">
            <v>368</v>
          </cell>
          <cell r="C422" t="str">
            <v>Tempat Sabun Poslin</v>
          </cell>
          <cell r="D422" t="str">
            <v>bh</v>
          </cell>
          <cell r="E422">
            <v>24000</v>
          </cell>
        </row>
        <row r="423">
          <cell r="A423" t="str">
            <v>BV23</v>
          </cell>
          <cell r="B423">
            <v>369</v>
          </cell>
          <cell r="C423" t="str">
            <v xml:space="preserve">Wastafel Lengkap TOTO LW 230 </v>
          </cell>
          <cell r="D423" t="str">
            <v>unit</v>
          </cell>
          <cell r="E423">
            <v>546000</v>
          </cell>
        </row>
        <row r="424">
          <cell r="A424" t="str">
            <v>BV24</v>
          </cell>
          <cell r="B424">
            <v>370</v>
          </cell>
          <cell r="C424" t="str">
            <v>Wastafel Lengkap INA</v>
          </cell>
          <cell r="D424" t="str">
            <v>unit</v>
          </cell>
          <cell r="E424">
            <v>361000</v>
          </cell>
        </row>
        <row r="425">
          <cell r="A425" t="str">
            <v>BV25</v>
          </cell>
          <cell r="B425">
            <v>371</v>
          </cell>
          <cell r="C425" t="str">
            <v>Closet Jongkok Poslin warna  TOTO</v>
          </cell>
          <cell r="D425" t="str">
            <v>unit</v>
          </cell>
          <cell r="E425">
            <v>133000</v>
          </cell>
        </row>
        <row r="426">
          <cell r="A426" t="str">
            <v>BV26</v>
          </cell>
          <cell r="B426">
            <v>372</v>
          </cell>
          <cell r="C426" t="str">
            <v>Closet Jongkok Standard Putih Poslin TOTO</v>
          </cell>
          <cell r="D426" t="str">
            <v>unit</v>
          </cell>
          <cell r="E426">
            <v>86000</v>
          </cell>
        </row>
        <row r="427">
          <cell r="A427" t="str">
            <v>BV27</v>
          </cell>
          <cell r="B427">
            <v>373</v>
          </cell>
          <cell r="C427" t="str">
            <v>Closet Jongkok Lengkap Sistem Jet TOTO</v>
          </cell>
          <cell r="D427" t="str">
            <v>unit</v>
          </cell>
          <cell r="E427">
            <v>1140000</v>
          </cell>
        </row>
        <row r="428">
          <cell r="A428" t="str">
            <v>BV28</v>
          </cell>
          <cell r="B428">
            <v>374</v>
          </cell>
          <cell r="C428" t="str">
            <v>Closet Duduk Warna Standard  TOTO C 240 Lengkap</v>
          </cell>
          <cell r="D428" t="str">
            <v>unit</v>
          </cell>
          <cell r="E428">
            <v>903000</v>
          </cell>
        </row>
        <row r="429">
          <cell r="A429" t="str">
            <v>BV29</v>
          </cell>
          <cell r="B429">
            <v>375</v>
          </cell>
          <cell r="C429" t="str">
            <v>Wastafel Bulat Warna Standard Lengkap</v>
          </cell>
          <cell r="D429" t="str">
            <v>unit</v>
          </cell>
          <cell r="E429">
            <v>618000</v>
          </cell>
        </row>
        <row r="430">
          <cell r="A430" t="str">
            <v>BV30</v>
          </cell>
          <cell r="B430">
            <v>376</v>
          </cell>
          <cell r="C430" t="str">
            <v>Closet Duduk Warna Standard lengkap INA</v>
          </cell>
          <cell r="D430" t="str">
            <v>bh</v>
          </cell>
          <cell r="E430">
            <v>689000</v>
          </cell>
        </row>
        <row r="431">
          <cell r="A431" t="str">
            <v>BV31</v>
          </cell>
          <cell r="B431">
            <v>377</v>
          </cell>
          <cell r="C431" t="str">
            <v xml:space="preserve">Urinoar Lengkap TOTO Warna Standard lengkap </v>
          </cell>
          <cell r="D431" t="str">
            <v>unit</v>
          </cell>
          <cell r="E431">
            <v>931000</v>
          </cell>
        </row>
        <row r="432">
          <cell r="A432" t="str">
            <v>BV32</v>
          </cell>
          <cell r="B432">
            <v>378</v>
          </cell>
          <cell r="C432" t="str">
            <v xml:space="preserve">Penyekat Poslin Urinoar TOTO </v>
          </cell>
          <cell r="D432" t="str">
            <v>lbr</v>
          </cell>
          <cell r="E432">
            <v>252000</v>
          </cell>
        </row>
        <row r="433">
          <cell r="A433" t="str">
            <v>BV33</v>
          </cell>
          <cell r="B433">
            <v>379</v>
          </cell>
          <cell r="C433" t="str">
            <v>Kitchen Zink Stainless Standard Lokal ( 1 Lobang )</v>
          </cell>
          <cell r="D433" t="str">
            <v>bh</v>
          </cell>
          <cell r="E433">
            <v>197000</v>
          </cell>
        </row>
        <row r="434">
          <cell r="A434" t="str">
            <v>BV34</v>
          </cell>
          <cell r="B434">
            <v>380</v>
          </cell>
          <cell r="C434" t="str">
            <v>Kitchen Zink Stainless Non Standard Franke ( 1 Lobang )</v>
          </cell>
          <cell r="D434" t="str">
            <v>bh</v>
          </cell>
          <cell r="E434">
            <v>603000</v>
          </cell>
        </row>
        <row r="435">
          <cell r="A435" t="str">
            <v>BV35</v>
          </cell>
          <cell r="B435">
            <v>381</v>
          </cell>
          <cell r="C435" t="str">
            <v>Kitchen Zink Stainless Non Standard Franke ( 2 Lobang )</v>
          </cell>
          <cell r="D435" t="str">
            <v>bh</v>
          </cell>
          <cell r="E435">
            <v>903000</v>
          </cell>
        </row>
        <row r="437">
          <cell r="C437" t="str">
            <v>M. BAHAN PENUTUP ATAP</v>
          </cell>
        </row>
        <row r="438">
          <cell r="A438" t="str">
            <v>BX01</v>
          </cell>
          <cell r="B438">
            <v>382</v>
          </cell>
          <cell r="C438" t="str">
            <v>Atap Plastik Gelombang 80 x 180</v>
          </cell>
          <cell r="D438" t="str">
            <v>lbr</v>
          </cell>
          <cell r="E438">
            <v>10750</v>
          </cell>
        </row>
        <row r="439">
          <cell r="A439" t="str">
            <v>BX02</v>
          </cell>
          <cell r="B439">
            <v>383</v>
          </cell>
          <cell r="C439" t="str">
            <v>Atap Fiber Glass Tipis 80 x 180 (gelombang)</v>
          </cell>
          <cell r="D439" t="str">
            <v>lbr</v>
          </cell>
          <cell r="E439">
            <v>19500</v>
          </cell>
        </row>
        <row r="440">
          <cell r="A440" t="str">
            <v>BX03</v>
          </cell>
          <cell r="B440">
            <v>384</v>
          </cell>
          <cell r="C440" t="str">
            <v>Atap Fiber Glass Tebal 80 x 180 (gelombang)</v>
          </cell>
          <cell r="D440" t="str">
            <v>lbr</v>
          </cell>
          <cell r="E440">
            <v>39500</v>
          </cell>
        </row>
        <row r="441">
          <cell r="A441" t="str">
            <v>BX04</v>
          </cell>
          <cell r="B441">
            <v>385</v>
          </cell>
          <cell r="C441" t="str">
            <v>Atap Aluminium Natural USR 26 ( JAINDO )</v>
          </cell>
          <cell r="D441" t="str">
            <v>m²</v>
          </cell>
          <cell r="E441">
            <v>74000</v>
          </cell>
        </row>
        <row r="442">
          <cell r="A442" t="str">
            <v>BX05</v>
          </cell>
          <cell r="B442">
            <v>386</v>
          </cell>
          <cell r="C442" t="str">
            <v>Atap Aluminium Warna USR 26 ( JAINDO )</v>
          </cell>
          <cell r="D442" t="str">
            <v>m²</v>
          </cell>
          <cell r="E442">
            <v>85500</v>
          </cell>
        </row>
        <row r="443">
          <cell r="A443" t="str">
            <v>BX06</v>
          </cell>
          <cell r="B443">
            <v>387</v>
          </cell>
          <cell r="C443" t="str">
            <v>Atap Asbes Gel. Kecil 4 mm 80 x 180</v>
          </cell>
          <cell r="D443" t="str">
            <v>lbr</v>
          </cell>
          <cell r="E443">
            <v>36750</v>
          </cell>
        </row>
        <row r="444">
          <cell r="A444" t="str">
            <v>BX07</v>
          </cell>
          <cell r="B444">
            <v>388</v>
          </cell>
          <cell r="C444" t="str">
            <v>Atap Asbes Gel. Besar 5 mm 80 x 180</v>
          </cell>
          <cell r="D444" t="str">
            <v>lbr</v>
          </cell>
          <cell r="E444">
            <v>51000</v>
          </cell>
        </row>
        <row r="445">
          <cell r="A445" t="str">
            <v>BX08</v>
          </cell>
          <cell r="B445">
            <v>389</v>
          </cell>
          <cell r="C445" t="str">
            <v>Atap Tegola Kubota, lengkap</v>
          </cell>
          <cell r="D445" t="str">
            <v>m²</v>
          </cell>
          <cell r="E445">
            <v>258250</v>
          </cell>
        </row>
        <row r="446">
          <cell r="A446" t="str">
            <v>BX09</v>
          </cell>
          <cell r="B446">
            <v>390</v>
          </cell>
          <cell r="C446" t="str">
            <v>Atap Tegola Kwalitas Sedang</v>
          </cell>
          <cell r="D446" t="str">
            <v>m²</v>
          </cell>
          <cell r="E446">
            <v>143500</v>
          </cell>
        </row>
        <row r="447">
          <cell r="A447" t="str">
            <v>BX10</v>
          </cell>
          <cell r="B447">
            <v>391</v>
          </cell>
          <cell r="C447" t="str">
            <v>Aluminium foile</v>
          </cell>
          <cell r="D447" t="str">
            <v>m²</v>
          </cell>
          <cell r="E447">
            <v>4250</v>
          </cell>
        </row>
        <row r="448">
          <cell r="A448" t="str">
            <v>BX11</v>
          </cell>
          <cell r="B448">
            <v>392</v>
          </cell>
          <cell r="C448" t="str">
            <v>Atap Genteng Plentong pres Bakar KW 1</v>
          </cell>
          <cell r="D448" t="str">
            <v>bh</v>
          </cell>
          <cell r="E448">
            <v>550</v>
          </cell>
        </row>
        <row r="449">
          <cell r="A449" t="str">
            <v>BX12</v>
          </cell>
          <cell r="B449">
            <v>393</v>
          </cell>
          <cell r="C449" t="str">
            <v xml:space="preserve">Atap Genteng Plentong pres Molen Oven KW1 </v>
          </cell>
          <cell r="D449" t="str">
            <v>bh</v>
          </cell>
          <cell r="E449">
            <v>650</v>
          </cell>
        </row>
        <row r="450">
          <cell r="A450" t="str">
            <v>BX13</v>
          </cell>
          <cell r="B450">
            <v>394</v>
          </cell>
          <cell r="C450" t="str">
            <v>Atap Genteng Flam pres Molen Oven Jatiwangi</v>
          </cell>
          <cell r="D450" t="str">
            <v>bh</v>
          </cell>
          <cell r="E450">
            <v>750</v>
          </cell>
        </row>
        <row r="451">
          <cell r="A451" t="str">
            <v>BX14</v>
          </cell>
          <cell r="B451">
            <v>395</v>
          </cell>
          <cell r="C451" t="str">
            <v>Bubung Genteng pres Bulat Ex Jatiwangi</v>
          </cell>
          <cell r="D451" t="str">
            <v>bh</v>
          </cell>
          <cell r="E451">
            <v>3000</v>
          </cell>
        </row>
        <row r="452">
          <cell r="A452" t="str">
            <v>BX15</v>
          </cell>
          <cell r="B452">
            <v>396</v>
          </cell>
          <cell r="C452" t="str">
            <v>Genteng Bubungan Ex Jatiwangi Segi Tiga</v>
          </cell>
          <cell r="D452" t="str">
            <v>bh</v>
          </cell>
          <cell r="E452">
            <v>2100</v>
          </cell>
        </row>
        <row r="455">
          <cell r="A455" t="str">
            <v>BX16</v>
          </cell>
          <cell r="B455">
            <v>397</v>
          </cell>
          <cell r="C455" t="str">
            <v>Genteng Bubungan Beton</v>
          </cell>
          <cell r="D455" t="str">
            <v>bh</v>
          </cell>
          <cell r="E455">
            <v>4750</v>
          </cell>
        </row>
        <row r="456">
          <cell r="A456" t="str">
            <v>BX17</v>
          </cell>
          <cell r="B456">
            <v>398</v>
          </cell>
          <cell r="C456" t="str">
            <v>Genteng Metal  ( Rainbow Roof )</v>
          </cell>
          <cell r="D456" t="str">
            <v>m²</v>
          </cell>
          <cell r="E456">
            <v>114500</v>
          </cell>
        </row>
        <row r="457">
          <cell r="A457" t="str">
            <v>BX18</v>
          </cell>
          <cell r="B457">
            <v>399</v>
          </cell>
          <cell r="C457" t="str">
            <v xml:space="preserve">Genteng Metal Hana </v>
          </cell>
          <cell r="D457" t="str">
            <v>m²</v>
          </cell>
          <cell r="E457">
            <v>82500</v>
          </cell>
        </row>
        <row r="458">
          <cell r="A458" t="str">
            <v>BX19</v>
          </cell>
          <cell r="B458">
            <v>400</v>
          </cell>
          <cell r="C458" t="str">
            <v>Nok Atas Metal ( Rainbow Roof )</v>
          </cell>
          <cell r="D458" t="str">
            <v>m1</v>
          </cell>
          <cell r="E458">
            <v>74500</v>
          </cell>
        </row>
        <row r="459">
          <cell r="A459" t="str">
            <v>BX20</v>
          </cell>
          <cell r="B459">
            <v>401</v>
          </cell>
          <cell r="C459" t="str">
            <v>Nok Atas Metal Hana</v>
          </cell>
          <cell r="D459" t="str">
            <v>m1</v>
          </cell>
          <cell r="E459">
            <v>40000</v>
          </cell>
        </row>
        <row r="460">
          <cell r="A460" t="str">
            <v>BX21</v>
          </cell>
          <cell r="B460">
            <v>402</v>
          </cell>
          <cell r="C460" t="str">
            <v>Nok Pinggir Metal ( Rainbow Roof )</v>
          </cell>
          <cell r="D460" t="str">
            <v>m1</v>
          </cell>
          <cell r="E460">
            <v>51500</v>
          </cell>
        </row>
        <row r="461">
          <cell r="A461" t="str">
            <v>BX22</v>
          </cell>
          <cell r="B461">
            <v>403</v>
          </cell>
          <cell r="C461" t="str">
            <v>Nok Pinggir Hana</v>
          </cell>
          <cell r="D461" t="str">
            <v>m1</v>
          </cell>
          <cell r="E461">
            <v>40000</v>
          </cell>
        </row>
        <row r="462">
          <cell r="A462" t="str">
            <v>BX23</v>
          </cell>
          <cell r="B462">
            <v>404</v>
          </cell>
          <cell r="C462" t="str">
            <v>Wall Flashing ( Rainbow Roof )</v>
          </cell>
          <cell r="D462" t="str">
            <v>m1</v>
          </cell>
          <cell r="E462">
            <v>51500</v>
          </cell>
        </row>
        <row r="463">
          <cell r="A463" t="str">
            <v>BX24</v>
          </cell>
          <cell r="B463">
            <v>405</v>
          </cell>
          <cell r="C463" t="str">
            <v>Wall Flashing Hana</v>
          </cell>
          <cell r="D463" t="str">
            <v>m1</v>
          </cell>
          <cell r="E463">
            <v>40000</v>
          </cell>
        </row>
        <row r="464">
          <cell r="A464" t="str">
            <v>BX25</v>
          </cell>
          <cell r="B464">
            <v>406</v>
          </cell>
          <cell r="C464" t="str">
            <v>Atap Genteng Beton Warna 14,5/m2</v>
          </cell>
          <cell r="D464" t="str">
            <v>m²</v>
          </cell>
          <cell r="E464">
            <v>45500</v>
          </cell>
        </row>
        <row r="465">
          <cell r="A465" t="str">
            <v>BX26</v>
          </cell>
          <cell r="B465">
            <v>407</v>
          </cell>
          <cell r="C465" t="str">
            <v>Genteng Beton Natural</v>
          </cell>
          <cell r="D465" t="str">
            <v>m²</v>
          </cell>
          <cell r="E465">
            <v>44500</v>
          </cell>
        </row>
        <row r="466">
          <cell r="A466" t="str">
            <v>BX27</v>
          </cell>
          <cell r="B466">
            <v>408</v>
          </cell>
          <cell r="C466" t="str">
            <v>Sirap Kelas I ( 80 / m2 )</v>
          </cell>
          <cell r="D466" t="str">
            <v>bh</v>
          </cell>
          <cell r="E466">
            <v>500</v>
          </cell>
        </row>
        <row r="467">
          <cell r="A467" t="str">
            <v>BX28</v>
          </cell>
          <cell r="B467">
            <v>409</v>
          </cell>
          <cell r="C467" t="str">
            <v>Genteng Keramik Natural Intan 14,5 / m2</v>
          </cell>
          <cell r="D467" t="str">
            <v>m²</v>
          </cell>
          <cell r="E467">
            <v>52000</v>
          </cell>
        </row>
        <row r="468">
          <cell r="A468" t="str">
            <v>BX29</v>
          </cell>
          <cell r="B468">
            <v>410</v>
          </cell>
          <cell r="C468" t="str">
            <v>Genteng Keramik Glasur Standard 14,5 / m2</v>
          </cell>
          <cell r="D468" t="str">
            <v>m²</v>
          </cell>
          <cell r="E468">
            <v>58500</v>
          </cell>
        </row>
        <row r="469">
          <cell r="A469" t="str">
            <v>BX30</v>
          </cell>
          <cell r="B469">
            <v>411</v>
          </cell>
          <cell r="C469" t="str">
            <v>Genteng Keramik Glasur Special 14,5 / m2</v>
          </cell>
          <cell r="D469" t="str">
            <v>m²</v>
          </cell>
          <cell r="E469">
            <v>62000</v>
          </cell>
        </row>
        <row r="470">
          <cell r="A470" t="str">
            <v>BX31</v>
          </cell>
          <cell r="B470">
            <v>412</v>
          </cell>
          <cell r="C470" t="str">
            <v>Genteng Keramik Glasur Premium 14,5 / m2</v>
          </cell>
          <cell r="D470" t="str">
            <v>m²</v>
          </cell>
          <cell r="E470">
            <v>69750</v>
          </cell>
        </row>
        <row r="471">
          <cell r="A471" t="str">
            <v>BX32</v>
          </cell>
          <cell r="B471">
            <v>413</v>
          </cell>
          <cell r="C471" t="str">
            <v>Genteng Murando Natural 1m2 = 20 bh</v>
          </cell>
          <cell r="D471" t="str">
            <v>bh</v>
          </cell>
          <cell r="E471">
            <v>1500</v>
          </cell>
        </row>
        <row r="472">
          <cell r="A472" t="str">
            <v>BX33</v>
          </cell>
          <cell r="B472">
            <v>414</v>
          </cell>
          <cell r="C472" t="str">
            <v>Genteng Murando Glasur 1m2 = 20 bh</v>
          </cell>
          <cell r="D472" t="str">
            <v>bh</v>
          </cell>
          <cell r="E472">
            <v>1500</v>
          </cell>
        </row>
        <row r="473">
          <cell r="A473" t="str">
            <v>BX34</v>
          </cell>
          <cell r="B473">
            <v>415</v>
          </cell>
          <cell r="C473" t="str">
            <v>Bubung Murando Natural</v>
          </cell>
          <cell r="D473" t="str">
            <v>bh</v>
          </cell>
          <cell r="E473">
            <v>3000</v>
          </cell>
        </row>
        <row r="474">
          <cell r="A474" t="str">
            <v>BX35</v>
          </cell>
          <cell r="B474">
            <v>416</v>
          </cell>
          <cell r="C474" t="str">
            <v>Bubung Murando Glasur</v>
          </cell>
          <cell r="D474" t="str">
            <v>bh</v>
          </cell>
          <cell r="E474">
            <v>4000</v>
          </cell>
        </row>
        <row r="475">
          <cell r="A475" t="str">
            <v>BX36</v>
          </cell>
          <cell r="B475">
            <v>417</v>
          </cell>
          <cell r="C475" t="str">
            <v>Bubungan Genteng Keramik</v>
          </cell>
          <cell r="D475" t="str">
            <v>bh</v>
          </cell>
          <cell r="E475">
            <v>3500</v>
          </cell>
        </row>
        <row r="477">
          <cell r="C477" t="str">
            <v>N. BAHAN MEKANIKAL</v>
          </cell>
        </row>
        <row r="478">
          <cell r="A478" t="str">
            <v>BZ01</v>
          </cell>
          <cell r="B478">
            <v>418</v>
          </cell>
          <cell r="C478" t="str">
            <v>Jockey Pump kap. 80 gln / menit 100 m1  ( 18,6 kW )</v>
          </cell>
          <cell r="D478" t="str">
            <v>unit</v>
          </cell>
          <cell r="E478">
            <v>35000000</v>
          </cell>
        </row>
        <row r="479">
          <cell r="A479" t="str">
            <v>BZ02</v>
          </cell>
          <cell r="B479">
            <v>419</v>
          </cell>
          <cell r="C479" t="str">
            <v>Electrical Pump kap. 750 gln / menit 120 m1  ( 90 kW )</v>
          </cell>
          <cell r="D479" t="str">
            <v>unit</v>
          </cell>
          <cell r="E479">
            <v>120000000</v>
          </cell>
        </row>
        <row r="480">
          <cell r="A480" t="str">
            <v>BZ03</v>
          </cell>
          <cell r="B480">
            <v>420</v>
          </cell>
          <cell r="C480" t="str">
            <v>Diesel Pump kap. 750 gln / menit 120 m1  ( 105 kW )</v>
          </cell>
          <cell r="D480" t="str">
            <v>unit</v>
          </cell>
          <cell r="E480">
            <v>300000000</v>
          </cell>
        </row>
        <row r="481">
          <cell r="A481" t="str">
            <v>BZ04</v>
          </cell>
          <cell r="B481">
            <v>421</v>
          </cell>
          <cell r="C481" t="str">
            <v xml:space="preserve">Presure Tank kap. 500 liter lengkap </v>
          </cell>
          <cell r="D481" t="str">
            <v>unit</v>
          </cell>
          <cell r="E481">
            <v>17500000</v>
          </cell>
        </row>
        <row r="482">
          <cell r="A482" t="str">
            <v>BZ05</v>
          </cell>
          <cell r="B482">
            <v>422</v>
          </cell>
          <cell r="C482" t="str">
            <v>Hydran Box dalam Gedung  (lengkap)</v>
          </cell>
          <cell r="D482" t="str">
            <v>unit</v>
          </cell>
          <cell r="E482">
            <v>3100000</v>
          </cell>
        </row>
        <row r="483">
          <cell r="A483" t="str">
            <v>BZ06</v>
          </cell>
          <cell r="B483">
            <v>423</v>
          </cell>
          <cell r="C483" t="str">
            <v>Fire House 1.5 x 30 m + nose</v>
          </cell>
          <cell r="D483" t="str">
            <v>unit</v>
          </cell>
          <cell r="E483">
            <v>2500000</v>
          </cell>
        </row>
        <row r="484">
          <cell r="A484" t="str">
            <v>BZ07</v>
          </cell>
          <cell r="B484">
            <v>424</v>
          </cell>
          <cell r="C484" t="str">
            <v>Exhouse Fan H 360 W 60 x 60 cm</v>
          </cell>
          <cell r="D484" t="str">
            <v>unit</v>
          </cell>
          <cell r="E484">
            <v>3500000</v>
          </cell>
        </row>
        <row r="485">
          <cell r="A485" t="str">
            <v>BZ08</v>
          </cell>
          <cell r="B485">
            <v>425</v>
          </cell>
          <cell r="C485" t="str">
            <v xml:space="preserve">Exhouse Fan H 380 W CFM 55 x 55 cm </v>
          </cell>
          <cell r="D485" t="str">
            <v>unit</v>
          </cell>
          <cell r="E485">
            <v>3100000</v>
          </cell>
        </row>
        <row r="486">
          <cell r="A486" t="str">
            <v>BZ09</v>
          </cell>
          <cell r="B486">
            <v>426</v>
          </cell>
          <cell r="C486" t="str">
            <v xml:space="preserve">Exhouse Fan H 100 W 40 x 40 cm </v>
          </cell>
          <cell r="D486" t="str">
            <v>unit</v>
          </cell>
          <cell r="E486">
            <v>550000</v>
          </cell>
        </row>
        <row r="487">
          <cell r="A487" t="str">
            <v>BZ10</v>
          </cell>
          <cell r="B487">
            <v>427</v>
          </cell>
          <cell r="C487" t="str">
            <v>AC Split 3 PK Setara DAIKIN</v>
          </cell>
          <cell r="D487" t="str">
            <v>unit</v>
          </cell>
          <cell r="E487">
            <v>17500000</v>
          </cell>
        </row>
        <row r="488">
          <cell r="A488" t="str">
            <v>BZ11</v>
          </cell>
          <cell r="B488">
            <v>428</v>
          </cell>
          <cell r="C488" t="str">
            <v>AC Split  2 PK Setara DAIKIN</v>
          </cell>
          <cell r="D488" t="str">
            <v>unit</v>
          </cell>
          <cell r="E488">
            <v>12500000</v>
          </cell>
        </row>
        <row r="489">
          <cell r="A489" t="str">
            <v>BZ12</v>
          </cell>
          <cell r="B489">
            <v>429</v>
          </cell>
          <cell r="C489" t="str">
            <v>AC Split  1 PK Setara DAIKIN</v>
          </cell>
          <cell r="D489" t="str">
            <v>unit</v>
          </cell>
          <cell r="E489">
            <v>6500000</v>
          </cell>
        </row>
        <row r="490">
          <cell r="A490" t="str">
            <v>BZ13</v>
          </cell>
          <cell r="B490">
            <v>430</v>
          </cell>
          <cell r="C490" t="str">
            <v>Mesin AC Split  DAIKIN ( Indoor / Outdoor Unit )</v>
          </cell>
          <cell r="D490" t="str">
            <v xml:space="preserve">1 BTU </v>
          </cell>
          <cell r="E490">
            <v>750</v>
          </cell>
        </row>
        <row r="496">
          <cell r="C496" t="str">
            <v>O. BAHAN ELEKTRIKAL</v>
          </cell>
          <cell r="D496">
            <v>1.5</v>
          </cell>
        </row>
        <row r="497">
          <cell r="A497" t="str">
            <v>BZ16</v>
          </cell>
          <cell r="B497">
            <v>431</v>
          </cell>
          <cell r="C497" t="str">
            <v>Kabel NYA  1x 1.5  Prima (1 rol = 50 m')</v>
          </cell>
          <cell r="D497" t="str">
            <v>roll</v>
          </cell>
          <cell r="E497">
            <v>40500</v>
          </cell>
        </row>
        <row r="498">
          <cell r="A498" t="str">
            <v>BZ17</v>
          </cell>
          <cell r="B498">
            <v>432</v>
          </cell>
          <cell r="C498" t="str">
            <v>Kabel NYA  1x 2.5  Prima (1 rol = 50 m')</v>
          </cell>
          <cell r="D498" t="str">
            <v>roll</v>
          </cell>
          <cell r="E498">
            <v>60500</v>
          </cell>
        </row>
        <row r="499">
          <cell r="A499" t="str">
            <v>BZ18</v>
          </cell>
          <cell r="B499">
            <v>433</v>
          </cell>
          <cell r="C499" t="str">
            <v>Kabel NYM 2 x 1.5 Prima (1 rol = 50 m')</v>
          </cell>
          <cell r="D499" t="str">
            <v>roll</v>
          </cell>
          <cell r="E499">
            <v>1500</v>
          </cell>
        </row>
        <row r="500">
          <cell r="A500" t="str">
            <v>BZ19</v>
          </cell>
          <cell r="B500">
            <v>434</v>
          </cell>
          <cell r="C500" t="str">
            <v>Kabel NYM 3 x 1.5 Prima (1 rol = 50 m')</v>
          </cell>
          <cell r="D500" t="str">
            <v>roll</v>
          </cell>
          <cell r="E500">
            <v>2500</v>
          </cell>
        </row>
        <row r="501">
          <cell r="A501" t="str">
            <v>BZ20</v>
          </cell>
          <cell r="B501">
            <v>435</v>
          </cell>
          <cell r="C501" t="str">
            <v>Kabel NYM 2 x 2.5 Prima (1 rol = 50 m')</v>
          </cell>
          <cell r="D501" t="str">
            <v>roll</v>
          </cell>
          <cell r="E501">
            <v>2000</v>
          </cell>
        </row>
        <row r="502">
          <cell r="A502" t="str">
            <v>BZ21</v>
          </cell>
          <cell r="B502">
            <v>436</v>
          </cell>
          <cell r="C502" t="str">
            <v>Kabel NYM 3 x 2.5 Prima (1 rol = 50 m')</v>
          </cell>
          <cell r="D502" t="str">
            <v>roll</v>
          </cell>
          <cell r="E502">
            <v>3500</v>
          </cell>
        </row>
        <row r="503">
          <cell r="A503" t="str">
            <v>BZ22</v>
          </cell>
          <cell r="B503">
            <v>437</v>
          </cell>
          <cell r="C503" t="str">
            <v>Kabel NYM 4 x 2.5 Prima (1 rol = 50 m')</v>
          </cell>
          <cell r="D503" t="str">
            <v>roll</v>
          </cell>
          <cell r="E503">
            <v>3000</v>
          </cell>
        </row>
        <row r="504">
          <cell r="A504" t="str">
            <v>BZ23</v>
          </cell>
          <cell r="B504">
            <v>438</v>
          </cell>
          <cell r="C504" t="str">
            <v>Kabel NYM 2 x 4    Prima (1 rol = 50 m')</v>
          </cell>
          <cell r="D504" t="str">
            <v>roll</v>
          </cell>
          <cell r="E504">
            <v>2500</v>
          </cell>
        </row>
        <row r="505">
          <cell r="A505" t="str">
            <v>BZ24</v>
          </cell>
          <cell r="B505">
            <v>439</v>
          </cell>
          <cell r="C505" t="str">
            <v>Kabel NYM 3 x 4    Prima (1 rol = 50 m')</v>
          </cell>
          <cell r="D505" t="str">
            <v>roll</v>
          </cell>
          <cell r="E505">
            <v>5750</v>
          </cell>
        </row>
        <row r="506">
          <cell r="A506" t="str">
            <v>BZ25</v>
          </cell>
          <cell r="B506">
            <v>440</v>
          </cell>
          <cell r="C506" t="str">
            <v>Kabel NYM 4 x 4    Prima (1 rol = 50 m')</v>
          </cell>
          <cell r="D506" t="str">
            <v>roll</v>
          </cell>
          <cell r="E506">
            <v>8000</v>
          </cell>
        </row>
        <row r="507">
          <cell r="A507" t="str">
            <v>BZ26</v>
          </cell>
          <cell r="B507">
            <v>441</v>
          </cell>
          <cell r="C507" t="str">
            <v>Kabel NYM 2 x 6    Supreme (1 rol = 50 m')</v>
          </cell>
          <cell r="D507" t="str">
            <v>roll</v>
          </cell>
          <cell r="E507">
            <v>4500</v>
          </cell>
        </row>
        <row r="508">
          <cell r="A508" t="str">
            <v>BZ27</v>
          </cell>
          <cell r="B508">
            <v>442</v>
          </cell>
          <cell r="C508" t="str">
            <v>Kabel NYM 3 x 6    Supreme (1 rol = 50 m')</v>
          </cell>
          <cell r="D508" t="str">
            <v>roll</v>
          </cell>
          <cell r="E508">
            <v>6000</v>
          </cell>
        </row>
        <row r="509">
          <cell r="A509" t="str">
            <v>BZ28</v>
          </cell>
          <cell r="B509">
            <v>443</v>
          </cell>
          <cell r="C509" t="str">
            <v>Kabel NYM 4 x 6    Supreme (1 rol = 50 m')</v>
          </cell>
          <cell r="D509" t="str">
            <v>roll</v>
          </cell>
          <cell r="E509">
            <v>8000</v>
          </cell>
        </row>
        <row r="510">
          <cell r="A510" t="str">
            <v>BZ29</v>
          </cell>
          <cell r="B510">
            <v>444</v>
          </cell>
          <cell r="C510" t="str">
            <v>Kabel NYM 2 x 10  Supreme (1 rol = 50 m')</v>
          </cell>
          <cell r="D510" t="str">
            <v>roll</v>
          </cell>
          <cell r="E510">
            <v>7500</v>
          </cell>
        </row>
        <row r="511">
          <cell r="A511" t="str">
            <v>BZ30</v>
          </cell>
          <cell r="B511">
            <v>445</v>
          </cell>
          <cell r="C511" t="str">
            <v>Kabel NYM 3 x 10  Supreme (1 rol = 50 m')</v>
          </cell>
          <cell r="D511" t="str">
            <v>roll</v>
          </cell>
          <cell r="E511">
            <v>10000</v>
          </cell>
        </row>
        <row r="512">
          <cell r="A512" t="str">
            <v>BZ31</v>
          </cell>
          <cell r="B512">
            <v>446</v>
          </cell>
          <cell r="C512" t="str">
            <v>Kabel NYM 4 x 10  Supreme (1 rol = 50 m')</v>
          </cell>
          <cell r="D512" t="str">
            <v>roll</v>
          </cell>
          <cell r="E512">
            <v>11000</v>
          </cell>
        </row>
        <row r="513">
          <cell r="A513" t="str">
            <v>BZ32</v>
          </cell>
          <cell r="B513">
            <v>447</v>
          </cell>
          <cell r="C513" t="str">
            <v>Kabel NYM 4 x 16  Supreme (1 rol = 50 m')</v>
          </cell>
          <cell r="D513" t="str">
            <v>roll</v>
          </cell>
          <cell r="E513">
            <v>15000</v>
          </cell>
        </row>
        <row r="514">
          <cell r="A514" t="str">
            <v>BZ33</v>
          </cell>
          <cell r="B514">
            <v>448</v>
          </cell>
          <cell r="C514" t="str">
            <v>Kabel NYY 2  x 4    Supreme (1 rol = 50 m')</v>
          </cell>
          <cell r="D514" t="str">
            <v>roll</v>
          </cell>
          <cell r="E514">
            <v>4500</v>
          </cell>
        </row>
        <row r="515">
          <cell r="A515" t="str">
            <v>BZ34</v>
          </cell>
          <cell r="B515">
            <v>449</v>
          </cell>
          <cell r="C515" t="str">
            <v>Kabel NYY 3  x 4    Supreme (1 rol = 50 m')</v>
          </cell>
          <cell r="D515" t="str">
            <v>roll</v>
          </cell>
          <cell r="E515">
            <v>6000</v>
          </cell>
        </row>
        <row r="516">
          <cell r="A516" t="str">
            <v>BZ35</v>
          </cell>
          <cell r="B516">
            <v>450</v>
          </cell>
          <cell r="C516" t="str">
            <v>Kabel NYY 4  x 4    Supreme (1 rol = 50 m')</v>
          </cell>
          <cell r="D516" t="str">
            <v>roll</v>
          </cell>
          <cell r="E516">
            <v>10000</v>
          </cell>
        </row>
        <row r="517">
          <cell r="A517" t="str">
            <v>BZ36</v>
          </cell>
          <cell r="B517">
            <v>451</v>
          </cell>
          <cell r="C517" t="str">
            <v>Kabel NYY 2  x 6    Supreme (1 rol = 50 m')</v>
          </cell>
          <cell r="D517" t="str">
            <v>roll</v>
          </cell>
          <cell r="E517">
            <v>4500</v>
          </cell>
        </row>
        <row r="518">
          <cell r="A518" t="str">
            <v>BZ37</v>
          </cell>
          <cell r="B518">
            <v>452</v>
          </cell>
          <cell r="C518" t="str">
            <v>Kabel NYY 3  x 6    Supreme (1 rol = 50 m')</v>
          </cell>
          <cell r="D518" t="str">
            <v>roll</v>
          </cell>
          <cell r="E518">
            <v>7500</v>
          </cell>
        </row>
        <row r="520">
          <cell r="A520" t="str">
            <v>BZ38</v>
          </cell>
          <cell r="B520">
            <v>453</v>
          </cell>
          <cell r="C520" t="str">
            <v>Kabel NYY 4  x 6    Supreme (1 rol = 50 m')</v>
          </cell>
          <cell r="D520" t="str">
            <v>roll</v>
          </cell>
          <cell r="E520">
            <v>9250</v>
          </cell>
        </row>
        <row r="521">
          <cell r="A521" t="str">
            <v>BZ39</v>
          </cell>
          <cell r="B521">
            <v>454</v>
          </cell>
          <cell r="C521" t="str">
            <v>Kabel NYY 2 x 10   Supreme (1 rol = 50 m')</v>
          </cell>
          <cell r="D521" t="str">
            <v>roll</v>
          </cell>
          <cell r="E521">
            <v>8000</v>
          </cell>
        </row>
        <row r="522">
          <cell r="A522" t="str">
            <v>BZ40</v>
          </cell>
          <cell r="B522">
            <v>455</v>
          </cell>
          <cell r="C522" t="str">
            <v>Kabel NYY 3 x 10   Supreme (1 rol = 50 m')</v>
          </cell>
          <cell r="D522" t="str">
            <v>roll</v>
          </cell>
          <cell r="E522">
            <v>11000</v>
          </cell>
        </row>
        <row r="523">
          <cell r="A523" t="str">
            <v>BZ41</v>
          </cell>
          <cell r="B523">
            <v>456</v>
          </cell>
          <cell r="C523" t="str">
            <v>Kabel NYY 4 x 10   Supreme (1 rol = 50 m')</v>
          </cell>
          <cell r="D523" t="str">
            <v>roll</v>
          </cell>
          <cell r="E523">
            <v>13500</v>
          </cell>
        </row>
        <row r="524">
          <cell r="A524" t="str">
            <v>BZ42</v>
          </cell>
          <cell r="B524">
            <v>457</v>
          </cell>
          <cell r="C524" t="str">
            <v>Kabel NYY 4 x 16   Supreme (1 rol = 50 m')</v>
          </cell>
          <cell r="D524" t="str">
            <v>roll</v>
          </cell>
          <cell r="E524">
            <v>21500</v>
          </cell>
        </row>
        <row r="525">
          <cell r="A525" t="str">
            <v>BZ43</v>
          </cell>
          <cell r="B525">
            <v>458</v>
          </cell>
          <cell r="C525" t="str">
            <v>NSFB FUJI EA - 100 A</v>
          </cell>
          <cell r="D525" t="str">
            <v>bh</v>
          </cell>
          <cell r="E525">
            <v>425500</v>
          </cell>
        </row>
        <row r="526">
          <cell r="A526" t="str">
            <v>BZ44</v>
          </cell>
          <cell r="B526">
            <v>459</v>
          </cell>
          <cell r="C526" t="str">
            <v>NSFB FUJI EA - 150 A</v>
          </cell>
          <cell r="D526" t="str">
            <v>bh</v>
          </cell>
          <cell r="E526">
            <v>1006500</v>
          </cell>
        </row>
        <row r="527">
          <cell r="A527" t="str">
            <v>BZ45</v>
          </cell>
          <cell r="B527">
            <v>460</v>
          </cell>
          <cell r="C527" t="str">
            <v>Rumah Panel 30 x 60 cm (kosong)</v>
          </cell>
          <cell r="D527" t="str">
            <v>unt</v>
          </cell>
          <cell r="E527">
            <v>75000</v>
          </cell>
        </row>
        <row r="528">
          <cell r="A528" t="str">
            <v>BZ46</v>
          </cell>
          <cell r="B528">
            <v>461</v>
          </cell>
          <cell r="C528" t="str">
            <v>Skring Kas 2 grop Biasa</v>
          </cell>
          <cell r="D528" t="str">
            <v>unt</v>
          </cell>
          <cell r="E528">
            <v>86500</v>
          </cell>
        </row>
        <row r="529">
          <cell r="A529" t="str">
            <v>BZ47</v>
          </cell>
          <cell r="B529">
            <v>462</v>
          </cell>
          <cell r="C529" t="str">
            <v>Skring Kas 3 grop Biasa</v>
          </cell>
          <cell r="D529" t="str">
            <v>unt</v>
          </cell>
          <cell r="E529">
            <v>109500</v>
          </cell>
        </row>
        <row r="530">
          <cell r="A530" t="str">
            <v>BZ48</v>
          </cell>
          <cell r="B530">
            <v>463</v>
          </cell>
          <cell r="C530" t="str">
            <v>Skring Kas 5 grop Biasa</v>
          </cell>
          <cell r="D530" t="str">
            <v>unt</v>
          </cell>
          <cell r="E530">
            <v>230000</v>
          </cell>
        </row>
        <row r="531">
          <cell r="A531" t="str">
            <v>BZ49</v>
          </cell>
          <cell r="B531">
            <v>464</v>
          </cell>
          <cell r="C531" t="str">
            <v>MCB 1 PAS</v>
          </cell>
          <cell r="D531" t="str">
            <v>bh</v>
          </cell>
          <cell r="E531">
            <v>23000</v>
          </cell>
        </row>
        <row r="532">
          <cell r="A532" t="str">
            <v>BZ50</v>
          </cell>
          <cell r="B532">
            <v>465</v>
          </cell>
          <cell r="C532" t="str">
            <v>MCB 3 PAS</v>
          </cell>
          <cell r="D532" t="str">
            <v>bh</v>
          </cell>
          <cell r="E532">
            <v>29000</v>
          </cell>
        </row>
        <row r="533">
          <cell r="A533" t="str">
            <v>BZ51</v>
          </cell>
          <cell r="B533">
            <v>466</v>
          </cell>
          <cell r="C533" t="str">
            <v>Tahanan 50 A Merk Fuji</v>
          </cell>
          <cell r="D533" t="str">
            <v>bh</v>
          </cell>
          <cell r="E533">
            <v>259000</v>
          </cell>
        </row>
        <row r="534">
          <cell r="A534" t="str">
            <v>BZ53</v>
          </cell>
          <cell r="B534">
            <v>467</v>
          </cell>
          <cell r="C534" t="str">
            <v>Saklar Broko Tunggal Standard ( 1 Phase )</v>
          </cell>
          <cell r="D534" t="str">
            <v>bh</v>
          </cell>
          <cell r="E534">
            <v>8000</v>
          </cell>
        </row>
        <row r="537">
          <cell r="A537" t="str">
            <v>BZ54</v>
          </cell>
          <cell r="B537">
            <v>468</v>
          </cell>
          <cell r="C537" t="str">
            <v>Saklar Broko Seri Standard ( 1 Phase )</v>
          </cell>
          <cell r="D537" t="str">
            <v>bh</v>
          </cell>
          <cell r="E537">
            <v>10500</v>
          </cell>
        </row>
        <row r="538">
          <cell r="A538" t="str">
            <v>BZ55</v>
          </cell>
          <cell r="B538">
            <v>469</v>
          </cell>
          <cell r="C538" t="str">
            <v>Stop Kontak Broko Standard ( 1 Phase )</v>
          </cell>
          <cell r="D538" t="str">
            <v>bh</v>
          </cell>
          <cell r="E538">
            <v>9500</v>
          </cell>
        </row>
        <row r="539">
          <cell r="A539" t="str">
            <v>BZ56</v>
          </cell>
          <cell r="B539">
            <v>470</v>
          </cell>
          <cell r="C539" t="str">
            <v xml:space="preserve">Stop Kontak Broko 3 Phase ( Out Bow )  </v>
          </cell>
          <cell r="D539" t="str">
            <v>bh</v>
          </cell>
          <cell r="E539">
            <v>40500</v>
          </cell>
        </row>
        <row r="540">
          <cell r="A540" t="str">
            <v>BZ57</v>
          </cell>
          <cell r="B540">
            <v>471</v>
          </cell>
          <cell r="C540" t="str">
            <v xml:space="preserve">Stop Kontak Broko 3 Phase ( In Bow )  </v>
          </cell>
          <cell r="D540" t="str">
            <v>bh</v>
          </cell>
          <cell r="E540">
            <v>69000</v>
          </cell>
        </row>
        <row r="541">
          <cell r="A541" t="str">
            <v>BZ58</v>
          </cell>
          <cell r="B541">
            <v>472</v>
          </cell>
          <cell r="C541" t="str">
            <v xml:space="preserve">Stop Kontak Handle 3 Phase  </v>
          </cell>
          <cell r="D541" t="str">
            <v>bh</v>
          </cell>
          <cell r="E541">
            <v>40500</v>
          </cell>
        </row>
        <row r="542">
          <cell r="A542" t="str">
            <v>BZ59</v>
          </cell>
          <cell r="B542">
            <v>473</v>
          </cell>
          <cell r="C542" t="str">
            <v>Instalasi Titik Lampu / Stop Kontak ( Upah dan Alat )</v>
          </cell>
          <cell r="D542" t="str">
            <v>ttk</v>
          </cell>
          <cell r="E542">
            <v>86500</v>
          </cell>
        </row>
        <row r="543">
          <cell r="A543" t="str">
            <v>BZ60</v>
          </cell>
          <cell r="B543">
            <v>474</v>
          </cell>
          <cell r="C543" t="str">
            <v>Lampu pijar 25 Watt s/d 100 Watt</v>
          </cell>
          <cell r="D543" t="str">
            <v>bh</v>
          </cell>
          <cell r="E543">
            <v>4000</v>
          </cell>
        </row>
        <row r="544">
          <cell r="A544" t="str">
            <v>BZ61</v>
          </cell>
          <cell r="B544">
            <v>475</v>
          </cell>
          <cell r="C544" t="str">
            <v>Lampu Neon TL Philip 20 W</v>
          </cell>
          <cell r="D544" t="str">
            <v>bh</v>
          </cell>
          <cell r="E544">
            <v>9500</v>
          </cell>
        </row>
        <row r="545">
          <cell r="A545" t="str">
            <v>BZ62</v>
          </cell>
          <cell r="B545">
            <v>476</v>
          </cell>
          <cell r="C545" t="str">
            <v>Lampu Neon TL Philip 40 W</v>
          </cell>
          <cell r="D545" t="str">
            <v>bh</v>
          </cell>
          <cell r="E545">
            <v>12250</v>
          </cell>
        </row>
        <row r="546">
          <cell r="A546" t="str">
            <v>BZ63</v>
          </cell>
          <cell r="B546">
            <v>477</v>
          </cell>
          <cell r="C546" t="str">
            <v>Trapo TL 20 W ( Philip )</v>
          </cell>
          <cell r="D546" t="str">
            <v>bh</v>
          </cell>
          <cell r="E546">
            <v>14500</v>
          </cell>
        </row>
        <row r="547">
          <cell r="A547" t="str">
            <v>BZ64</v>
          </cell>
          <cell r="B547">
            <v>478</v>
          </cell>
          <cell r="C547" t="str">
            <v>Trapo TL 40 W ( Philip )</v>
          </cell>
          <cell r="D547" t="str">
            <v>bh</v>
          </cell>
          <cell r="E547">
            <v>17500</v>
          </cell>
        </row>
        <row r="548">
          <cell r="A548" t="str">
            <v>BZ65</v>
          </cell>
          <cell r="B548">
            <v>479</v>
          </cell>
          <cell r="C548" t="str">
            <v>Trapo TL 20 W ( Sinar )</v>
          </cell>
          <cell r="D548" t="str">
            <v>bh</v>
          </cell>
          <cell r="E548">
            <v>11500</v>
          </cell>
        </row>
        <row r="549">
          <cell r="A549" t="str">
            <v>BZ66</v>
          </cell>
          <cell r="B549">
            <v>480</v>
          </cell>
          <cell r="C549" t="str">
            <v>Trapo TL 40 W ( Sinar )</v>
          </cell>
          <cell r="D549" t="str">
            <v>bh</v>
          </cell>
          <cell r="E549">
            <v>14500</v>
          </cell>
        </row>
        <row r="550">
          <cell r="A550" t="str">
            <v>BZ67</v>
          </cell>
          <cell r="B550">
            <v>481</v>
          </cell>
          <cell r="C550" t="str">
            <v>Stater Neon Philip</v>
          </cell>
          <cell r="D550" t="str">
            <v>bh</v>
          </cell>
          <cell r="E550">
            <v>2500</v>
          </cell>
        </row>
        <row r="551">
          <cell r="A551" t="str">
            <v>BZ68</v>
          </cell>
          <cell r="B551">
            <v>482</v>
          </cell>
          <cell r="C551" t="str">
            <v>Stater Neon Biasa</v>
          </cell>
          <cell r="D551" t="str">
            <v>bh</v>
          </cell>
          <cell r="E551">
            <v>1250</v>
          </cell>
        </row>
        <row r="552">
          <cell r="A552" t="str">
            <v>BZ69</v>
          </cell>
          <cell r="B552">
            <v>483</v>
          </cell>
          <cell r="C552" t="str">
            <v>Rumah TL In Bow / Out Bow 2 x 20 W ( Kosongan )</v>
          </cell>
          <cell r="D552" t="str">
            <v>bh</v>
          </cell>
          <cell r="E552">
            <v>52000</v>
          </cell>
        </row>
        <row r="553">
          <cell r="A553" t="str">
            <v>BZ70</v>
          </cell>
          <cell r="B553">
            <v>484</v>
          </cell>
          <cell r="C553" t="str">
            <v>Down Light + SL 25 W</v>
          </cell>
          <cell r="D553" t="str">
            <v>bh</v>
          </cell>
          <cell r="E553">
            <v>144000</v>
          </cell>
        </row>
        <row r="554">
          <cell r="A554" t="str">
            <v>BZ71</v>
          </cell>
          <cell r="B554">
            <v>485</v>
          </cell>
          <cell r="C554" t="str">
            <v>Lampu SL Philip 25 W</v>
          </cell>
          <cell r="D554" t="str">
            <v>bh</v>
          </cell>
          <cell r="E554">
            <v>63500</v>
          </cell>
        </row>
        <row r="555">
          <cell r="A555" t="str">
            <v>BZ72</v>
          </cell>
          <cell r="B555">
            <v>486</v>
          </cell>
          <cell r="C555" t="str">
            <v>Lampu Sirkel TL 20 W Lengkap</v>
          </cell>
          <cell r="D555" t="str">
            <v>bh</v>
          </cell>
          <cell r="E555">
            <v>31500</v>
          </cell>
        </row>
        <row r="556">
          <cell r="A556" t="str">
            <v>BZ73</v>
          </cell>
          <cell r="B556">
            <v>487</v>
          </cell>
          <cell r="C556" t="str">
            <v>Lampu Mercuri 80 W</v>
          </cell>
          <cell r="D556" t="str">
            <v>bh</v>
          </cell>
          <cell r="E556">
            <v>52000</v>
          </cell>
        </row>
        <row r="557">
          <cell r="A557" t="str">
            <v>BZ74</v>
          </cell>
          <cell r="B557">
            <v>488</v>
          </cell>
          <cell r="C557" t="str">
            <v xml:space="preserve">Lampu Taman + Tiang + Lampu 1 Buah </v>
          </cell>
          <cell r="D557" t="str">
            <v>bh</v>
          </cell>
          <cell r="E557">
            <v>144000</v>
          </cell>
        </row>
        <row r="558">
          <cell r="A558" t="str">
            <v>BZ75</v>
          </cell>
          <cell r="B558">
            <v>489</v>
          </cell>
          <cell r="C558" t="str">
            <v>Lampu Baret 30 cm + Neon</v>
          </cell>
          <cell r="D558" t="str">
            <v>bh</v>
          </cell>
          <cell r="E558">
            <v>98000</v>
          </cell>
        </row>
        <row r="559">
          <cell r="A559" t="str">
            <v>BZ76</v>
          </cell>
          <cell r="B559">
            <v>490</v>
          </cell>
          <cell r="C559" t="str">
            <v xml:space="preserve">Lampu Neon Arcrilik 2 x 40 W lengkap </v>
          </cell>
          <cell r="D559" t="str">
            <v>bh</v>
          </cell>
          <cell r="E559">
            <v>356500</v>
          </cell>
        </row>
        <row r="560">
          <cell r="A560" t="str">
            <v>BZ77</v>
          </cell>
          <cell r="B560">
            <v>491</v>
          </cell>
          <cell r="C560" t="str">
            <v>Jarum Penangkal Petir 16</v>
          </cell>
          <cell r="D560" t="str">
            <v>bh</v>
          </cell>
          <cell r="E560">
            <v>46000</v>
          </cell>
        </row>
        <row r="561">
          <cell r="A561" t="str">
            <v>BZ78</v>
          </cell>
          <cell r="B561">
            <v>492</v>
          </cell>
          <cell r="C561" t="str">
            <v>Kawat BC ( Tembaga )</v>
          </cell>
          <cell r="D561" t="str">
            <v>kg</v>
          </cell>
          <cell r="E561">
            <v>19500</v>
          </cell>
        </row>
        <row r="562">
          <cell r="A562" t="str">
            <v>BZ79</v>
          </cell>
          <cell r="B562">
            <v>493</v>
          </cell>
          <cell r="C562" t="str">
            <v>Pentanahan Penangkal Petir</v>
          </cell>
          <cell r="D562" t="str">
            <v>ttk</v>
          </cell>
          <cell r="E562">
            <v>202500</v>
          </cell>
        </row>
        <row r="563">
          <cell r="A563" t="str">
            <v>BZ80</v>
          </cell>
          <cell r="B563">
            <v>494</v>
          </cell>
          <cell r="C563" t="str">
            <v>Pentanahan Panel</v>
          </cell>
          <cell r="D563" t="str">
            <v>ttk</v>
          </cell>
          <cell r="E563">
            <v>87500</v>
          </cell>
        </row>
        <row r="565">
          <cell r="C565" t="str">
            <v>P. BAHAN ALAT PENGANTUNG DAN KUNCI</v>
          </cell>
        </row>
        <row r="566">
          <cell r="A566" t="str">
            <v>CC01</v>
          </cell>
          <cell r="B566">
            <v>495</v>
          </cell>
          <cell r="C566" t="str">
            <v>Kunci Silinder ALFA untuk Pintu Alumunium</v>
          </cell>
          <cell r="D566" t="str">
            <v>bh</v>
          </cell>
          <cell r="E566">
            <v>201500</v>
          </cell>
        </row>
        <row r="567">
          <cell r="A567" t="str">
            <v>CC02</v>
          </cell>
          <cell r="B567">
            <v>496</v>
          </cell>
          <cell r="C567" t="str">
            <v>Tarikan Pintu Alumunium</v>
          </cell>
          <cell r="D567" t="str">
            <v>bh</v>
          </cell>
          <cell r="E567">
            <v>201500</v>
          </cell>
        </row>
        <row r="568">
          <cell r="A568" t="str">
            <v>CC03</v>
          </cell>
          <cell r="B568">
            <v>497</v>
          </cell>
          <cell r="C568" t="str">
            <v xml:space="preserve">Kunci 2 Slaag ROYAL </v>
          </cell>
          <cell r="D568" t="str">
            <v>bh</v>
          </cell>
          <cell r="E568">
            <v>57500</v>
          </cell>
        </row>
        <row r="569">
          <cell r="A569" t="str">
            <v>CC04</v>
          </cell>
          <cell r="B569">
            <v>498</v>
          </cell>
          <cell r="C569" t="str">
            <v>Rel Henderson Lengkap</v>
          </cell>
          <cell r="D569" t="str">
            <v>bh</v>
          </cell>
          <cell r="E569">
            <v>402500</v>
          </cell>
        </row>
        <row r="570">
          <cell r="A570" t="str">
            <v>CC05</v>
          </cell>
          <cell r="B570">
            <v>499</v>
          </cell>
          <cell r="C570" t="str">
            <v>Rel Maraton I Pintu</v>
          </cell>
          <cell r="D570" t="str">
            <v>unt</v>
          </cell>
          <cell r="E570">
            <v>86500</v>
          </cell>
        </row>
        <row r="571">
          <cell r="A571" t="str">
            <v>CC06</v>
          </cell>
          <cell r="B571">
            <v>500</v>
          </cell>
          <cell r="C571" t="str">
            <v xml:space="preserve">Kunci 2 Slaag Silinder SEIS Asli type 210 s/d type 226 </v>
          </cell>
          <cell r="D571" t="str">
            <v>bh</v>
          </cell>
          <cell r="E571">
            <v>178500</v>
          </cell>
        </row>
        <row r="572">
          <cell r="A572" t="str">
            <v>CC07</v>
          </cell>
          <cell r="B572">
            <v>501</v>
          </cell>
          <cell r="C572" t="str">
            <v>Kunci 2 Slaag Ancor Asli</v>
          </cell>
          <cell r="D572" t="str">
            <v>bh</v>
          </cell>
          <cell r="E572">
            <v>75000</v>
          </cell>
        </row>
        <row r="573">
          <cell r="A573" t="str">
            <v>CC08</v>
          </cell>
          <cell r="B573">
            <v>502</v>
          </cell>
          <cell r="C573" t="str">
            <v>Kunci 2 Slaag ISO</v>
          </cell>
          <cell r="D573" t="str">
            <v>bh</v>
          </cell>
          <cell r="E573">
            <v>86500</v>
          </cell>
        </row>
        <row r="574">
          <cell r="A574" t="str">
            <v>CC09</v>
          </cell>
          <cell r="B574">
            <v>503</v>
          </cell>
          <cell r="C574" t="str">
            <v xml:space="preserve">Kunci KM Bulat Kualitas Biasa </v>
          </cell>
          <cell r="D574" t="str">
            <v>bh</v>
          </cell>
          <cell r="E574">
            <v>17500</v>
          </cell>
        </row>
        <row r="575">
          <cell r="A575" t="str">
            <v>CC10</v>
          </cell>
          <cell r="B575">
            <v>504</v>
          </cell>
          <cell r="C575" t="str">
            <v xml:space="preserve">Kunci  KM Bulat ALFA </v>
          </cell>
          <cell r="D575" t="str">
            <v>bh</v>
          </cell>
          <cell r="E575">
            <v>40500</v>
          </cell>
        </row>
        <row r="578">
          <cell r="A578" t="str">
            <v>CC11</v>
          </cell>
          <cell r="B578">
            <v>505</v>
          </cell>
          <cell r="C578" t="str">
            <v xml:space="preserve">Kunci 2 Slaag Silinder Utama Standard </v>
          </cell>
          <cell r="D578" t="str">
            <v>bh</v>
          </cell>
          <cell r="E578">
            <v>259000</v>
          </cell>
        </row>
        <row r="579">
          <cell r="A579" t="str">
            <v>CC12</v>
          </cell>
          <cell r="B579">
            <v>506</v>
          </cell>
          <cell r="C579" t="str">
            <v xml:space="preserve">Kunci Gembok Besar </v>
          </cell>
          <cell r="D579" t="str">
            <v>bh</v>
          </cell>
          <cell r="E579">
            <v>21000</v>
          </cell>
        </row>
        <row r="580">
          <cell r="A580" t="str">
            <v>CC13</v>
          </cell>
          <cell r="B580">
            <v>507</v>
          </cell>
          <cell r="C580" t="str">
            <v xml:space="preserve">Kunci 2 Slaag Kuda Terbang </v>
          </cell>
          <cell r="D580" t="str">
            <v>bh</v>
          </cell>
          <cell r="E580">
            <v>40500</v>
          </cell>
        </row>
        <row r="581">
          <cell r="A581" t="str">
            <v>CC14</v>
          </cell>
          <cell r="B581">
            <v>508</v>
          </cell>
          <cell r="C581" t="str">
            <v>Espangolet</v>
          </cell>
          <cell r="D581" t="str">
            <v>ps</v>
          </cell>
          <cell r="E581">
            <v>23000</v>
          </cell>
        </row>
        <row r="582">
          <cell r="A582" t="str">
            <v>CC15</v>
          </cell>
          <cell r="B582">
            <v>509</v>
          </cell>
          <cell r="C582" t="str">
            <v>Grendel 15 cm</v>
          </cell>
          <cell r="D582" t="str">
            <v>bh</v>
          </cell>
          <cell r="E582">
            <v>7000</v>
          </cell>
        </row>
        <row r="583">
          <cell r="A583" t="str">
            <v>CC16</v>
          </cell>
          <cell r="B583">
            <v>510</v>
          </cell>
          <cell r="C583" t="str">
            <v>Grendel 5 cm</v>
          </cell>
          <cell r="D583" t="str">
            <v>bh</v>
          </cell>
          <cell r="E583">
            <v>1750</v>
          </cell>
        </row>
        <row r="584">
          <cell r="A584" t="str">
            <v>CC17</v>
          </cell>
          <cell r="B584">
            <v>511</v>
          </cell>
          <cell r="C584" t="str">
            <v>Hak Angin Kait Jendela Biasa</v>
          </cell>
          <cell r="D584" t="str">
            <v>ps</v>
          </cell>
          <cell r="E584">
            <v>2500</v>
          </cell>
        </row>
        <row r="585">
          <cell r="A585" t="str">
            <v>CC18</v>
          </cell>
          <cell r="B585">
            <v>512</v>
          </cell>
          <cell r="C585" t="str">
            <v>Hak Angin Jendela Antik</v>
          </cell>
          <cell r="D585" t="str">
            <v>ps</v>
          </cell>
          <cell r="E585">
            <v>11500</v>
          </cell>
        </row>
        <row r="586">
          <cell r="A586" t="str">
            <v>CC19</v>
          </cell>
          <cell r="B586">
            <v>513</v>
          </cell>
          <cell r="C586" t="str">
            <v>Hak Angin Sendok Stainless / Kuningan</v>
          </cell>
          <cell r="D586" t="str">
            <v>bh</v>
          </cell>
          <cell r="E586">
            <v>26000</v>
          </cell>
        </row>
        <row r="587">
          <cell r="A587" t="str">
            <v>CC20</v>
          </cell>
          <cell r="B587">
            <v>514</v>
          </cell>
          <cell r="C587" t="str">
            <v>Nako Lengkap Tralis 1 Daun</v>
          </cell>
          <cell r="D587" t="str">
            <v>dn</v>
          </cell>
          <cell r="E587">
            <v>11500</v>
          </cell>
        </row>
        <row r="588">
          <cell r="A588" t="str">
            <v>CC21</v>
          </cell>
          <cell r="B588">
            <v>515</v>
          </cell>
          <cell r="C588" t="str">
            <v>Sloot Pintu berikut  Rantai</v>
          </cell>
          <cell r="D588" t="str">
            <v>bh</v>
          </cell>
          <cell r="E588">
            <v>40500</v>
          </cell>
        </row>
        <row r="589">
          <cell r="A589" t="str">
            <v>CC22</v>
          </cell>
          <cell r="B589">
            <v>516</v>
          </cell>
          <cell r="C589" t="str">
            <v>Sloot Jendela Tunggal</v>
          </cell>
          <cell r="D589" t="str">
            <v>bh</v>
          </cell>
          <cell r="E589">
            <v>8500</v>
          </cell>
        </row>
        <row r="590">
          <cell r="A590" t="str">
            <v>CC23</v>
          </cell>
          <cell r="B590">
            <v>517</v>
          </cell>
          <cell r="C590" t="str">
            <v>Engsel Pintu Unilon Standard</v>
          </cell>
          <cell r="D590" t="str">
            <v>ps</v>
          </cell>
          <cell r="E590">
            <v>8250</v>
          </cell>
        </row>
        <row r="591">
          <cell r="A591" t="str">
            <v>CC24</v>
          </cell>
          <cell r="B591">
            <v>518</v>
          </cell>
          <cell r="C591" t="str">
            <v>Engsel Jendela Unilon</v>
          </cell>
          <cell r="D591" t="str">
            <v>ps</v>
          </cell>
          <cell r="E591">
            <v>5750</v>
          </cell>
        </row>
        <row r="592">
          <cell r="A592" t="str">
            <v>CC25</v>
          </cell>
          <cell r="B592">
            <v>519</v>
          </cell>
          <cell r="C592" t="str">
            <v>Engsel Patrun</v>
          </cell>
          <cell r="D592" t="str">
            <v>ps</v>
          </cell>
          <cell r="E592">
            <v>3500</v>
          </cell>
        </row>
        <row r="593">
          <cell r="A593" t="str">
            <v>CC26</v>
          </cell>
          <cell r="B593">
            <v>520</v>
          </cell>
          <cell r="C593" t="str">
            <v>Engsel Harmonika</v>
          </cell>
          <cell r="D593" t="str">
            <v>m1</v>
          </cell>
          <cell r="E593">
            <v>4000</v>
          </cell>
        </row>
        <row r="594">
          <cell r="A594" t="str">
            <v>CC27</v>
          </cell>
          <cell r="B594">
            <v>521</v>
          </cell>
          <cell r="C594" t="str">
            <v>Door Closer Kelas Standard ( Kelas Sedang )</v>
          </cell>
          <cell r="D594" t="str">
            <v>unt</v>
          </cell>
          <cell r="E594">
            <v>201500</v>
          </cell>
        </row>
        <row r="595">
          <cell r="A595" t="str">
            <v>CC28</v>
          </cell>
          <cell r="B595">
            <v>522</v>
          </cell>
          <cell r="C595" t="str">
            <v>Door Closer Kelas Standard ( Kelas Baik )</v>
          </cell>
          <cell r="D595" t="str">
            <v>unt</v>
          </cell>
          <cell r="E595">
            <v>287500</v>
          </cell>
        </row>
        <row r="596">
          <cell r="A596" t="str">
            <v>CC29</v>
          </cell>
          <cell r="B596">
            <v>523</v>
          </cell>
          <cell r="C596" t="str">
            <v>Door Closer Kelas Rendah</v>
          </cell>
          <cell r="D596" t="str">
            <v>unt</v>
          </cell>
          <cell r="E596">
            <v>97500</v>
          </cell>
        </row>
        <row r="597">
          <cell r="A597" t="str">
            <v>CC30</v>
          </cell>
          <cell r="B597">
            <v>524</v>
          </cell>
          <cell r="C597" t="str">
            <v>Tarikan Almari Rata - rata</v>
          </cell>
          <cell r="D597" t="str">
            <v>bh</v>
          </cell>
          <cell r="E597">
            <v>6000</v>
          </cell>
        </row>
        <row r="598">
          <cell r="A598" t="str">
            <v>CC31</v>
          </cell>
          <cell r="B598">
            <v>525</v>
          </cell>
          <cell r="C598" t="str">
            <v>Seng BJLS 30 lebar 60cm (1 rol 50 m' )</v>
          </cell>
          <cell r="D598" t="str">
            <v>m1</v>
          </cell>
          <cell r="E598">
            <v>15500</v>
          </cell>
        </row>
        <row r="599">
          <cell r="A599" t="str">
            <v>CC32</v>
          </cell>
          <cell r="B599">
            <v>526</v>
          </cell>
          <cell r="C599" t="str">
            <v>Seng BJLS 30 lebar 90cm (1 rol 50 m' )</v>
          </cell>
          <cell r="D599" t="str">
            <v>m1</v>
          </cell>
          <cell r="E599">
            <v>22500</v>
          </cell>
        </row>
        <row r="601">
          <cell r="C601" t="str">
            <v>Q. BAHAN PENGIKAT UNTUK KONTRUKSI JALAN</v>
          </cell>
        </row>
        <row r="602">
          <cell r="A602" t="str">
            <v>CE01</v>
          </cell>
          <cell r="B602">
            <v>527</v>
          </cell>
          <cell r="C602" t="str">
            <v>Hotmix Jadi berikut alat dan bahan bakar ( T = 5 cm  =&gt; 9 m2 )</v>
          </cell>
          <cell r="D602" t="str">
            <v>ton</v>
          </cell>
          <cell r="E602">
            <v>256000</v>
          </cell>
        </row>
        <row r="603">
          <cell r="A603" t="str">
            <v>CE02</v>
          </cell>
          <cell r="B603">
            <v>528</v>
          </cell>
          <cell r="C603" t="str">
            <v>Aspal ( ESO ) 1 Drum 150 Kg</v>
          </cell>
          <cell r="D603" t="str">
            <v>kg</v>
          </cell>
          <cell r="E603">
            <v>2500</v>
          </cell>
        </row>
        <row r="604">
          <cell r="A604" t="str">
            <v>CE03</v>
          </cell>
          <cell r="B604">
            <v>529</v>
          </cell>
          <cell r="C604" t="str">
            <v>Aspal Curah</v>
          </cell>
          <cell r="D604" t="str">
            <v>kg</v>
          </cell>
          <cell r="E604">
            <v>2100</v>
          </cell>
        </row>
        <row r="605">
          <cell r="A605" t="str">
            <v>CE04</v>
          </cell>
          <cell r="B605">
            <v>530</v>
          </cell>
          <cell r="C605" t="str">
            <v>Aspal RC 70 ( Cilacap )</v>
          </cell>
          <cell r="D605" t="str">
            <v>kg</v>
          </cell>
          <cell r="E605">
            <v>2400</v>
          </cell>
        </row>
        <row r="607">
          <cell r="C607" t="str">
            <v>R. BAHAN PENGHISAP AIR SUMUR DALAM</v>
          </cell>
        </row>
        <row r="608">
          <cell r="A608" t="str">
            <v>CG01</v>
          </cell>
          <cell r="B608">
            <v>531</v>
          </cell>
          <cell r="C608" t="str">
            <v>Pompa Kodok</v>
          </cell>
          <cell r="D608" t="str">
            <v>unit</v>
          </cell>
          <cell r="E608">
            <v>92000</v>
          </cell>
        </row>
        <row r="609">
          <cell r="A609" t="str">
            <v>CG02</v>
          </cell>
          <cell r="B609">
            <v>532</v>
          </cell>
          <cell r="C609" t="str">
            <v xml:space="preserve">Pompa Dragon Tegal </v>
          </cell>
          <cell r="D609" t="str">
            <v>unit</v>
          </cell>
          <cell r="E609">
            <v>132300</v>
          </cell>
        </row>
        <row r="610">
          <cell r="A610" t="str">
            <v>CG03</v>
          </cell>
          <cell r="B610">
            <v>533</v>
          </cell>
          <cell r="C610" t="str">
            <v xml:space="preserve">Pompa Dragon Asli </v>
          </cell>
          <cell r="D610" t="str">
            <v>unit</v>
          </cell>
          <cell r="E610">
            <v>402500</v>
          </cell>
        </row>
        <row r="611">
          <cell r="A611" t="str">
            <v>CG04</v>
          </cell>
          <cell r="B611">
            <v>534</v>
          </cell>
          <cell r="C611" t="str">
            <v>Mesin Pompa Air 100 W - Sanyo</v>
          </cell>
          <cell r="D611" t="str">
            <v>unit</v>
          </cell>
          <cell r="E611">
            <v>632500</v>
          </cell>
        </row>
        <row r="612">
          <cell r="A612" t="str">
            <v>CG05</v>
          </cell>
          <cell r="B612">
            <v>535</v>
          </cell>
          <cell r="C612" t="str">
            <v>Mesin Pompa Air 150 W - Sanyo</v>
          </cell>
          <cell r="D612" t="str">
            <v>unit</v>
          </cell>
          <cell r="E612">
            <v>1092500</v>
          </cell>
        </row>
        <row r="613">
          <cell r="A613" t="str">
            <v>CG06</v>
          </cell>
          <cell r="B613">
            <v>536</v>
          </cell>
          <cell r="C613" t="str">
            <v>Pompa Zet pump 250 W - Sanyo</v>
          </cell>
          <cell r="D613" t="str">
            <v>unit</v>
          </cell>
          <cell r="E613">
            <v>3750000</v>
          </cell>
        </row>
        <row r="614">
          <cell r="A614" t="str">
            <v>CG07</v>
          </cell>
          <cell r="B614">
            <v>537</v>
          </cell>
          <cell r="C614" t="str">
            <v>Pompa Zet pump 450 W - Sanyo</v>
          </cell>
          <cell r="D614" t="str">
            <v>unit</v>
          </cell>
          <cell r="E614">
            <v>4550000</v>
          </cell>
        </row>
        <row r="615">
          <cell r="A615" t="str">
            <v>CG08</v>
          </cell>
          <cell r="B615">
            <v>538</v>
          </cell>
          <cell r="C615" t="str">
            <v>Pompa Submersible kap. 150 liter/menit 3 kW</v>
          </cell>
          <cell r="D615" t="str">
            <v>unit</v>
          </cell>
          <cell r="E615">
            <v>16500000</v>
          </cell>
        </row>
        <row r="619">
          <cell r="A619" t="str">
            <v>CG09</v>
          </cell>
          <cell r="B619">
            <v>539</v>
          </cell>
          <cell r="C619" t="str">
            <v xml:space="preserve">Gear Pump kap. 60 liter/menit </v>
          </cell>
          <cell r="D619" t="str">
            <v>unit</v>
          </cell>
          <cell r="E619">
            <v>9500000</v>
          </cell>
        </row>
        <row r="620">
          <cell r="A620" t="str">
            <v>CG10</v>
          </cell>
          <cell r="B620">
            <v>540</v>
          </cell>
          <cell r="C620" t="str">
            <v xml:space="preserve">Deep Well dengan kelengkapannya kap. 150 liter/menit </v>
          </cell>
          <cell r="D620" t="str">
            <v>unit</v>
          </cell>
          <cell r="E620">
            <v>140000000</v>
          </cell>
        </row>
        <row r="621">
          <cell r="A621" t="str">
            <v>CG11</v>
          </cell>
          <cell r="B621">
            <v>541</v>
          </cell>
          <cell r="C621" t="str">
            <v xml:space="preserve">Hand Oil Pump </v>
          </cell>
          <cell r="D621" t="str">
            <v>unit</v>
          </cell>
          <cell r="E621">
            <v>2875000</v>
          </cell>
        </row>
        <row r="623">
          <cell r="C623" t="str">
            <v>S. BAHAN PENAMPUNG AIR</v>
          </cell>
        </row>
        <row r="624">
          <cell r="A624" t="str">
            <v>CI01</v>
          </cell>
          <cell r="B624">
            <v>542</v>
          </cell>
          <cell r="C624" t="str">
            <v>Tangki Air Fiber Glass 0.5 m3 ( Excel )</v>
          </cell>
          <cell r="D624" t="str">
            <v>bh</v>
          </cell>
          <cell r="E624">
            <v>345000</v>
          </cell>
        </row>
        <row r="625">
          <cell r="A625" t="str">
            <v>CI02</v>
          </cell>
          <cell r="B625">
            <v>543</v>
          </cell>
          <cell r="C625" t="str">
            <v>Tangki Air Fiber Glass 1 m3 ( Excel )</v>
          </cell>
          <cell r="D625" t="str">
            <v>bh</v>
          </cell>
          <cell r="E625">
            <v>546000</v>
          </cell>
        </row>
        <row r="626">
          <cell r="A626" t="str">
            <v>CI03</v>
          </cell>
          <cell r="B626">
            <v>544</v>
          </cell>
          <cell r="C626" t="str">
            <v>Tangki Air Fiber Glass 2 m3 ( Excel )</v>
          </cell>
          <cell r="D626" t="str">
            <v>bh</v>
          </cell>
          <cell r="E626">
            <v>1092000</v>
          </cell>
        </row>
        <row r="627">
          <cell r="A627" t="str">
            <v>CI04</v>
          </cell>
          <cell r="B627">
            <v>545</v>
          </cell>
          <cell r="C627" t="str">
            <v>Bak KM Fiber 60 x 60</v>
          </cell>
          <cell r="D627" t="str">
            <v>bh</v>
          </cell>
          <cell r="E627">
            <v>109300</v>
          </cell>
        </row>
        <row r="628">
          <cell r="A628" t="str">
            <v>CI05</v>
          </cell>
          <cell r="B628">
            <v>546</v>
          </cell>
          <cell r="C628" t="str">
            <v>Bak Taraso WC 40 x 40</v>
          </cell>
          <cell r="D628" t="str">
            <v>bh</v>
          </cell>
          <cell r="E628">
            <v>23000</v>
          </cell>
        </row>
        <row r="629">
          <cell r="A629" t="str">
            <v>CI06</v>
          </cell>
          <cell r="B629">
            <v>547</v>
          </cell>
          <cell r="C629" t="str">
            <v>Bak KM Taraso 60 x 60</v>
          </cell>
          <cell r="D629" t="str">
            <v>bh</v>
          </cell>
          <cell r="E629">
            <v>69000</v>
          </cell>
        </row>
        <row r="631">
          <cell r="C631" t="str">
            <v>T. BIAYA QUALITY CONTROL , IZIN - IZIN, PENGUKURAN</v>
          </cell>
        </row>
        <row r="632">
          <cell r="C632" t="str">
            <v xml:space="preserve">    BIASA DAN BIAYA PENYAMBUNGAN</v>
          </cell>
        </row>
        <row r="633">
          <cell r="A633" t="str">
            <v>CJ01</v>
          </cell>
          <cell r="B633">
            <v>548</v>
          </cell>
          <cell r="C633" t="str">
            <v>Penyambungan Listrik PLN</v>
          </cell>
          <cell r="D633" t="str">
            <v>1w</v>
          </cell>
          <cell r="E633">
            <v>500</v>
          </cell>
        </row>
        <row r="634">
          <cell r="A634" t="str">
            <v>CJ02</v>
          </cell>
          <cell r="B634">
            <v>549</v>
          </cell>
          <cell r="C634" t="str">
            <v>IMB Bertingkat Rata - rata (Rumah / Kantor)</v>
          </cell>
          <cell r="D634" t="str">
            <v>m²</v>
          </cell>
          <cell r="E634">
            <v>17500</v>
          </cell>
        </row>
        <row r="635">
          <cell r="A635" t="str">
            <v>CJ03</v>
          </cell>
          <cell r="B635">
            <v>550</v>
          </cell>
          <cell r="C635" t="str">
            <v>IMB tidak bertingkat Rata - rata (Rumah / Kantor)</v>
          </cell>
          <cell r="D635" t="str">
            <v>m²</v>
          </cell>
          <cell r="E635">
            <v>16000</v>
          </cell>
        </row>
        <row r="636">
          <cell r="A636" t="str">
            <v>CJ04</v>
          </cell>
          <cell r="B636">
            <v>551</v>
          </cell>
          <cell r="C636" t="str">
            <v>IMB Bertingkat Rata - rata (untuk Usaha)</v>
          </cell>
          <cell r="D636" t="str">
            <v>m²</v>
          </cell>
          <cell r="E636">
            <v>20000</v>
          </cell>
        </row>
        <row r="637">
          <cell r="A637" t="str">
            <v>CJ05</v>
          </cell>
          <cell r="B637">
            <v>552</v>
          </cell>
          <cell r="C637" t="str">
            <v>IMB tidak bertingkat Rata - rata (untuk Usaha)</v>
          </cell>
          <cell r="D637" t="str">
            <v>m²</v>
          </cell>
          <cell r="E637">
            <v>17500</v>
          </cell>
        </row>
        <row r="638">
          <cell r="A638" t="str">
            <v>CJ06</v>
          </cell>
          <cell r="B638">
            <v>553</v>
          </cell>
          <cell r="C638" t="str">
            <v>Sondir Rata - rata</v>
          </cell>
          <cell r="D638" t="str">
            <v>1 ttk</v>
          </cell>
          <cell r="E638">
            <v>175000</v>
          </cell>
        </row>
        <row r="639">
          <cell r="A639" t="str">
            <v>CJ07</v>
          </cell>
          <cell r="B639">
            <v>554</v>
          </cell>
          <cell r="C639" t="str">
            <v>Pengukuran Site + Patok</v>
          </cell>
          <cell r="D639" t="str">
            <v>m²</v>
          </cell>
          <cell r="E639">
            <v>500</v>
          </cell>
        </row>
        <row r="640">
          <cell r="A640" t="str">
            <v>CJ08</v>
          </cell>
          <cell r="B640">
            <v>555</v>
          </cell>
          <cell r="C640" t="str">
            <v>Biaya Tes Jalan ( quality control )</v>
          </cell>
          <cell r="D640" t="str">
            <v>ttk</v>
          </cell>
          <cell r="E640">
            <v>69000</v>
          </cell>
        </row>
        <row r="642">
          <cell r="A642" t="str">
            <v>CJ09</v>
          </cell>
          <cell r="B642">
            <v>556</v>
          </cell>
          <cell r="C642" t="str">
            <v>Biaya Tes 1 Macam Beton</v>
          </cell>
          <cell r="D642" t="str">
            <v>1 spl</v>
          </cell>
          <cell r="E642">
            <v>149500</v>
          </cell>
        </row>
        <row r="643">
          <cell r="A643" t="str">
            <v>CJ10</v>
          </cell>
          <cell r="B643">
            <v>557</v>
          </cell>
          <cell r="C643" t="str">
            <v>Biaya Pengujian Bahan Agregat</v>
          </cell>
          <cell r="D643" t="str">
            <v>1 spl</v>
          </cell>
          <cell r="E643">
            <v>51800</v>
          </cell>
        </row>
        <row r="644">
          <cell r="A644" t="str">
            <v>CJ11</v>
          </cell>
          <cell r="B644">
            <v>558</v>
          </cell>
          <cell r="C644" t="str">
            <v>Biaya Pengujian Listrik</v>
          </cell>
          <cell r="D644" t="str">
            <v>1 watt</v>
          </cell>
          <cell r="E644">
            <v>250</v>
          </cell>
        </row>
        <row r="645">
          <cell r="A645" t="str">
            <v>CJ12</v>
          </cell>
          <cell r="B645">
            <v>559</v>
          </cell>
          <cell r="C645" t="str">
            <v>Izin Sumur Artesis Lengkap</v>
          </cell>
          <cell r="D645" t="str">
            <v>unit</v>
          </cell>
          <cell r="E645">
            <v>5000000</v>
          </cell>
        </row>
        <row r="646">
          <cell r="A646" t="str">
            <v>CJ13</v>
          </cell>
          <cell r="B646">
            <v>560</v>
          </cell>
          <cell r="C646" t="str">
            <v>Penyambungan PDAM untuk rumah</v>
          </cell>
          <cell r="D646" t="str">
            <v>unit</v>
          </cell>
          <cell r="E646">
            <v>525000</v>
          </cell>
        </row>
        <row r="647">
          <cell r="A647" t="str">
            <v>CJ14</v>
          </cell>
          <cell r="B647">
            <v>561</v>
          </cell>
          <cell r="C647" t="str">
            <v>Geolistrik</v>
          </cell>
          <cell r="D647" t="str">
            <v>1 ttk</v>
          </cell>
          <cell r="E647">
            <v>250000</v>
          </cell>
        </row>
        <row r="649">
          <cell r="C649" t="str">
            <v>U. ALAT TUKANG.</v>
          </cell>
        </row>
        <row r="650">
          <cell r="A650" t="str">
            <v>CL01</v>
          </cell>
          <cell r="B650">
            <v>562</v>
          </cell>
          <cell r="C650" t="str">
            <v>Palu 0,5 kg</v>
          </cell>
          <cell r="D650" t="str">
            <v>bh</v>
          </cell>
          <cell r="E650">
            <v>17500</v>
          </cell>
        </row>
        <row r="651">
          <cell r="A651" t="str">
            <v>CL02</v>
          </cell>
          <cell r="B651">
            <v>563</v>
          </cell>
          <cell r="C651" t="str">
            <v>Cangkul</v>
          </cell>
          <cell r="D651" t="str">
            <v>bh</v>
          </cell>
          <cell r="E651">
            <v>25000</v>
          </cell>
        </row>
        <row r="652">
          <cell r="A652" t="str">
            <v>CL03</v>
          </cell>
          <cell r="B652">
            <v>564</v>
          </cell>
          <cell r="C652" t="str">
            <v>Singkup</v>
          </cell>
          <cell r="D652" t="str">
            <v>bh</v>
          </cell>
          <cell r="E652">
            <v>20000</v>
          </cell>
        </row>
        <row r="653">
          <cell r="A653" t="str">
            <v>CL04</v>
          </cell>
          <cell r="B653">
            <v>565</v>
          </cell>
          <cell r="C653" t="str">
            <v>Sekrop</v>
          </cell>
          <cell r="D653" t="str">
            <v>bh</v>
          </cell>
          <cell r="E653">
            <v>30000</v>
          </cell>
        </row>
        <row r="654">
          <cell r="A654" t="str">
            <v>CL05</v>
          </cell>
          <cell r="B654">
            <v>566</v>
          </cell>
          <cell r="C654" t="str">
            <v>Pengki</v>
          </cell>
          <cell r="D654" t="str">
            <v>bh</v>
          </cell>
          <cell r="E654">
            <v>1750</v>
          </cell>
        </row>
        <row r="655">
          <cell r="A655" t="str">
            <v>CL06</v>
          </cell>
          <cell r="B655">
            <v>567</v>
          </cell>
          <cell r="C655" t="str">
            <v>Linggis</v>
          </cell>
          <cell r="D655" t="str">
            <v>bh</v>
          </cell>
          <cell r="E655">
            <v>20000</v>
          </cell>
        </row>
        <row r="660">
          <cell r="A660" t="str">
            <v>CL07</v>
          </cell>
          <cell r="B660">
            <v>568</v>
          </cell>
          <cell r="C660" t="str">
            <v>Rool Meter 30 meter ( Bahan Plastik )</v>
          </cell>
          <cell r="D660" t="str">
            <v>bh</v>
          </cell>
          <cell r="E660">
            <v>60000</v>
          </cell>
        </row>
        <row r="661">
          <cell r="A661" t="str">
            <v>CL08</v>
          </cell>
          <cell r="B661">
            <v>569</v>
          </cell>
          <cell r="C661" t="str">
            <v>Rool Meter 5 meter ( Bahan Besi )</v>
          </cell>
          <cell r="D661" t="str">
            <v>bh</v>
          </cell>
          <cell r="E661">
            <v>20000</v>
          </cell>
        </row>
        <row r="662">
          <cell r="A662" t="str">
            <v>CL09</v>
          </cell>
          <cell r="B662">
            <v>570</v>
          </cell>
          <cell r="C662" t="str">
            <v xml:space="preserve">Selang Plastik untuk Water Pas dia. 0.5 cm </v>
          </cell>
          <cell r="D662" t="str">
            <v>bh</v>
          </cell>
          <cell r="E662">
            <v>750</v>
          </cell>
        </row>
        <row r="663">
          <cell r="A663" t="str">
            <v>CL10</v>
          </cell>
          <cell r="B663">
            <v>571</v>
          </cell>
          <cell r="C663" t="str">
            <v xml:space="preserve"> Water Pas Alumuniumm 60 cm </v>
          </cell>
          <cell r="D663" t="str">
            <v>bh</v>
          </cell>
          <cell r="E663">
            <v>50000</v>
          </cell>
        </row>
        <row r="665">
          <cell r="C665" t="str">
            <v xml:space="preserve">V. STANDARD RATA - RATA SEWA ALAT BESAR , ALAT MEKANIK </v>
          </cell>
        </row>
        <row r="666">
          <cell r="C666" t="str">
            <v xml:space="preserve">      TRUK, KENDARAAN RODA 4 &amp; LAINNYA</v>
          </cell>
        </row>
        <row r="667">
          <cell r="A667" t="str">
            <v>CN01</v>
          </cell>
          <cell r="B667">
            <v>572</v>
          </cell>
          <cell r="C667" t="str">
            <v>Sewa Mesin Gilas 8 Ton s/d 10 ton</v>
          </cell>
          <cell r="D667" t="str">
            <v>hari</v>
          </cell>
          <cell r="E667">
            <v>125000</v>
          </cell>
        </row>
        <row r="668">
          <cell r="A668" t="str">
            <v>CN02</v>
          </cell>
          <cell r="B668">
            <v>573</v>
          </cell>
          <cell r="C668" t="str">
            <v>Tirud Roller 3 Jam / hari</v>
          </cell>
          <cell r="D668" t="str">
            <v>hari</v>
          </cell>
          <cell r="E668">
            <v>138000</v>
          </cell>
        </row>
        <row r="669">
          <cell r="A669" t="str">
            <v>CN03</v>
          </cell>
          <cell r="B669">
            <v>574</v>
          </cell>
          <cell r="C669" t="str">
            <v>Tamdam Roller 6 - 8 Ton 5 Jam / hr</v>
          </cell>
          <cell r="D669" t="str">
            <v>hari</v>
          </cell>
          <cell r="E669">
            <v>230000</v>
          </cell>
        </row>
        <row r="670">
          <cell r="A670" t="str">
            <v>CN04</v>
          </cell>
          <cell r="B670">
            <v>575</v>
          </cell>
          <cell r="C670" t="str">
            <v>Tamdam Roller 8 - 10 Ton 5 Jam / hr</v>
          </cell>
          <cell r="D670" t="str">
            <v>hari</v>
          </cell>
          <cell r="E670">
            <v>225000</v>
          </cell>
        </row>
        <row r="671">
          <cell r="A671" t="str">
            <v>CN05</v>
          </cell>
          <cell r="B671">
            <v>576</v>
          </cell>
          <cell r="C671" t="str">
            <v>Roller Viberator - Ped 1 Ton 4 Jam /hr</v>
          </cell>
          <cell r="D671" t="str">
            <v>hari</v>
          </cell>
          <cell r="E671">
            <v>180000</v>
          </cell>
        </row>
        <row r="672">
          <cell r="A672" t="str">
            <v>CN06</v>
          </cell>
          <cell r="B672">
            <v>577</v>
          </cell>
          <cell r="C672" t="str">
            <v>Roller Viberator - Self 7 Ton 5 Jam /hr</v>
          </cell>
          <cell r="D672" t="str">
            <v>hari</v>
          </cell>
          <cell r="E672">
            <v>230000</v>
          </cell>
        </row>
        <row r="673">
          <cell r="A673" t="str">
            <v>CN07</v>
          </cell>
          <cell r="B673">
            <v>578</v>
          </cell>
          <cell r="C673" t="str">
            <v>Roller 3 Wheeled - 8 Ton 5 Jam /hr</v>
          </cell>
          <cell r="D673" t="str">
            <v>hari</v>
          </cell>
          <cell r="E673">
            <v>145000</v>
          </cell>
        </row>
        <row r="674">
          <cell r="A674" t="str">
            <v>CN08</v>
          </cell>
          <cell r="B674">
            <v>579</v>
          </cell>
          <cell r="C674" t="str">
            <v>Roller Pneumatic  8 - 15 Ton 5 Jam /hr</v>
          </cell>
          <cell r="D674" t="str">
            <v>hari</v>
          </cell>
          <cell r="E674">
            <v>250000</v>
          </cell>
        </row>
        <row r="675">
          <cell r="A675" t="str">
            <v>CN09</v>
          </cell>
          <cell r="B675">
            <v>580</v>
          </cell>
          <cell r="C675" t="str">
            <v>Loader Wheeled 5 Jam /hr</v>
          </cell>
          <cell r="D675" t="str">
            <v>hari</v>
          </cell>
          <cell r="E675">
            <v>350000</v>
          </cell>
        </row>
        <row r="676">
          <cell r="A676" t="str">
            <v>CN10</v>
          </cell>
          <cell r="B676">
            <v>581</v>
          </cell>
          <cell r="C676" t="str">
            <v>Sewa Kran 30 Ton</v>
          </cell>
          <cell r="D676" t="str">
            <v>hari</v>
          </cell>
          <cell r="E676">
            <v>1800000</v>
          </cell>
        </row>
        <row r="677">
          <cell r="A677" t="str">
            <v>CN11</v>
          </cell>
          <cell r="B677">
            <v>582</v>
          </cell>
          <cell r="C677" t="str">
            <v>Sewa Exavator Backhoe 5 Jam /hari</v>
          </cell>
          <cell r="D677" t="str">
            <v>hari</v>
          </cell>
          <cell r="E677">
            <v>525000</v>
          </cell>
        </row>
        <row r="678">
          <cell r="A678" t="str">
            <v>CN12</v>
          </cell>
          <cell r="B678">
            <v>583</v>
          </cell>
          <cell r="C678" t="str">
            <v>Sewa Draklint</v>
          </cell>
          <cell r="D678" t="str">
            <v>jam</v>
          </cell>
          <cell r="E678">
            <v>125000</v>
          </cell>
        </row>
        <row r="679">
          <cell r="A679" t="str">
            <v>CN13</v>
          </cell>
          <cell r="B679">
            <v>584</v>
          </cell>
          <cell r="C679" t="str">
            <v>Whell Loader</v>
          </cell>
          <cell r="D679" t="str">
            <v>jam</v>
          </cell>
          <cell r="E679">
            <v>105000</v>
          </cell>
        </row>
        <row r="680">
          <cell r="A680" t="str">
            <v>CN14</v>
          </cell>
          <cell r="B680">
            <v>585</v>
          </cell>
          <cell r="C680" t="str">
            <v>Buldozer 4 Jam /hr</v>
          </cell>
          <cell r="D680" t="str">
            <v>hari</v>
          </cell>
          <cell r="E680">
            <v>475000</v>
          </cell>
        </row>
        <row r="681">
          <cell r="A681" t="str">
            <v>CN15</v>
          </cell>
          <cell r="B681">
            <v>586</v>
          </cell>
          <cell r="C681" t="str">
            <v>Ecavator Hydr 1 m3</v>
          </cell>
          <cell r="D681" t="str">
            <v>hari</v>
          </cell>
          <cell r="E681">
            <v>550000</v>
          </cell>
        </row>
        <row r="682">
          <cell r="A682" t="str">
            <v>CN16</v>
          </cell>
          <cell r="B682">
            <v>587</v>
          </cell>
          <cell r="C682" t="str">
            <v>Backu</v>
          </cell>
          <cell r="D682" t="str">
            <v>hari</v>
          </cell>
          <cell r="E682">
            <v>100000</v>
          </cell>
        </row>
        <row r="683">
          <cell r="A683" t="str">
            <v>CN17</v>
          </cell>
          <cell r="B683">
            <v>588</v>
          </cell>
          <cell r="C683" t="str">
            <v>Motor Grader 5 Jam /hr</v>
          </cell>
          <cell r="D683" t="str">
            <v>jam</v>
          </cell>
          <cell r="E683">
            <v>425000</v>
          </cell>
        </row>
        <row r="684">
          <cell r="A684" t="str">
            <v>CN18</v>
          </cell>
          <cell r="B684">
            <v>589</v>
          </cell>
          <cell r="C684" t="str">
            <v>Pheumatic Drill Hammer 3 Jam / hr</v>
          </cell>
          <cell r="D684" t="str">
            <v>hari</v>
          </cell>
          <cell r="E684">
            <v>175000</v>
          </cell>
        </row>
        <row r="685">
          <cell r="A685" t="str">
            <v>CN19</v>
          </cell>
          <cell r="B685">
            <v>590</v>
          </cell>
          <cell r="C685" t="str">
            <v>Vibro Roller</v>
          </cell>
          <cell r="D685" t="str">
            <v>hari</v>
          </cell>
          <cell r="E685">
            <v>75000</v>
          </cell>
        </row>
        <row r="686">
          <cell r="A686" t="str">
            <v>CN20</v>
          </cell>
          <cell r="B686">
            <v>591</v>
          </cell>
          <cell r="C686" t="str">
            <v>Stone Crusher</v>
          </cell>
          <cell r="D686" t="str">
            <v>hari</v>
          </cell>
          <cell r="E686">
            <v>175000</v>
          </cell>
        </row>
        <row r="687">
          <cell r="A687" t="str">
            <v>CN21</v>
          </cell>
          <cell r="B687">
            <v>592</v>
          </cell>
          <cell r="C687" t="str">
            <v>AMP</v>
          </cell>
          <cell r="D687" t="str">
            <v>hari</v>
          </cell>
          <cell r="E687">
            <v>175000</v>
          </cell>
        </row>
        <row r="688">
          <cell r="A688" t="str">
            <v>CN22</v>
          </cell>
          <cell r="B688">
            <v>593</v>
          </cell>
          <cell r="C688" t="str">
            <v>Teractor Equament 2 Jam /hr</v>
          </cell>
          <cell r="D688" t="str">
            <v>hari</v>
          </cell>
          <cell r="E688">
            <v>60000</v>
          </cell>
        </row>
        <row r="689">
          <cell r="A689" t="str">
            <v>CN23</v>
          </cell>
          <cell r="B689">
            <v>594</v>
          </cell>
          <cell r="C689" t="str">
            <v>Screning Plent 5 Jam /hr</v>
          </cell>
          <cell r="D689" t="str">
            <v>hari</v>
          </cell>
          <cell r="E689">
            <v>300000</v>
          </cell>
        </row>
        <row r="690">
          <cell r="A690" t="str">
            <v>CN24</v>
          </cell>
          <cell r="B690">
            <v>595</v>
          </cell>
          <cell r="C690" t="str">
            <v>Asphal Finisher</v>
          </cell>
          <cell r="D690" t="str">
            <v>hari</v>
          </cell>
          <cell r="E690">
            <v>175000</v>
          </cell>
        </row>
        <row r="691">
          <cell r="A691" t="str">
            <v>CN25</v>
          </cell>
          <cell r="B691">
            <v>596</v>
          </cell>
          <cell r="C691" t="str">
            <v>Asphal Melting Kalte</v>
          </cell>
          <cell r="D691" t="str">
            <v>hari</v>
          </cell>
          <cell r="E691">
            <v>95000</v>
          </cell>
        </row>
        <row r="692">
          <cell r="A692" t="str">
            <v>CN26</v>
          </cell>
          <cell r="B692">
            <v>597</v>
          </cell>
          <cell r="C692" t="str">
            <v>Asphal Spayer</v>
          </cell>
          <cell r="D692" t="str">
            <v>hari</v>
          </cell>
          <cell r="E692">
            <v>75000</v>
          </cell>
        </row>
        <row r="693">
          <cell r="A693" t="str">
            <v>CN27</v>
          </cell>
          <cell r="B693">
            <v>598</v>
          </cell>
          <cell r="C693" t="str">
            <v>Asphal MIxing Plant</v>
          </cell>
          <cell r="D693" t="str">
            <v>hari</v>
          </cell>
          <cell r="E693">
            <v>650000</v>
          </cell>
        </row>
        <row r="694">
          <cell r="A694" t="str">
            <v>CN28</v>
          </cell>
          <cell r="B694">
            <v>599</v>
          </cell>
          <cell r="C694" t="str">
            <v>Sprayer,Self - Prop. 10001 4 Jam/hr</v>
          </cell>
          <cell r="D694" t="str">
            <v>hari</v>
          </cell>
          <cell r="E694">
            <v>105000</v>
          </cell>
        </row>
        <row r="695">
          <cell r="A695" t="str">
            <v>CN29</v>
          </cell>
          <cell r="B695">
            <v>600</v>
          </cell>
          <cell r="C695" t="str">
            <v>Tamper, Viberator Plate 3 Jam /hari</v>
          </cell>
          <cell r="D695" t="str">
            <v>hari</v>
          </cell>
          <cell r="E695">
            <v>20000</v>
          </cell>
        </row>
        <row r="696">
          <cell r="A696" t="str">
            <v>CN30</v>
          </cell>
          <cell r="B696">
            <v>601</v>
          </cell>
          <cell r="C696" t="str">
            <v>Crusher / SCR</v>
          </cell>
          <cell r="D696" t="str">
            <v>hari</v>
          </cell>
          <cell r="E696">
            <v>750000</v>
          </cell>
        </row>
        <row r="697">
          <cell r="A697" t="str">
            <v>CN31</v>
          </cell>
          <cell r="B697">
            <v>602</v>
          </cell>
          <cell r="C697" t="str">
            <v>Concrete Mixer 0.125 m3</v>
          </cell>
          <cell r="D697" t="str">
            <v>hari</v>
          </cell>
          <cell r="E697">
            <v>60000</v>
          </cell>
        </row>
        <row r="698">
          <cell r="A698" t="str">
            <v>CN32</v>
          </cell>
          <cell r="B698">
            <v>603</v>
          </cell>
          <cell r="C698" t="str">
            <v>Concrete Mixer 0.5 m3</v>
          </cell>
          <cell r="D698" t="str">
            <v>hari</v>
          </cell>
          <cell r="E698">
            <v>86000</v>
          </cell>
        </row>
        <row r="699">
          <cell r="A699" t="str">
            <v>CN33</v>
          </cell>
          <cell r="B699">
            <v>604</v>
          </cell>
          <cell r="C699" t="str">
            <v>Concrete Viberator</v>
          </cell>
          <cell r="D699" t="str">
            <v>hari</v>
          </cell>
          <cell r="E699">
            <v>35000</v>
          </cell>
        </row>
        <row r="700">
          <cell r="A700" t="str">
            <v>CN34</v>
          </cell>
          <cell r="B700">
            <v>605</v>
          </cell>
          <cell r="C700" t="str">
            <v>Pick Up</v>
          </cell>
          <cell r="D700" t="str">
            <v>hari</v>
          </cell>
          <cell r="E700">
            <v>175000</v>
          </cell>
        </row>
        <row r="703">
          <cell r="A703" t="str">
            <v>CN35</v>
          </cell>
          <cell r="B703">
            <v>606</v>
          </cell>
          <cell r="C703" t="str">
            <v>Dump Truck 3.5 Ton</v>
          </cell>
          <cell r="D703" t="str">
            <v>hari</v>
          </cell>
          <cell r="E703">
            <v>230000</v>
          </cell>
        </row>
        <row r="704">
          <cell r="A704" t="str">
            <v>CN36</v>
          </cell>
          <cell r="B704">
            <v>607</v>
          </cell>
          <cell r="C704" t="str">
            <v>Dump Truck 5 Ton 4 Jam /hr</v>
          </cell>
          <cell r="D704" t="str">
            <v>hari</v>
          </cell>
          <cell r="E704">
            <v>260000</v>
          </cell>
        </row>
        <row r="705">
          <cell r="A705" t="str">
            <v>CN37</v>
          </cell>
          <cell r="B705">
            <v>608</v>
          </cell>
          <cell r="C705" t="str">
            <v>Flatbed Truck 3.5 Ton</v>
          </cell>
          <cell r="D705" t="str">
            <v>hari</v>
          </cell>
          <cell r="E705">
            <v>240000</v>
          </cell>
        </row>
        <row r="706">
          <cell r="A706" t="str">
            <v>CN38</v>
          </cell>
          <cell r="B706">
            <v>609</v>
          </cell>
          <cell r="C706" t="str">
            <v>Truck 3/4 ( Colt Disel )</v>
          </cell>
          <cell r="D706" t="str">
            <v>hari</v>
          </cell>
          <cell r="E706">
            <v>200000</v>
          </cell>
        </row>
        <row r="707">
          <cell r="A707" t="str">
            <v>CN39</v>
          </cell>
          <cell r="B707">
            <v>610</v>
          </cell>
          <cell r="C707" t="str">
            <v>Truck Fuso</v>
          </cell>
          <cell r="D707" t="str">
            <v>hari</v>
          </cell>
          <cell r="E707">
            <v>280000</v>
          </cell>
        </row>
        <row r="708">
          <cell r="A708" t="str">
            <v>CN40</v>
          </cell>
          <cell r="B708">
            <v>611</v>
          </cell>
          <cell r="C708" t="str">
            <v>Mesin Las Listrik 18 pk  8 jam</v>
          </cell>
          <cell r="D708" t="str">
            <v>hari</v>
          </cell>
          <cell r="E708">
            <v>80000</v>
          </cell>
        </row>
        <row r="709">
          <cell r="A709" t="str">
            <v>CN41</v>
          </cell>
          <cell r="B709">
            <v>612</v>
          </cell>
          <cell r="C709" t="str">
            <v>Mesin Pompa Air  3 "</v>
          </cell>
          <cell r="D709" t="str">
            <v>hari</v>
          </cell>
          <cell r="E709">
            <v>75000</v>
          </cell>
        </row>
        <row r="710">
          <cell r="A710" t="str">
            <v>CN42</v>
          </cell>
          <cell r="B710">
            <v>613</v>
          </cell>
          <cell r="C710" t="str">
            <v>Stamper 8 Jam</v>
          </cell>
          <cell r="D710" t="str">
            <v>hari</v>
          </cell>
          <cell r="E710">
            <v>50000</v>
          </cell>
        </row>
        <row r="711">
          <cell r="A711" t="str">
            <v>CN43</v>
          </cell>
          <cell r="B711">
            <v>614</v>
          </cell>
          <cell r="C711" t="str">
            <v>Compresor Air</v>
          </cell>
          <cell r="D711" t="str">
            <v>hari</v>
          </cell>
          <cell r="E711">
            <v>75000</v>
          </cell>
        </row>
        <row r="712">
          <cell r="A712" t="str">
            <v>CN44</v>
          </cell>
          <cell r="B712">
            <v>615</v>
          </cell>
          <cell r="C712" t="str">
            <v>Pump Water ( 5 cm ) 30 m3 / hari</v>
          </cell>
          <cell r="D712" t="str">
            <v>hari</v>
          </cell>
          <cell r="E712">
            <v>50000</v>
          </cell>
        </row>
        <row r="713">
          <cell r="A713" t="str">
            <v>CN45</v>
          </cell>
          <cell r="B713">
            <v>616</v>
          </cell>
          <cell r="C713" t="str">
            <v>Trailler, Towed 1 Ton 3 Jam/hr</v>
          </cell>
          <cell r="D713" t="str">
            <v>hari</v>
          </cell>
          <cell r="E713">
            <v>30000</v>
          </cell>
        </row>
        <row r="714">
          <cell r="A714" t="str">
            <v>CN46</v>
          </cell>
          <cell r="B714">
            <v>617</v>
          </cell>
          <cell r="C714" t="str">
            <v>Water Tank Truck 2 Jam/hr</v>
          </cell>
          <cell r="D714" t="str">
            <v>hari</v>
          </cell>
          <cell r="E714">
            <v>150000</v>
          </cell>
        </row>
        <row r="716">
          <cell r="C716" t="str">
            <v>X. BAHAN BAKAR DAN PELUMAS</v>
          </cell>
        </row>
        <row r="717">
          <cell r="A717" t="str">
            <v>CP01</v>
          </cell>
          <cell r="B717">
            <v>618</v>
          </cell>
          <cell r="C717" t="str">
            <v>Minyak Tanah</v>
          </cell>
          <cell r="D717" t="str">
            <v>lt</v>
          </cell>
          <cell r="E717">
            <v>500</v>
          </cell>
        </row>
        <row r="718">
          <cell r="A718" t="str">
            <v>CP02</v>
          </cell>
          <cell r="B718">
            <v>619</v>
          </cell>
          <cell r="C718" t="str">
            <v>Kayu Bakar Dari Kayu  Karet</v>
          </cell>
          <cell r="D718" t="str">
            <v>m³</v>
          </cell>
          <cell r="E718">
            <v>45000</v>
          </cell>
        </row>
        <row r="719">
          <cell r="A719" t="str">
            <v>CP03</v>
          </cell>
          <cell r="B719">
            <v>620</v>
          </cell>
          <cell r="C719" t="str">
            <v>Bahan Bakar Residu</v>
          </cell>
          <cell r="D719" t="str">
            <v>lt</v>
          </cell>
          <cell r="E719">
            <v>300</v>
          </cell>
        </row>
        <row r="720">
          <cell r="A720" t="str">
            <v>CP04</v>
          </cell>
          <cell r="B720">
            <v>621</v>
          </cell>
          <cell r="C720" t="str">
            <v>Minyak Solar</v>
          </cell>
          <cell r="D720" t="str">
            <v>lt</v>
          </cell>
          <cell r="E720">
            <v>600</v>
          </cell>
        </row>
        <row r="721">
          <cell r="A721" t="str">
            <v>CP05</v>
          </cell>
          <cell r="B721">
            <v>622</v>
          </cell>
          <cell r="C721" t="str">
            <v>Bensin Premium</v>
          </cell>
          <cell r="D721" t="str">
            <v>lt</v>
          </cell>
          <cell r="E721">
            <v>1150</v>
          </cell>
        </row>
        <row r="722">
          <cell r="A722" t="str">
            <v>CP06</v>
          </cell>
          <cell r="B722">
            <v>623</v>
          </cell>
          <cell r="C722" t="str">
            <v>Plus Oil</v>
          </cell>
          <cell r="D722" t="str">
            <v>lt</v>
          </cell>
          <cell r="E722">
            <v>750</v>
          </cell>
        </row>
        <row r="723">
          <cell r="A723" t="str">
            <v>CP07</v>
          </cell>
          <cell r="B723">
            <v>624</v>
          </cell>
          <cell r="C723" t="str">
            <v>Oli Mesran 40 SAE</v>
          </cell>
          <cell r="D723" t="str">
            <v>lt</v>
          </cell>
          <cell r="E723">
            <v>15000</v>
          </cell>
        </row>
        <row r="724">
          <cell r="A724" t="str">
            <v>CP08</v>
          </cell>
          <cell r="B724">
            <v>625</v>
          </cell>
          <cell r="C724" t="str">
            <v>Elpiji / botol</v>
          </cell>
          <cell r="D724" t="str">
            <v>15 kg</v>
          </cell>
          <cell r="E724">
            <v>25000</v>
          </cell>
        </row>
        <row r="725">
          <cell r="A725" t="str">
            <v>CP09</v>
          </cell>
          <cell r="B725">
            <v>626</v>
          </cell>
          <cell r="C725" t="str">
            <v>Asitilin / botol</v>
          </cell>
          <cell r="D725" t="str">
            <v>15.1 kg</v>
          </cell>
          <cell r="E725">
            <v>50000</v>
          </cell>
        </row>
        <row r="726">
          <cell r="A726" t="str">
            <v>CP10</v>
          </cell>
          <cell r="B726">
            <v>627</v>
          </cell>
          <cell r="C726" t="str">
            <v>Angin ( 02 ) / botol</v>
          </cell>
          <cell r="D726" t="str">
            <v>btl</v>
          </cell>
          <cell r="E726">
            <v>30000</v>
          </cell>
        </row>
        <row r="727">
          <cell r="A727" t="str">
            <v>CP11</v>
          </cell>
          <cell r="B727">
            <v>628</v>
          </cell>
          <cell r="C727" t="str">
            <v>Kawat Las Listrik</v>
          </cell>
          <cell r="D727" t="str">
            <v>kg</v>
          </cell>
          <cell r="E727">
            <v>6500</v>
          </cell>
        </row>
        <row r="728">
          <cell r="A728" t="str">
            <v>CP12</v>
          </cell>
          <cell r="B728">
            <v>629</v>
          </cell>
          <cell r="C728" t="str">
            <v>Karbit</v>
          </cell>
          <cell r="D728" t="str">
            <v>kg</v>
          </cell>
          <cell r="E728">
            <v>3500</v>
          </cell>
        </row>
        <row r="731">
          <cell r="A731" t="str">
            <v>ZZ99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BQ (2)"/>
      <sheetName val="Analis"/>
      <sheetName val="Upah"/>
      <sheetName val="Methode"/>
      <sheetName val="Struktur"/>
      <sheetName val="T Schedule"/>
      <sheetName val="Ask&amp;Answer"/>
      <sheetName val="Harga bahan"/>
      <sheetName val="Harsat Bahan"/>
      <sheetName val="Harsat Upah"/>
      <sheetName val="Bahan"/>
      <sheetName val="Upah Bahan"/>
    </sheetNames>
    <sheetDataSet>
      <sheetData sheetId="0" refreshError="1"/>
      <sheetData sheetId="1" refreshError="1"/>
      <sheetData sheetId="2" refreshError="1"/>
      <sheetData sheetId="3" refreshError="1">
        <row r="37">
          <cell r="I37">
            <v>621600</v>
          </cell>
        </row>
        <row r="56">
          <cell r="I56">
            <v>1458100</v>
          </cell>
        </row>
        <row r="82">
          <cell r="I82">
            <v>1597180</v>
          </cell>
        </row>
        <row r="108">
          <cell r="I108">
            <v>1263250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obilisasi"/>
      <sheetName val="BOQ"/>
      <sheetName val="schedule"/>
      <sheetName val="4-Basic Price"/>
      <sheetName val="5-ALAT(1)"/>
      <sheetName val="Div3"/>
      <sheetName val="Div4"/>
      <sheetName val="Div5"/>
      <sheetName val="Div6"/>
      <sheetName val="Div7(1)"/>
      <sheetName val="Div7(2)"/>
      <sheetName val="MPU"/>
      <sheetName val="DAFTAR ALAT &amp; PERSONIL"/>
      <sheetName val="Sub Kontrak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7">
          <cell r="F57">
            <v>8911.4249999999993</v>
          </cell>
        </row>
        <row r="69">
          <cell r="F69">
            <v>640000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 EE"/>
      <sheetName val="RAB EVA,"/>
      <sheetName val="cover"/>
      <sheetName val="Rekap"/>
      <sheetName val="Analis"/>
      <sheetName val="H.bh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46">
          <cell r="E146" t="str">
            <v>Pas.Batu Kerawang Semen 1PC : 4PS</v>
          </cell>
        </row>
        <row r="475">
          <cell r="E475" t="str">
            <v>Mengecat Meni</v>
          </cell>
        </row>
        <row r="594">
          <cell r="E594" t="str">
            <v>Beton Bertulang Sloof</v>
          </cell>
        </row>
      </sheetData>
      <sheetData sheetId="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NAMA"/>
      <sheetName val="COVER"/>
      <sheetName val="COV TAWAR"/>
      <sheetName val="REKAP"/>
      <sheetName val="RAB"/>
      <sheetName val="ANALISA"/>
      <sheetName val="UPAH"/>
      <sheetName val="UPAH (2)"/>
      <sheetName val="DATA"/>
      <sheetName val="Anal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2">
          <cell r="D22">
            <v>400</v>
          </cell>
        </row>
        <row r="34">
          <cell r="D34">
            <v>66100</v>
          </cell>
        </row>
        <row r="36">
          <cell r="D36">
            <v>31500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RAP"/>
      <sheetName val="Rekap"/>
      <sheetName val="Kuan&amp;Harga"/>
      <sheetName val="Ls-Mobilisasi (OK)"/>
      <sheetName val="SAT-DAS"/>
      <sheetName val="Ur-Anl (ok )"/>
      <sheetName val="Analisa (ok)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P2022 by me"/>
      <sheetName val="Bahan"/>
      <sheetName val="Upah"/>
      <sheetName val="Daftar Besi Beton Ulir"/>
      <sheetName val="Daftar Besi Beton Polos"/>
    </sheetNames>
    <sheetDataSet>
      <sheetData sheetId="0"/>
      <sheetData sheetId="1"/>
      <sheetData sheetId="2"/>
      <sheetData sheetId="3" refreshError="1"/>
      <sheetData sheetId="4">
        <row r="8">
          <cell r="C8">
            <v>5</v>
          </cell>
          <cell r="D8">
            <v>0.25</v>
          </cell>
          <cell r="E8">
            <v>25</v>
          </cell>
          <cell r="F8">
            <v>7850</v>
          </cell>
          <cell r="G8">
            <v>0.19625000000000001</v>
          </cell>
          <cell r="H8">
            <v>0.19634954084936207</v>
          </cell>
          <cell r="I8">
            <v>19.634954084936208</v>
          </cell>
          <cell r="J8">
            <v>7850</v>
          </cell>
          <cell r="K8">
            <v>0.15413438956674921</v>
          </cell>
        </row>
        <row r="9">
          <cell r="C9">
            <v>6</v>
          </cell>
          <cell r="D9">
            <v>0.36</v>
          </cell>
          <cell r="E9">
            <v>36</v>
          </cell>
          <cell r="F9">
            <v>7850</v>
          </cell>
          <cell r="G9">
            <v>0.28260000000000002</v>
          </cell>
          <cell r="H9">
            <v>0.28274333882308139</v>
          </cell>
          <cell r="I9">
            <v>28.274333882308138</v>
          </cell>
          <cell r="J9">
            <v>7850</v>
          </cell>
          <cell r="K9">
            <v>0.2219535209761189</v>
          </cell>
        </row>
        <row r="10">
          <cell r="C10">
            <v>7</v>
          </cell>
          <cell r="D10">
            <v>0.48999999999999994</v>
          </cell>
          <cell r="E10">
            <v>49</v>
          </cell>
          <cell r="F10">
            <v>7850</v>
          </cell>
          <cell r="G10">
            <v>0.38464999999999994</v>
          </cell>
          <cell r="H10">
            <v>0.38484510006474959</v>
          </cell>
          <cell r="I10">
            <v>38.484510006474963</v>
          </cell>
          <cell r="J10">
            <v>7850</v>
          </cell>
          <cell r="K10">
            <v>0.30210340355082843</v>
          </cell>
        </row>
        <row r="11">
          <cell r="C11">
            <v>8</v>
          </cell>
          <cell r="D11">
            <v>0.64000000000000012</v>
          </cell>
          <cell r="E11">
            <v>64</v>
          </cell>
          <cell r="F11">
            <v>7850</v>
          </cell>
          <cell r="G11">
            <v>0.50240000000000007</v>
          </cell>
          <cell r="H11">
            <v>0.50265482457436694</v>
          </cell>
          <cell r="I11">
            <v>50.26548245743669</v>
          </cell>
          <cell r="J11">
            <v>7850</v>
          </cell>
          <cell r="K11">
            <v>0.39458403729087804</v>
          </cell>
        </row>
        <row r="12">
          <cell r="C12">
            <v>9</v>
          </cell>
          <cell r="D12">
            <v>0.81</v>
          </cell>
          <cell r="E12">
            <v>81</v>
          </cell>
          <cell r="F12">
            <v>7850</v>
          </cell>
          <cell r="G12">
            <v>0.63585000000000003</v>
          </cell>
          <cell r="H12">
            <v>0.63617251235193317</v>
          </cell>
          <cell r="I12">
            <v>63.617251235193308</v>
          </cell>
          <cell r="J12">
            <v>7850</v>
          </cell>
          <cell r="K12">
            <v>0.49939542219626754</v>
          </cell>
        </row>
        <row r="13">
          <cell r="C13">
            <v>10</v>
          </cell>
          <cell r="D13">
            <v>1</v>
          </cell>
          <cell r="E13">
            <v>100</v>
          </cell>
          <cell r="F13">
            <v>7850</v>
          </cell>
          <cell r="G13">
            <v>0.78500000000000003</v>
          </cell>
          <cell r="H13">
            <v>0.78539816339744828</v>
          </cell>
          <cell r="I13">
            <v>78.539816339744831</v>
          </cell>
          <cell r="J13">
            <v>7850</v>
          </cell>
          <cell r="K13">
            <v>0.61653755826699685</v>
          </cell>
        </row>
        <row r="14">
          <cell r="C14">
            <v>11</v>
          </cell>
          <cell r="D14">
            <v>1.2100000000000002</v>
          </cell>
          <cell r="E14">
            <v>121</v>
          </cell>
          <cell r="F14">
            <v>7850</v>
          </cell>
          <cell r="G14">
            <v>0.94985000000000019</v>
          </cell>
          <cell r="H14">
            <v>0.9503317777109126</v>
          </cell>
          <cell r="I14">
            <v>95.033177771091246</v>
          </cell>
          <cell r="J14">
            <v>7850</v>
          </cell>
          <cell r="K14">
            <v>0.74601044550306639</v>
          </cell>
        </row>
        <row r="15">
          <cell r="C15">
            <v>12</v>
          </cell>
          <cell r="D15">
            <v>1.44</v>
          </cell>
          <cell r="E15">
            <v>144</v>
          </cell>
          <cell r="F15">
            <v>7850</v>
          </cell>
          <cell r="G15">
            <v>1.1304000000000001</v>
          </cell>
          <cell r="H15">
            <v>1.1309733552923256</v>
          </cell>
          <cell r="I15">
            <v>113.09733552923255</v>
          </cell>
          <cell r="J15">
            <v>7850</v>
          </cell>
          <cell r="K15">
            <v>0.88781408390447558</v>
          </cell>
        </row>
        <row r="16">
          <cell r="C16">
            <v>13</v>
          </cell>
          <cell r="D16">
            <v>1.6900000000000002</v>
          </cell>
          <cell r="E16">
            <v>169</v>
          </cell>
          <cell r="F16">
            <v>7850</v>
          </cell>
          <cell r="G16">
            <v>1.3266500000000001</v>
          </cell>
          <cell r="H16">
            <v>1.3273228961416876</v>
          </cell>
          <cell r="I16">
            <v>132.73228961416876</v>
          </cell>
          <cell r="J16">
            <v>7850</v>
          </cell>
          <cell r="K16">
            <v>1.0419484734712248</v>
          </cell>
        </row>
        <row r="17">
          <cell r="C17">
            <v>14</v>
          </cell>
          <cell r="D17">
            <v>1.9599999999999997</v>
          </cell>
          <cell r="E17">
            <v>196</v>
          </cell>
          <cell r="F17">
            <v>7850</v>
          </cell>
          <cell r="G17">
            <v>1.5385999999999997</v>
          </cell>
          <cell r="H17">
            <v>1.5393804002589984</v>
          </cell>
          <cell r="I17">
            <v>153.93804002589985</v>
          </cell>
          <cell r="J17">
            <v>7850</v>
          </cell>
          <cell r="K17">
            <v>1.2084136142033137</v>
          </cell>
        </row>
        <row r="18">
          <cell r="C18">
            <v>15</v>
          </cell>
          <cell r="D18">
            <v>2.25</v>
          </cell>
          <cell r="E18">
            <v>225</v>
          </cell>
          <cell r="F18">
            <v>7850</v>
          </cell>
          <cell r="G18">
            <v>1.7662500000000001</v>
          </cell>
          <cell r="H18">
            <v>1.7671458676442586</v>
          </cell>
          <cell r="I18">
            <v>176.71458676442586</v>
          </cell>
          <cell r="J18">
            <v>7850</v>
          </cell>
          <cell r="K18">
            <v>1.387209506100743</v>
          </cell>
        </row>
        <row r="19">
          <cell r="C19">
            <v>16</v>
          </cell>
          <cell r="D19">
            <v>2.5600000000000005</v>
          </cell>
          <cell r="E19">
            <v>256</v>
          </cell>
          <cell r="F19">
            <v>7850</v>
          </cell>
          <cell r="G19">
            <v>2.0096000000000003</v>
          </cell>
          <cell r="H19">
            <v>2.0106192982974678</v>
          </cell>
          <cell r="I19">
            <v>201.06192982974676</v>
          </cell>
          <cell r="J19">
            <v>7850</v>
          </cell>
          <cell r="K19">
            <v>1.5783361491635122</v>
          </cell>
        </row>
        <row r="20">
          <cell r="C20">
            <v>17</v>
          </cell>
          <cell r="D20">
            <v>2.8899999999999997</v>
          </cell>
          <cell r="E20">
            <v>289</v>
          </cell>
          <cell r="F20">
            <v>7850</v>
          </cell>
          <cell r="G20">
            <v>2.2686499999999996</v>
          </cell>
          <cell r="H20">
            <v>2.2698006922186251</v>
          </cell>
          <cell r="I20">
            <v>226.98006922186255</v>
          </cell>
          <cell r="J20">
            <v>7850</v>
          </cell>
          <cell r="K20">
            <v>1.7817935433916205</v>
          </cell>
        </row>
        <row r="21">
          <cell r="C21">
            <v>18</v>
          </cell>
          <cell r="D21">
            <v>3.24</v>
          </cell>
          <cell r="E21">
            <v>324</v>
          </cell>
          <cell r="F21">
            <v>7850</v>
          </cell>
          <cell r="G21">
            <v>2.5434000000000001</v>
          </cell>
          <cell r="H21">
            <v>2.5446900494077327</v>
          </cell>
          <cell r="I21">
            <v>254.46900494077323</v>
          </cell>
          <cell r="J21">
            <v>7850</v>
          </cell>
          <cell r="K21">
            <v>1.9975816887850701</v>
          </cell>
        </row>
        <row r="22">
          <cell r="C22">
            <v>19</v>
          </cell>
          <cell r="D22">
            <v>3.61</v>
          </cell>
          <cell r="E22">
            <v>361</v>
          </cell>
          <cell r="F22">
            <v>7850</v>
          </cell>
          <cell r="G22">
            <v>2.83385</v>
          </cell>
          <cell r="H22">
            <v>2.8352873698647882</v>
          </cell>
          <cell r="I22">
            <v>283.5287369864788</v>
          </cell>
          <cell r="J22">
            <v>7850</v>
          </cell>
          <cell r="K22">
            <v>2.2257005853438585</v>
          </cell>
        </row>
        <row r="23">
          <cell r="C23">
            <v>20</v>
          </cell>
          <cell r="D23">
            <v>4</v>
          </cell>
          <cell r="E23">
            <v>400</v>
          </cell>
          <cell r="F23">
            <v>7850</v>
          </cell>
          <cell r="G23">
            <v>3.14</v>
          </cell>
          <cell r="H23">
            <v>3.1415926535897931</v>
          </cell>
          <cell r="I23">
            <v>314.15926535897933</v>
          </cell>
          <cell r="J23">
            <v>7850</v>
          </cell>
          <cell r="K23">
            <v>2.4661502330679874</v>
          </cell>
        </row>
        <row r="24">
          <cell r="C24">
            <v>21</v>
          </cell>
          <cell r="D24">
            <v>4.41</v>
          </cell>
          <cell r="E24">
            <v>441</v>
          </cell>
          <cell r="F24">
            <v>7850</v>
          </cell>
          <cell r="G24">
            <v>3.4618500000000001</v>
          </cell>
          <cell r="H24">
            <v>3.4636059005827469</v>
          </cell>
          <cell r="I24">
            <v>346.36059005827468</v>
          </cell>
          <cell r="J24">
            <v>7850</v>
          </cell>
          <cell r="K24">
            <v>2.7189306319574564</v>
          </cell>
        </row>
        <row r="25">
          <cell r="C25">
            <v>22</v>
          </cell>
          <cell r="D25">
            <v>4.8400000000000007</v>
          </cell>
          <cell r="E25">
            <v>484</v>
          </cell>
          <cell r="F25">
            <v>7850</v>
          </cell>
          <cell r="G25">
            <v>3.7994000000000008</v>
          </cell>
          <cell r="H25">
            <v>3.8013271108436504</v>
          </cell>
          <cell r="I25">
            <v>380.13271108436498</v>
          </cell>
          <cell r="J25">
            <v>7850</v>
          </cell>
          <cell r="K25">
            <v>2.9840417820122656</v>
          </cell>
        </row>
        <row r="26">
          <cell r="C26">
            <v>23</v>
          </cell>
          <cell r="D26">
            <v>5.2899999999999991</v>
          </cell>
          <cell r="E26">
            <v>529</v>
          </cell>
          <cell r="F26">
            <v>7850</v>
          </cell>
          <cell r="G26">
            <v>4.1526499999999995</v>
          </cell>
          <cell r="H26">
            <v>4.1547562843725006</v>
          </cell>
          <cell r="I26">
            <v>415.47562843725012</v>
          </cell>
          <cell r="J26">
            <v>7850</v>
          </cell>
          <cell r="K26">
            <v>3.261483683232413</v>
          </cell>
        </row>
        <row r="27">
          <cell r="C27">
            <v>24</v>
          </cell>
          <cell r="D27">
            <v>5.76</v>
          </cell>
          <cell r="E27">
            <v>576</v>
          </cell>
          <cell r="F27">
            <v>7850</v>
          </cell>
          <cell r="G27">
            <v>4.5216000000000003</v>
          </cell>
          <cell r="H27">
            <v>4.5238934211693023</v>
          </cell>
          <cell r="I27">
            <v>452.38934211693021</v>
          </cell>
          <cell r="J27">
            <v>7850</v>
          </cell>
          <cell r="K27">
            <v>3.5512563356179023</v>
          </cell>
        </row>
        <row r="28">
          <cell r="C28">
            <v>25</v>
          </cell>
          <cell r="D28">
            <v>6.25</v>
          </cell>
          <cell r="E28">
            <v>625</v>
          </cell>
          <cell r="F28">
            <v>7850</v>
          </cell>
          <cell r="G28">
            <v>4.90625</v>
          </cell>
          <cell r="H28">
            <v>4.908738521234052</v>
          </cell>
          <cell r="I28">
            <v>490.87385212340519</v>
          </cell>
          <cell r="J28">
            <v>7850</v>
          </cell>
          <cell r="K28">
            <v>3.8533597391687304</v>
          </cell>
        </row>
        <row r="29">
          <cell r="C29">
            <v>26</v>
          </cell>
          <cell r="D29">
            <v>6.7600000000000007</v>
          </cell>
          <cell r="E29">
            <v>676</v>
          </cell>
          <cell r="F29">
            <v>7850</v>
          </cell>
          <cell r="G29">
            <v>5.3066000000000004</v>
          </cell>
          <cell r="H29">
            <v>5.3092915845667505</v>
          </cell>
          <cell r="I29">
            <v>530.92915845667505</v>
          </cell>
          <cell r="J29">
            <v>7850</v>
          </cell>
          <cell r="K29">
            <v>4.1677938938848991</v>
          </cell>
        </row>
        <row r="30">
          <cell r="C30">
            <v>27</v>
          </cell>
          <cell r="D30">
            <v>7.2900000000000009</v>
          </cell>
          <cell r="E30">
            <v>729</v>
          </cell>
          <cell r="F30">
            <v>7850</v>
          </cell>
          <cell r="G30">
            <v>5.7226500000000007</v>
          </cell>
          <cell r="H30">
            <v>5.7255526111673989</v>
          </cell>
          <cell r="I30">
            <v>572.55526111673976</v>
          </cell>
          <cell r="J30">
            <v>7850</v>
          </cell>
          <cell r="K30">
            <v>4.4945587997664083</v>
          </cell>
        </row>
        <row r="31">
          <cell r="C31">
            <v>28</v>
          </cell>
          <cell r="D31">
            <v>7.839999999999999</v>
          </cell>
          <cell r="E31">
            <v>784</v>
          </cell>
          <cell r="F31">
            <v>7850</v>
          </cell>
          <cell r="G31">
            <v>6.154399999999999</v>
          </cell>
          <cell r="H31">
            <v>6.1575216010359934</v>
          </cell>
          <cell r="I31">
            <v>615.75216010359941</v>
          </cell>
          <cell r="J31">
            <v>7850</v>
          </cell>
          <cell r="K31">
            <v>4.8336544568132549</v>
          </cell>
        </row>
        <row r="32">
          <cell r="C32">
            <v>29</v>
          </cell>
          <cell r="D32">
            <v>8.41</v>
          </cell>
          <cell r="E32">
            <v>841</v>
          </cell>
          <cell r="F32">
            <v>7850</v>
          </cell>
          <cell r="G32">
            <v>6.6018499999999998</v>
          </cell>
          <cell r="H32">
            <v>6.6051985541725404</v>
          </cell>
          <cell r="I32">
            <v>660.51985541725401</v>
          </cell>
          <cell r="J32">
            <v>7850</v>
          </cell>
          <cell r="K32">
            <v>5.1850808650254443</v>
          </cell>
        </row>
        <row r="33">
          <cell r="C33">
            <v>30</v>
          </cell>
          <cell r="D33">
            <v>9</v>
          </cell>
          <cell r="E33">
            <v>900</v>
          </cell>
          <cell r="F33">
            <v>7850</v>
          </cell>
          <cell r="G33">
            <v>7.0650000000000004</v>
          </cell>
          <cell r="H33">
            <v>7.0685834705770345</v>
          </cell>
          <cell r="I33">
            <v>706.85834705770344</v>
          </cell>
          <cell r="J33">
            <v>7850</v>
          </cell>
          <cell r="K33">
            <v>5.548838024402972</v>
          </cell>
        </row>
        <row r="34">
          <cell r="C34">
            <v>31</v>
          </cell>
          <cell r="D34">
            <v>9.6100000000000012</v>
          </cell>
          <cell r="E34">
            <v>961</v>
          </cell>
          <cell r="F34">
            <v>7850</v>
          </cell>
          <cell r="G34">
            <v>7.5438500000000017</v>
          </cell>
          <cell r="H34">
            <v>7.5476763502494792</v>
          </cell>
          <cell r="I34">
            <v>754.76763502494782</v>
          </cell>
          <cell r="J34">
            <v>7850</v>
          </cell>
          <cell r="K34">
            <v>5.9249259349458416</v>
          </cell>
        </row>
        <row r="35">
          <cell r="C35">
            <v>32</v>
          </cell>
          <cell r="D35">
            <v>10.240000000000002</v>
          </cell>
          <cell r="E35">
            <v>1024</v>
          </cell>
          <cell r="F35">
            <v>7850</v>
          </cell>
          <cell r="G35">
            <v>8.0384000000000011</v>
          </cell>
          <cell r="H35">
            <v>8.0424771931898711</v>
          </cell>
          <cell r="I35">
            <v>804.24771931898704</v>
          </cell>
          <cell r="J35">
            <v>7850</v>
          </cell>
          <cell r="K35">
            <v>6.3133445966540487</v>
          </cell>
        </row>
        <row r="36">
          <cell r="C36">
            <v>33</v>
          </cell>
          <cell r="D36">
            <v>10.889999999999999</v>
          </cell>
          <cell r="E36">
            <v>1089</v>
          </cell>
          <cell r="F36">
            <v>7850</v>
          </cell>
          <cell r="G36">
            <v>8.5486499999999985</v>
          </cell>
          <cell r="H36">
            <v>8.55298599939821</v>
          </cell>
          <cell r="I36">
            <v>855.2985999398212</v>
          </cell>
          <cell r="J36">
            <v>7850</v>
          </cell>
          <cell r="K36">
            <v>6.7140940095275949</v>
          </cell>
        </row>
        <row r="37">
          <cell r="C37">
            <v>34</v>
          </cell>
          <cell r="D37">
            <v>11.559999999999999</v>
          </cell>
          <cell r="E37">
            <v>1156</v>
          </cell>
          <cell r="F37">
            <v>7850</v>
          </cell>
          <cell r="G37">
            <v>9.0745999999999984</v>
          </cell>
          <cell r="H37">
            <v>9.0792027688745005</v>
          </cell>
          <cell r="I37">
            <v>907.9202768874502</v>
          </cell>
          <cell r="J37">
            <v>7850</v>
          </cell>
          <cell r="K37">
            <v>7.1271741735664822</v>
          </cell>
        </row>
        <row r="38">
          <cell r="C38">
            <v>35</v>
          </cell>
          <cell r="D38">
            <v>12.25</v>
          </cell>
          <cell r="E38">
            <v>1225</v>
          </cell>
          <cell r="F38">
            <v>7850</v>
          </cell>
          <cell r="G38">
            <v>9.6162500000000009</v>
          </cell>
          <cell r="H38">
            <v>9.6211275016187408</v>
          </cell>
          <cell r="I38">
            <v>962.11275016187415</v>
          </cell>
          <cell r="J38">
            <v>7850</v>
          </cell>
          <cell r="K38">
            <v>7.5525850887707113</v>
          </cell>
        </row>
        <row r="39">
          <cell r="C39">
            <v>36</v>
          </cell>
          <cell r="D39">
            <v>12.96</v>
          </cell>
          <cell r="E39">
            <v>1296</v>
          </cell>
          <cell r="F39">
            <v>7850</v>
          </cell>
          <cell r="G39">
            <v>10.1736</v>
          </cell>
          <cell r="H39">
            <v>10.178760197630931</v>
          </cell>
          <cell r="I39">
            <v>1017.8760197630929</v>
          </cell>
          <cell r="J39">
            <v>7850</v>
          </cell>
          <cell r="K39">
            <v>7.9903267551402806</v>
          </cell>
        </row>
        <row r="40">
          <cell r="C40">
            <v>37</v>
          </cell>
          <cell r="D40">
            <v>13.690000000000001</v>
          </cell>
          <cell r="E40">
            <v>1369</v>
          </cell>
          <cell r="F40">
            <v>7850</v>
          </cell>
          <cell r="G40">
            <v>10.746650000000001</v>
          </cell>
          <cell r="H40">
            <v>10.752100856911069</v>
          </cell>
          <cell r="I40">
            <v>1075.2100856911068</v>
          </cell>
          <cell r="J40">
            <v>7850</v>
          </cell>
          <cell r="K40">
            <v>8.440399172675189</v>
          </cell>
        </row>
        <row r="41">
          <cell r="C41">
            <v>38</v>
          </cell>
          <cell r="D41">
            <v>14.44</v>
          </cell>
          <cell r="E41">
            <v>1444</v>
          </cell>
          <cell r="F41">
            <v>7850</v>
          </cell>
          <cell r="G41">
            <v>11.3354</v>
          </cell>
          <cell r="H41">
            <v>11.341149479459153</v>
          </cell>
          <cell r="I41">
            <v>1134.1149479459152</v>
          </cell>
          <cell r="J41">
            <v>7850</v>
          </cell>
          <cell r="K41">
            <v>8.902802341375434</v>
          </cell>
        </row>
        <row r="42">
          <cell r="C42">
            <v>39</v>
          </cell>
          <cell r="D42">
            <v>15.209999999999999</v>
          </cell>
          <cell r="E42">
            <v>1521</v>
          </cell>
          <cell r="F42">
            <v>7850</v>
          </cell>
          <cell r="G42">
            <v>11.93985</v>
          </cell>
          <cell r="H42">
            <v>11.945906065275187</v>
          </cell>
          <cell r="I42">
            <v>1194.5906065275187</v>
          </cell>
          <cell r="J42">
            <v>7850</v>
          </cell>
          <cell r="K42">
            <v>9.3775362612410209</v>
          </cell>
        </row>
        <row r="43">
          <cell r="C43">
            <v>40</v>
          </cell>
          <cell r="D43">
            <v>16</v>
          </cell>
          <cell r="E43">
            <v>1600</v>
          </cell>
          <cell r="F43">
            <v>7850</v>
          </cell>
          <cell r="G43">
            <v>12.56</v>
          </cell>
          <cell r="H43">
            <v>12.566370614359172</v>
          </cell>
          <cell r="I43">
            <v>1256.6370614359173</v>
          </cell>
          <cell r="J43">
            <v>7850</v>
          </cell>
          <cell r="K43">
            <v>9.8646009322719497</v>
          </cell>
        </row>
        <row r="44">
          <cell r="C44">
            <v>42</v>
          </cell>
          <cell r="D44">
            <v>17.64</v>
          </cell>
          <cell r="E44">
            <v>1764</v>
          </cell>
          <cell r="F44">
            <v>7850</v>
          </cell>
          <cell r="G44">
            <v>13.8474</v>
          </cell>
          <cell r="H44">
            <v>13.854423602330987</v>
          </cell>
          <cell r="I44">
            <v>1385.4423602330987</v>
          </cell>
          <cell r="J44">
            <v>7850</v>
          </cell>
          <cell r="K44">
            <v>10.875722527829826</v>
          </cell>
        </row>
        <row r="45">
          <cell r="C45">
            <v>44</v>
          </cell>
          <cell r="D45">
            <v>19.360000000000003</v>
          </cell>
          <cell r="E45">
            <v>1936</v>
          </cell>
          <cell r="F45">
            <v>7850</v>
          </cell>
          <cell r="G45">
            <v>15.197600000000003</v>
          </cell>
          <cell r="H45">
            <v>15.205308443374602</v>
          </cell>
          <cell r="I45">
            <v>1520.5308443374599</v>
          </cell>
          <cell r="J45">
            <v>7850</v>
          </cell>
          <cell r="K45">
            <v>11.936167128049062</v>
          </cell>
        </row>
        <row r="46">
          <cell r="C46">
            <v>46</v>
          </cell>
          <cell r="D46">
            <v>21.159999999999997</v>
          </cell>
          <cell r="E46">
            <v>2116</v>
          </cell>
          <cell r="F46">
            <v>7850</v>
          </cell>
          <cell r="G46">
            <v>16.610599999999998</v>
          </cell>
          <cell r="H46">
            <v>16.619025137490002</v>
          </cell>
          <cell r="I46">
            <v>1661.9025137490005</v>
          </cell>
          <cell r="J46">
            <v>7850</v>
          </cell>
          <cell r="K46">
            <v>13.045934732929652</v>
          </cell>
        </row>
        <row r="47">
          <cell r="C47">
            <v>49</v>
          </cell>
          <cell r="D47">
            <v>24.010000000000005</v>
          </cell>
          <cell r="E47">
            <v>2401</v>
          </cell>
          <cell r="F47">
            <v>7850</v>
          </cell>
          <cell r="G47">
            <v>18.847850000000005</v>
          </cell>
          <cell r="H47">
            <v>18.857409903172737</v>
          </cell>
          <cell r="I47">
            <v>1885.7409903172734</v>
          </cell>
          <cell r="J47">
            <v>7850</v>
          </cell>
          <cell r="K47">
            <v>14.803066773990601</v>
          </cell>
        </row>
        <row r="48">
          <cell r="C48">
            <v>50</v>
          </cell>
          <cell r="D48">
            <v>25</v>
          </cell>
          <cell r="E48">
            <v>2500</v>
          </cell>
          <cell r="F48">
            <v>7850</v>
          </cell>
          <cell r="G48">
            <v>19.625</v>
          </cell>
          <cell r="H48">
            <v>19.634954084936208</v>
          </cell>
          <cell r="I48">
            <v>1963.4954084936207</v>
          </cell>
          <cell r="J48">
            <v>7850</v>
          </cell>
          <cell r="K48">
            <v>15.413438956674922</v>
          </cell>
        </row>
        <row r="49">
          <cell r="C49">
            <v>52</v>
          </cell>
          <cell r="D49">
            <v>27.040000000000003</v>
          </cell>
          <cell r="E49">
            <v>2704</v>
          </cell>
          <cell r="F49">
            <v>7850</v>
          </cell>
          <cell r="G49">
            <v>21.226400000000002</v>
          </cell>
          <cell r="H49">
            <v>21.237166338267002</v>
          </cell>
          <cell r="I49">
            <v>2123.7166338267002</v>
          </cell>
          <cell r="J49">
            <v>7850</v>
          </cell>
          <cell r="K49">
            <v>16.671175575539596</v>
          </cell>
        </row>
        <row r="50">
          <cell r="C50">
            <v>54</v>
          </cell>
          <cell r="D50">
            <v>29.160000000000004</v>
          </cell>
          <cell r="E50">
            <v>2916</v>
          </cell>
          <cell r="F50">
            <v>7850</v>
          </cell>
          <cell r="G50">
            <v>22.890600000000003</v>
          </cell>
          <cell r="H50">
            <v>22.902210444669596</v>
          </cell>
          <cell r="I50">
            <v>2290.221044466959</v>
          </cell>
          <cell r="J50">
            <v>7850</v>
          </cell>
          <cell r="K50">
            <v>17.978235199065633</v>
          </cell>
        </row>
        <row r="51">
          <cell r="C51">
            <v>56</v>
          </cell>
          <cell r="D51">
            <v>31.359999999999996</v>
          </cell>
          <cell r="E51">
            <v>3136</v>
          </cell>
          <cell r="F51">
            <v>7850</v>
          </cell>
          <cell r="G51">
            <v>24.617599999999996</v>
          </cell>
          <cell r="H51">
            <v>24.630086404143974</v>
          </cell>
          <cell r="I51">
            <v>2463.0086404143976</v>
          </cell>
          <cell r="J51">
            <v>7850</v>
          </cell>
          <cell r="K51">
            <v>19.33461782725302</v>
          </cell>
        </row>
        <row r="52">
          <cell r="C52">
            <v>58</v>
          </cell>
          <cell r="D52">
            <v>33.64</v>
          </cell>
          <cell r="E52">
            <v>3364</v>
          </cell>
          <cell r="F52">
            <v>7850</v>
          </cell>
          <cell r="G52">
            <v>26.407399999999999</v>
          </cell>
          <cell r="H52">
            <v>26.420794216690162</v>
          </cell>
          <cell r="I52">
            <v>2642.079421669016</v>
          </cell>
          <cell r="J52">
            <v>7850</v>
          </cell>
          <cell r="K52">
            <v>20.740323460101777</v>
          </cell>
        </row>
        <row r="53">
          <cell r="C53">
            <v>60</v>
          </cell>
          <cell r="D53">
            <v>36</v>
          </cell>
          <cell r="E53">
            <v>3600</v>
          </cell>
          <cell r="F53">
            <v>7850</v>
          </cell>
          <cell r="G53">
            <v>28.26</v>
          </cell>
          <cell r="H53">
            <v>28.274333882308138</v>
          </cell>
          <cell r="I53">
            <v>2827.4333882308138</v>
          </cell>
          <cell r="J53">
            <v>7850</v>
          </cell>
          <cell r="K53">
            <v>22.195352097611888</v>
          </cell>
        </row>
        <row r="54">
          <cell r="C54">
            <v>62</v>
          </cell>
          <cell r="D54">
            <v>38.440000000000005</v>
          </cell>
          <cell r="E54">
            <v>3844</v>
          </cell>
          <cell r="F54">
            <v>7850</v>
          </cell>
          <cell r="G54">
            <v>30.175400000000007</v>
          </cell>
          <cell r="H54">
            <v>30.190705400997917</v>
          </cell>
          <cell r="I54">
            <v>3019.0705400997913</v>
          </cell>
          <cell r="J54">
            <v>7850</v>
          </cell>
          <cell r="K54">
            <v>23.699703739783367</v>
          </cell>
        </row>
        <row r="55">
          <cell r="C55">
            <v>64</v>
          </cell>
          <cell r="D55">
            <v>40.960000000000008</v>
          </cell>
          <cell r="E55">
            <v>4096</v>
          </cell>
          <cell r="F55">
            <v>7850</v>
          </cell>
          <cell r="G55">
            <v>32.153600000000004</v>
          </cell>
          <cell r="H55">
            <v>32.169908772759484</v>
          </cell>
          <cell r="I55">
            <v>3216.9908772759482</v>
          </cell>
          <cell r="J55">
            <v>7850</v>
          </cell>
          <cell r="K55">
            <v>25.253378386616195</v>
          </cell>
        </row>
        <row r="56">
          <cell r="C56">
            <v>66</v>
          </cell>
          <cell r="D56">
            <v>43.559999999999995</v>
          </cell>
          <cell r="E56">
            <v>4356</v>
          </cell>
          <cell r="F56">
            <v>7850</v>
          </cell>
          <cell r="G56">
            <v>34.194599999999994</v>
          </cell>
          <cell r="H56">
            <v>34.21194399759284</v>
          </cell>
          <cell r="I56">
            <v>3421.1943997592848</v>
          </cell>
          <cell r="J56">
            <v>7850</v>
          </cell>
          <cell r="K56">
            <v>26.85637603811038</v>
          </cell>
        </row>
        <row r="57">
          <cell r="C57">
            <v>68</v>
          </cell>
          <cell r="D57">
            <v>46.239999999999995</v>
          </cell>
          <cell r="E57">
            <v>4624</v>
          </cell>
          <cell r="F57">
            <v>7850</v>
          </cell>
          <cell r="G57">
            <v>36.298399999999994</v>
          </cell>
          <cell r="H57">
            <v>36.316811075498002</v>
          </cell>
          <cell r="I57">
            <v>3631.6811075498008</v>
          </cell>
          <cell r="J57">
            <v>7850</v>
          </cell>
          <cell r="K57">
            <v>28.508696694265929</v>
          </cell>
        </row>
        <row r="58">
          <cell r="C58">
            <v>70</v>
          </cell>
          <cell r="D58">
            <v>49</v>
          </cell>
          <cell r="E58">
            <v>4900</v>
          </cell>
          <cell r="F58">
            <v>7850</v>
          </cell>
          <cell r="G58">
            <v>38.465000000000003</v>
          </cell>
          <cell r="H58">
            <v>38.484510006474963</v>
          </cell>
          <cell r="I58">
            <v>3848.4510006474966</v>
          </cell>
          <cell r="J58">
            <v>7850</v>
          </cell>
          <cell r="K58">
            <v>30.210340355082845</v>
          </cell>
        </row>
        <row r="59">
          <cell r="C59">
            <v>72</v>
          </cell>
          <cell r="D59">
            <v>51.84</v>
          </cell>
          <cell r="E59">
            <v>5184</v>
          </cell>
          <cell r="F59">
            <v>7850</v>
          </cell>
          <cell r="G59">
            <v>40.694400000000002</v>
          </cell>
          <cell r="H59">
            <v>40.715040790523723</v>
          </cell>
          <cell r="I59">
            <v>4071.5040790523717</v>
          </cell>
          <cell r="J59">
            <v>7850</v>
          </cell>
          <cell r="K59">
            <v>31.961307020561122</v>
          </cell>
        </row>
        <row r="60">
          <cell r="C60">
            <v>74</v>
          </cell>
          <cell r="D60">
            <v>54.760000000000005</v>
          </cell>
          <cell r="E60">
            <v>5476</v>
          </cell>
          <cell r="F60">
            <v>7850</v>
          </cell>
          <cell r="G60">
            <v>42.986600000000003</v>
          </cell>
          <cell r="H60">
            <v>43.008403427644275</v>
          </cell>
          <cell r="I60">
            <v>4300.8403427644271</v>
          </cell>
          <cell r="J60">
            <v>7850</v>
          </cell>
          <cell r="K60">
            <v>33.761596690700756</v>
          </cell>
        </row>
        <row r="61">
          <cell r="C61">
            <v>76</v>
          </cell>
          <cell r="D61">
            <v>57.76</v>
          </cell>
          <cell r="E61">
            <v>5776</v>
          </cell>
          <cell r="F61">
            <v>7850</v>
          </cell>
          <cell r="G61">
            <v>45.3416</v>
          </cell>
          <cell r="H61">
            <v>45.364597917836612</v>
          </cell>
          <cell r="I61">
            <v>4536.4597917836609</v>
          </cell>
          <cell r="J61">
            <v>7850</v>
          </cell>
          <cell r="K61">
            <v>35.611209365501736</v>
          </cell>
        </row>
        <row r="62">
          <cell r="C62">
            <v>78</v>
          </cell>
          <cell r="D62">
            <v>60.839999999999996</v>
          </cell>
          <cell r="E62">
            <v>6084</v>
          </cell>
          <cell r="F62">
            <v>7850</v>
          </cell>
          <cell r="G62">
            <v>47.759399999999999</v>
          </cell>
          <cell r="H62">
            <v>47.783624261100748</v>
          </cell>
          <cell r="I62">
            <v>4778.3624261100749</v>
          </cell>
          <cell r="J62">
            <v>7850</v>
          </cell>
          <cell r="K62">
            <v>37.510145044964084</v>
          </cell>
        </row>
        <row r="63">
          <cell r="C63">
            <v>80</v>
          </cell>
          <cell r="D63">
            <v>64</v>
          </cell>
          <cell r="E63">
            <v>6400</v>
          </cell>
          <cell r="F63">
            <v>7850</v>
          </cell>
          <cell r="G63">
            <v>50.24</v>
          </cell>
          <cell r="H63">
            <v>50.26548245743669</v>
          </cell>
          <cell r="I63">
            <v>5026.5482457436692</v>
          </cell>
          <cell r="J63">
            <v>7850</v>
          </cell>
          <cell r="K63">
            <v>39.458403729087799</v>
          </cell>
        </row>
        <row r="64">
          <cell r="C64">
            <v>82</v>
          </cell>
          <cell r="D64">
            <v>67.239999999999995</v>
          </cell>
          <cell r="E64">
            <v>6724</v>
          </cell>
          <cell r="F64">
            <v>7850</v>
          </cell>
          <cell r="G64">
            <v>52.7834</v>
          </cell>
          <cell r="H64">
            <v>52.810172506844417</v>
          </cell>
          <cell r="I64">
            <v>5281.0172506844419</v>
          </cell>
          <cell r="J64">
            <v>7850</v>
          </cell>
          <cell r="K64">
            <v>41.455985417872867</v>
          </cell>
        </row>
        <row r="65">
          <cell r="C65">
            <v>84</v>
          </cell>
          <cell r="D65">
            <v>70.56</v>
          </cell>
          <cell r="E65">
            <v>7056</v>
          </cell>
          <cell r="F65">
            <v>7850</v>
          </cell>
          <cell r="G65">
            <v>55.389600000000002</v>
          </cell>
          <cell r="H65">
            <v>55.41769440932395</v>
          </cell>
          <cell r="I65">
            <v>5541.7694409323949</v>
          </cell>
          <cell r="J65">
            <v>7850</v>
          </cell>
          <cell r="K65">
            <v>43.502890111319303</v>
          </cell>
        </row>
        <row r="66">
          <cell r="C66">
            <v>86</v>
          </cell>
          <cell r="D66">
            <v>73.959999999999994</v>
          </cell>
          <cell r="E66">
            <v>7396</v>
          </cell>
          <cell r="F66">
            <v>7850</v>
          </cell>
          <cell r="G66">
            <v>58.058599999999998</v>
          </cell>
          <cell r="H66">
            <v>58.088048164875268</v>
          </cell>
          <cell r="I66">
            <v>5808.8048164875272</v>
          </cell>
          <cell r="J66">
            <v>7850</v>
          </cell>
          <cell r="K66">
            <v>45.599117809427085</v>
          </cell>
        </row>
        <row r="67">
          <cell r="C67">
            <v>88</v>
          </cell>
          <cell r="D67">
            <v>77.440000000000012</v>
          </cell>
          <cell r="E67">
            <v>7744</v>
          </cell>
          <cell r="F67">
            <v>7850</v>
          </cell>
          <cell r="G67">
            <v>60.790400000000012</v>
          </cell>
          <cell r="H67">
            <v>60.821233773498406</v>
          </cell>
          <cell r="I67">
            <v>6082.1233773498398</v>
          </cell>
          <cell r="J67">
            <v>7850</v>
          </cell>
          <cell r="K67">
            <v>47.744668512196249</v>
          </cell>
        </row>
        <row r="68">
          <cell r="C68">
            <v>90</v>
          </cell>
          <cell r="D68">
            <v>81</v>
          </cell>
          <cell r="E68">
            <v>8100</v>
          </cell>
          <cell r="F68">
            <v>7850</v>
          </cell>
          <cell r="G68">
            <v>63.585000000000001</v>
          </cell>
          <cell r="H68">
            <v>63.617251235193308</v>
          </cell>
          <cell r="I68">
            <v>6361.7251235193307</v>
          </cell>
          <cell r="J68">
            <v>7850</v>
          </cell>
          <cell r="K68">
            <v>49.939542219626745</v>
          </cell>
        </row>
        <row r="69">
          <cell r="C69">
            <v>92</v>
          </cell>
          <cell r="D69">
            <v>84.639999999999986</v>
          </cell>
          <cell r="E69">
            <v>8464</v>
          </cell>
          <cell r="F69">
            <v>7850</v>
          </cell>
          <cell r="G69">
            <v>66.442399999999992</v>
          </cell>
          <cell r="H69">
            <v>66.476100549960009</v>
          </cell>
          <cell r="I69">
            <v>6647.610054996002</v>
          </cell>
          <cell r="J69">
            <v>7850</v>
          </cell>
          <cell r="K69">
            <v>52.183738931718608</v>
          </cell>
        </row>
        <row r="70">
          <cell r="C70">
            <v>94</v>
          </cell>
          <cell r="D70">
            <v>88.360000000000014</v>
          </cell>
          <cell r="E70">
            <v>8836</v>
          </cell>
          <cell r="F70">
            <v>7850</v>
          </cell>
          <cell r="G70">
            <v>69.362600000000015</v>
          </cell>
          <cell r="H70">
            <v>69.397781717798537</v>
          </cell>
          <cell r="I70">
            <v>6939.7781717798534</v>
          </cell>
          <cell r="J70">
            <v>7850</v>
          </cell>
          <cell r="K70">
            <v>54.477258648471846</v>
          </cell>
        </row>
        <row r="71">
          <cell r="C71">
            <v>96</v>
          </cell>
          <cell r="D71">
            <v>92.16</v>
          </cell>
          <cell r="E71">
            <v>9216</v>
          </cell>
          <cell r="F71">
            <v>7850</v>
          </cell>
          <cell r="G71">
            <v>72.345600000000005</v>
          </cell>
          <cell r="H71">
            <v>72.382294738708836</v>
          </cell>
          <cell r="I71">
            <v>7238.2294738708833</v>
          </cell>
          <cell r="J71">
            <v>7850</v>
          </cell>
          <cell r="K71">
            <v>56.820101369886437</v>
          </cell>
        </row>
        <row r="72">
          <cell r="C72">
            <v>98</v>
          </cell>
          <cell r="D72">
            <v>96.04000000000002</v>
          </cell>
          <cell r="E72">
            <v>9604</v>
          </cell>
          <cell r="F72">
            <v>7850</v>
          </cell>
          <cell r="G72">
            <v>75.391400000000019</v>
          </cell>
          <cell r="H72">
            <v>75.429639612690949</v>
          </cell>
          <cell r="I72">
            <v>7542.9639612690935</v>
          </cell>
          <cell r="J72">
            <v>7850</v>
          </cell>
          <cell r="K72">
            <v>59.212267095962403</v>
          </cell>
        </row>
        <row r="73">
          <cell r="C73">
            <v>100</v>
          </cell>
          <cell r="D73">
            <v>100</v>
          </cell>
          <cell r="E73">
            <v>10000</v>
          </cell>
          <cell r="F73">
            <v>7850</v>
          </cell>
          <cell r="G73">
            <v>78.5</v>
          </cell>
          <cell r="H73">
            <v>78.539816339744831</v>
          </cell>
          <cell r="I73">
            <v>7853.981633974483</v>
          </cell>
          <cell r="J73">
            <v>7850</v>
          </cell>
          <cell r="K73">
            <v>61.653755826699687</v>
          </cell>
        </row>
        <row r="74">
          <cell r="C74">
            <v>105</v>
          </cell>
          <cell r="D74">
            <v>110.25</v>
          </cell>
          <cell r="E74">
            <v>11025</v>
          </cell>
          <cell r="F74">
            <v>7850</v>
          </cell>
          <cell r="G74">
            <v>86.546250000000001</v>
          </cell>
          <cell r="H74">
            <v>86.59014751456867</v>
          </cell>
          <cell r="I74">
            <v>8659.0147514568671</v>
          </cell>
          <cell r="J74">
            <v>7850</v>
          </cell>
          <cell r="K74">
            <v>67.97326579893641</v>
          </cell>
        </row>
        <row r="75">
          <cell r="C75">
            <v>110</v>
          </cell>
          <cell r="D75">
            <v>121</v>
          </cell>
          <cell r="E75">
            <v>12100</v>
          </cell>
          <cell r="F75">
            <v>7850</v>
          </cell>
          <cell r="G75">
            <v>94.984999999999999</v>
          </cell>
          <cell r="H75">
            <v>95.033177771091246</v>
          </cell>
          <cell r="I75">
            <v>9503.317777109125</v>
          </cell>
          <cell r="J75">
            <v>7850</v>
          </cell>
          <cell r="K75">
            <v>74.601044550306625</v>
          </cell>
        </row>
        <row r="76">
          <cell r="C76">
            <v>115</v>
          </cell>
          <cell r="D76">
            <v>132.25</v>
          </cell>
          <cell r="E76">
            <v>13225</v>
          </cell>
          <cell r="F76">
            <v>7850</v>
          </cell>
          <cell r="G76">
            <v>103.81625</v>
          </cell>
          <cell r="H76">
            <v>103.86890710931253</v>
          </cell>
          <cell r="I76">
            <v>10386.890710931253</v>
          </cell>
          <cell r="J76">
            <v>7850</v>
          </cell>
          <cell r="K76">
            <v>81.537092080810339</v>
          </cell>
        </row>
        <row r="77">
          <cell r="C77">
            <v>120</v>
          </cell>
          <cell r="D77">
            <v>144</v>
          </cell>
          <cell r="E77">
            <v>14400</v>
          </cell>
          <cell r="F77">
            <v>7850</v>
          </cell>
          <cell r="G77">
            <v>113.04</v>
          </cell>
          <cell r="H77">
            <v>113.09733552923255</v>
          </cell>
          <cell r="I77">
            <v>11309.733552923255</v>
          </cell>
          <cell r="J77">
            <v>7850</v>
          </cell>
          <cell r="K77">
            <v>88.781408390447552</v>
          </cell>
        </row>
        <row r="78">
          <cell r="C78">
            <v>125</v>
          </cell>
          <cell r="D78">
            <v>156.25</v>
          </cell>
          <cell r="E78">
            <v>15625</v>
          </cell>
          <cell r="F78">
            <v>7850</v>
          </cell>
          <cell r="G78">
            <v>122.65625</v>
          </cell>
          <cell r="H78">
            <v>122.7184630308513</v>
          </cell>
          <cell r="I78">
            <v>12271.846303085129</v>
          </cell>
          <cell r="J78">
            <v>7850</v>
          </cell>
          <cell r="K78">
            <v>96.333993479218265</v>
          </cell>
        </row>
        <row r="79">
          <cell r="C79">
            <v>130</v>
          </cell>
          <cell r="D79">
            <v>169</v>
          </cell>
          <cell r="E79">
            <v>16900</v>
          </cell>
          <cell r="F79">
            <v>7850</v>
          </cell>
          <cell r="G79">
            <v>132.66499999999999</v>
          </cell>
          <cell r="H79">
            <v>132.73228961416876</v>
          </cell>
          <cell r="I79">
            <v>13273.228961416877</v>
          </cell>
          <cell r="J79">
            <v>7850</v>
          </cell>
          <cell r="K79">
            <v>104.19484734712248</v>
          </cell>
        </row>
        <row r="80">
          <cell r="C80">
            <v>135</v>
          </cell>
          <cell r="D80">
            <v>182.25</v>
          </cell>
          <cell r="E80">
            <v>18225</v>
          </cell>
          <cell r="F80">
            <v>7850</v>
          </cell>
          <cell r="G80">
            <v>143.06625</v>
          </cell>
          <cell r="H80">
            <v>143.13881527918494</v>
          </cell>
          <cell r="I80">
            <v>14313.881527918495</v>
          </cell>
          <cell r="J80">
            <v>7850</v>
          </cell>
          <cell r="K80">
            <v>112.36396999416019</v>
          </cell>
        </row>
        <row r="81">
          <cell r="C81">
            <v>140</v>
          </cell>
          <cell r="D81">
            <v>196</v>
          </cell>
          <cell r="E81">
            <v>19600</v>
          </cell>
          <cell r="F81">
            <v>7850</v>
          </cell>
          <cell r="G81">
            <v>153.86000000000001</v>
          </cell>
          <cell r="H81">
            <v>153.93804002589985</v>
          </cell>
          <cell r="I81">
            <v>15393.804002589986</v>
          </cell>
          <cell r="J81">
            <v>7850</v>
          </cell>
          <cell r="K81">
            <v>120.84136142033138</v>
          </cell>
        </row>
        <row r="82">
          <cell r="C82">
            <v>145</v>
          </cell>
          <cell r="D82">
            <v>210.25</v>
          </cell>
          <cell r="E82">
            <v>21025</v>
          </cell>
          <cell r="F82">
            <v>7850</v>
          </cell>
          <cell r="G82">
            <v>165.04624999999999</v>
          </cell>
          <cell r="H82">
            <v>165.1299638543135</v>
          </cell>
          <cell r="I82">
            <v>16512.99638543135</v>
          </cell>
          <cell r="J82">
            <v>7850</v>
          </cell>
          <cell r="K82">
            <v>129.6270216256361</v>
          </cell>
        </row>
        <row r="83">
          <cell r="C83">
            <v>150</v>
          </cell>
          <cell r="D83">
            <v>225</v>
          </cell>
          <cell r="E83">
            <v>22500</v>
          </cell>
          <cell r="F83">
            <v>7850</v>
          </cell>
          <cell r="G83">
            <v>176.625</v>
          </cell>
          <cell r="H83">
            <v>176.71458676442586</v>
          </cell>
          <cell r="I83">
            <v>17671.458676442588</v>
          </cell>
          <cell r="J83">
            <v>7850</v>
          </cell>
          <cell r="K83">
            <v>138.72095061007431</v>
          </cell>
        </row>
        <row r="84">
          <cell r="C84">
            <v>155</v>
          </cell>
          <cell r="D84">
            <v>240.25</v>
          </cell>
          <cell r="E84">
            <v>24025</v>
          </cell>
          <cell r="F84">
            <v>7850</v>
          </cell>
          <cell r="G84">
            <v>188.59625</v>
          </cell>
          <cell r="H84">
            <v>188.69190875623696</v>
          </cell>
          <cell r="I84">
            <v>18869.190875623695</v>
          </cell>
          <cell r="J84">
            <v>7850</v>
          </cell>
          <cell r="K84">
            <v>148.12314837364602</v>
          </cell>
        </row>
        <row r="85">
          <cell r="C85">
            <v>160</v>
          </cell>
          <cell r="D85">
            <v>256</v>
          </cell>
          <cell r="E85">
            <v>25600</v>
          </cell>
          <cell r="F85">
            <v>7850</v>
          </cell>
          <cell r="G85">
            <v>200.96</v>
          </cell>
          <cell r="H85">
            <v>201.06192982974676</v>
          </cell>
          <cell r="I85">
            <v>20106.192982974677</v>
          </cell>
          <cell r="J85">
            <v>7850</v>
          </cell>
          <cell r="K85">
            <v>157.83361491635119</v>
          </cell>
        </row>
        <row r="86">
          <cell r="C86">
            <v>165</v>
          </cell>
          <cell r="D86">
            <v>272.25</v>
          </cell>
          <cell r="E86">
            <v>27225</v>
          </cell>
          <cell r="F86">
            <v>7850</v>
          </cell>
          <cell r="G86">
            <v>213.71625</v>
          </cell>
          <cell r="H86">
            <v>213.8246499849553</v>
          </cell>
          <cell r="I86">
            <v>21382.464998495529</v>
          </cell>
          <cell r="J86">
            <v>7850</v>
          </cell>
          <cell r="K86">
            <v>167.85235023818993</v>
          </cell>
        </row>
        <row r="87">
          <cell r="C87">
            <v>170</v>
          </cell>
          <cell r="D87">
            <v>289</v>
          </cell>
          <cell r="E87">
            <v>28900</v>
          </cell>
          <cell r="F87">
            <v>7850</v>
          </cell>
          <cell r="G87">
            <v>226.86500000000001</v>
          </cell>
          <cell r="H87">
            <v>226.98006922186255</v>
          </cell>
          <cell r="I87">
            <v>22698.006922186254</v>
          </cell>
          <cell r="J87">
            <v>7850</v>
          </cell>
          <cell r="K87">
            <v>178.1793543391621</v>
          </cell>
        </row>
        <row r="88">
          <cell r="C88">
            <v>175</v>
          </cell>
          <cell r="D88">
            <v>306.25</v>
          </cell>
          <cell r="E88">
            <v>30625</v>
          </cell>
          <cell r="F88">
            <v>7850</v>
          </cell>
          <cell r="G88">
            <v>240.40625</v>
          </cell>
          <cell r="H88">
            <v>240.52818754046854</v>
          </cell>
          <cell r="I88">
            <v>24052.818754046853</v>
          </cell>
          <cell r="J88">
            <v>7850</v>
          </cell>
          <cell r="K88">
            <v>188.81462721926781</v>
          </cell>
        </row>
        <row r="89">
          <cell r="C89">
            <v>180</v>
          </cell>
          <cell r="D89">
            <v>324</v>
          </cell>
          <cell r="E89">
            <v>32400</v>
          </cell>
          <cell r="F89">
            <v>7850</v>
          </cell>
          <cell r="G89">
            <v>254.34</v>
          </cell>
          <cell r="H89">
            <v>254.46900494077323</v>
          </cell>
          <cell r="I89">
            <v>25446.900494077323</v>
          </cell>
          <cell r="J89">
            <v>7850</v>
          </cell>
          <cell r="K89">
            <v>199.75816887850698</v>
          </cell>
        </row>
        <row r="90">
          <cell r="C90">
            <v>185</v>
          </cell>
          <cell r="D90">
            <v>342.25</v>
          </cell>
          <cell r="E90">
            <v>34225</v>
          </cell>
          <cell r="F90">
            <v>7850</v>
          </cell>
          <cell r="G90">
            <v>268.66624999999999</v>
          </cell>
          <cell r="H90">
            <v>268.80252142277669</v>
          </cell>
          <cell r="I90">
            <v>26880.252142277666</v>
          </cell>
          <cell r="J90">
            <v>7850</v>
          </cell>
          <cell r="K90">
            <v>211.00997931687971</v>
          </cell>
        </row>
        <row r="91">
          <cell r="C91">
            <v>190</v>
          </cell>
          <cell r="D91">
            <v>361</v>
          </cell>
          <cell r="E91">
            <v>36100</v>
          </cell>
          <cell r="F91">
            <v>7850</v>
          </cell>
          <cell r="G91">
            <v>283.38499999999999</v>
          </cell>
          <cell r="H91">
            <v>283.5287369864788</v>
          </cell>
          <cell r="I91">
            <v>28352.873698647883</v>
          </cell>
          <cell r="J91">
            <v>7850</v>
          </cell>
          <cell r="K91">
            <v>222.57005853438588</v>
          </cell>
        </row>
        <row r="92">
          <cell r="C92">
            <v>195</v>
          </cell>
          <cell r="D92">
            <v>380.25</v>
          </cell>
          <cell r="E92">
            <v>38025</v>
          </cell>
          <cell r="F92">
            <v>7850</v>
          </cell>
          <cell r="G92">
            <v>298.49624999999997</v>
          </cell>
          <cell r="H92">
            <v>298.64765163187968</v>
          </cell>
          <cell r="I92">
            <v>29864.765163187971</v>
          </cell>
          <cell r="J92">
            <v>7850</v>
          </cell>
          <cell r="K92">
            <v>234.43840653102555</v>
          </cell>
        </row>
        <row r="93">
          <cell r="C93">
            <v>200</v>
          </cell>
          <cell r="D93">
            <v>400</v>
          </cell>
          <cell r="E93">
            <v>40000</v>
          </cell>
          <cell r="F93">
            <v>7850</v>
          </cell>
          <cell r="G93">
            <v>314</v>
          </cell>
          <cell r="H93">
            <v>314.15926535897933</v>
          </cell>
          <cell r="I93">
            <v>31415.926535897932</v>
          </cell>
          <cell r="J93">
            <v>7850</v>
          </cell>
          <cell r="K93">
            <v>246.61502330679875</v>
          </cell>
        </row>
        <row r="94">
          <cell r="C94">
            <v>205</v>
          </cell>
          <cell r="D94">
            <v>420.25</v>
          </cell>
          <cell r="E94">
            <v>42025</v>
          </cell>
          <cell r="F94">
            <v>7850</v>
          </cell>
          <cell r="G94">
            <v>329.89625000000001</v>
          </cell>
          <cell r="H94">
            <v>330.06357816777762</v>
          </cell>
          <cell r="I94">
            <v>33006.357816777767</v>
          </cell>
          <cell r="J94">
            <v>7850</v>
          </cell>
          <cell r="K94">
            <v>259.09990886170544</v>
          </cell>
        </row>
        <row r="95">
          <cell r="C95">
            <v>210</v>
          </cell>
          <cell r="D95">
            <v>441</v>
          </cell>
          <cell r="E95">
            <v>44100</v>
          </cell>
          <cell r="F95">
            <v>7850</v>
          </cell>
          <cell r="G95">
            <v>346.185</v>
          </cell>
          <cell r="H95">
            <v>346.36059005827468</v>
          </cell>
          <cell r="I95">
            <v>34636.059005827468</v>
          </cell>
          <cell r="J95">
            <v>7850</v>
          </cell>
          <cell r="K95">
            <v>271.89306319574564</v>
          </cell>
        </row>
        <row r="96">
          <cell r="C96">
            <v>215</v>
          </cell>
          <cell r="D96">
            <v>462.25</v>
          </cell>
          <cell r="E96">
            <v>46225</v>
          </cell>
          <cell r="F96">
            <v>7850</v>
          </cell>
          <cell r="G96">
            <v>362.86624999999998</v>
          </cell>
          <cell r="H96">
            <v>363.05030103047045</v>
          </cell>
          <cell r="I96">
            <v>36305.030103047044</v>
          </cell>
          <cell r="J96">
            <v>7850</v>
          </cell>
          <cell r="K96">
            <v>284.99448630891931</v>
          </cell>
        </row>
        <row r="97">
          <cell r="C97">
            <v>220</v>
          </cell>
          <cell r="D97">
            <v>484</v>
          </cell>
          <cell r="E97">
            <v>48400</v>
          </cell>
          <cell r="F97">
            <v>7850</v>
          </cell>
          <cell r="G97">
            <v>379.94</v>
          </cell>
          <cell r="H97">
            <v>380.13271108436498</v>
          </cell>
          <cell r="I97">
            <v>38013.2711084365</v>
          </cell>
          <cell r="J97">
            <v>7850</v>
          </cell>
          <cell r="K97">
            <v>298.4041782012265</v>
          </cell>
        </row>
        <row r="98">
          <cell r="C98">
            <v>225</v>
          </cell>
          <cell r="D98">
            <v>506.25</v>
          </cell>
          <cell r="E98">
            <v>50625</v>
          </cell>
          <cell r="F98">
            <v>7850</v>
          </cell>
          <cell r="G98">
            <v>397.40625</v>
          </cell>
          <cell r="H98">
            <v>397.60782021995817</v>
          </cell>
          <cell r="I98">
            <v>39760.782021995816</v>
          </cell>
          <cell r="J98">
            <v>7850</v>
          </cell>
          <cell r="K98">
            <v>312.12213887266716</v>
          </cell>
        </row>
        <row r="99">
          <cell r="C99">
            <v>230</v>
          </cell>
          <cell r="D99">
            <v>529</v>
          </cell>
          <cell r="E99">
            <v>52900</v>
          </cell>
          <cell r="F99">
            <v>7850</v>
          </cell>
          <cell r="G99">
            <v>415.26499999999999</v>
          </cell>
          <cell r="H99">
            <v>415.47562843725012</v>
          </cell>
          <cell r="I99">
            <v>41547.562843725012</v>
          </cell>
          <cell r="J99">
            <v>7850</v>
          </cell>
          <cell r="K99">
            <v>326.14836832324136</v>
          </cell>
        </row>
        <row r="100">
          <cell r="C100">
            <v>235</v>
          </cell>
          <cell r="D100">
            <v>552.25</v>
          </cell>
          <cell r="E100">
            <v>55225</v>
          </cell>
          <cell r="F100">
            <v>7850</v>
          </cell>
          <cell r="G100">
            <v>433.51625000000001</v>
          </cell>
          <cell r="H100">
            <v>433.73613573624084</v>
          </cell>
          <cell r="I100">
            <v>43373.613573624083</v>
          </cell>
          <cell r="J100">
            <v>7850</v>
          </cell>
          <cell r="K100">
            <v>340.48286655294902</v>
          </cell>
        </row>
        <row r="101">
          <cell r="C101">
            <v>240</v>
          </cell>
          <cell r="D101">
            <v>576</v>
          </cell>
          <cell r="E101">
            <v>57600</v>
          </cell>
          <cell r="F101">
            <v>7850</v>
          </cell>
          <cell r="G101">
            <v>452.16</v>
          </cell>
          <cell r="H101">
            <v>452.38934211693021</v>
          </cell>
          <cell r="I101">
            <v>45238.93421169302</v>
          </cell>
          <cell r="J101">
            <v>7850</v>
          </cell>
          <cell r="K101">
            <v>355.12563356179021</v>
          </cell>
        </row>
        <row r="102">
          <cell r="C102">
            <v>245</v>
          </cell>
          <cell r="D102">
            <v>600.25</v>
          </cell>
          <cell r="E102">
            <v>60025</v>
          </cell>
          <cell r="F102">
            <v>7850</v>
          </cell>
          <cell r="G102">
            <v>471.19625000000002</v>
          </cell>
          <cell r="H102">
            <v>471.43524757931834</v>
          </cell>
          <cell r="I102">
            <v>47143.524757931831</v>
          </cell>
          <cell r="J102">
            <v>7850</v>
          </cell>
          <cell r="K102">
            <v>370.07666934976487</v>
          </cell>
        </row>
        <row r="103">
          <cell r="C103">
            <v>250</v>
          </cell>
          <cell r="D103">
            <v>625</v>
          </cell>
          <cell r="E103">
            <v>62500</v>
          </cell>
          <cell r="F103">
            <v>7850</v>
          </cell>
          <cell r="G103">
            <v>490.625</v>
          </cell>
          <cell r="H103">
            <v>490.87385212340519</v>
          </cell>
          <cell r="I103">
            <v>49087.385212340516</v>
          </cell>
          <cell r="J103">
            <v>7850</v>
          </cell>
          <cell r="K103">
            <v>385.33597391687306</v>
          </cell>
        </row>
        <row r="104">
          <cell r="C104">
            <v>260</v>
          </cell>
          <cell r="D104">
            <v>676</v>
          </cell>
          <cell r="E104">
            <v>67600</v>
          </cell>
          <cell r="F104">
            <v>7850</v>
          </cell>
          <cell r="G104">
            <v>530.66</v>
          </cell>
          <cell r="H104">
            <v>530.92915845667505</v>
          </cell>
          <cell r="I104">
            <v>53092.915845667507</v>
          </cell>
          <cell r="J104">
            <v>7850</v>
          </cell>
          <cell r="K104">
            <v>416.7793893884899</v>
          </cell>
        </row>
        <row r="105">
          <cell r="C105">
            <v>270</v>
          </cell>
          <cell r="D105">
            <v>729</v>
          </cell>
          <cell r="E105">
            <v>72900</v>
          </cell>
          <cell r="F105">
            <v>7850</v>
          </cell>
          <cell r="G105">
            <v>572.26499999999999</v>
          </cell>
          <cell r="H105">
            <v>572.55526111673976</v>
          </cell>
          <cell r="I105">
            <v>57255.526111673978</v>
          </cell>
          <cell r="J105">
            <v>7850</v>
          </cell>
          <cell r="K105">
            <v>449.45587997664074</v>
          </cell>
        </row>
        <row r="106">
          <cell r="C106">
            <v>280</v>
          </cell>
          <cell r="D106">
            <v>784</v>
          </cell>
          <cell r="E106">
            <v>78400</v>
          </cell>
          <cell r="F106">
            <v>7850</v>
          </cell>
          <cell r="G106">
            <v>615.44000000000005</v>
          </cell>
          <cell r="H106">
            <v>615.75216010359941</v>
          </cell>
          <cell r="I106">
            <v>61575.216010359945</v>
          </cell>
          <cell r="J106">
            <v>7850</v>
          </cell>
          <cell r="K106">
            <v>483.36544568132553</v>
          </cell>
        </row>
        <row r="107">
          <cell r="C107">
            <v>290</v>
          </cell>
          <cell r="D107">
            <v>841</v>
          </cell>
          <cell r="E107">
            <v>84100</v>
          </cell>
          <cell r="F107">
            <v>7850</v>
          </cell>
          <cell r="G107">
            <v>660.18499999999995</v>
          </cell>
          <cell r="H107">
            <v>660.51985541725401</v>
          </cell>
          <cell r="I107">
            <v>66051.9855417254</v>
          </cell>
          <cell r="J107">
            <v>7850</v>
          </cell>
          <cell r="K107">
            <v>518.50808650254442</v>
          </cell>
        </row>
        <row r="108">
          <cell r="C108">
            <v>300</v>
          </cell>
          <cell r="D108">
            <v>900</v>
          </cell>
          <cell r="E108">
            <v>90000</v>
          </cell>
          <cell r="F108">
            <v>7850</v>
          </cell>
          <cell r="G108">
            <v>706.5</v>
          </cell>
          <cell r="H108">
            <v>706.85834705770344</v>
          </cell>
          <cell r="I108">
            <v>70685.83470577035</v>
          </cell>
          <cell r="J108">
            <v>7850</v>
          </cell>
          <cell r="K108">
            <v>554.88380244029725</v>
          </cell>
        </row>
        <row r="109">
          <cell r="C109">
            <v>310</v>
          </cell>
          <cell r="D109">
            <v>961</v>
          </cell>
          <cell r="E109">
            <v>96100</v>
          </cell>
          <cell r="F109">
            <v>7850</v>
          </cell>
          <cell r="G109">
            <v>754.38499999999999</v>
          </cell>
          <cell r="H109">
            <v>754.76763502494782</v>
          </cell>
          <cell r="I109">
            <v>75476.763502494781</v>
          </cell>
          <cell r="J109">
            <v>7850</v>
          </cell>
          <cell r="K109">
            <v>592.49259349458407</v>
          </cell>
        </row>
        <row r="110">
          <cell r="C110">
            <v>320</v>
          </cell>
          <cell r="D110">
            <v>1024</v>
          </cell>
          <cell r="E110">
            <v>102400</v>
          </cell>
          <cell r="F110">
            <v>7850</v>
          </cell>
          <cell r="G110">
            <v>803.84</v>
          </cell>
          <cell r="H110">
            <v>804.24771931898704</v>
          </cell>
          <cell r="I110">
            <v>80424.771931898707</v>
          </cell>
          <cell r="J110">
            <v>7850</v>
          </cell>
          <cell r="K110">
            <v>631.33445966540478</v>
          </cell>
        </row>
        <row r="111">
          <cell r="C111">
            <v>330</v>
          </cell>
          <cell r="D111">
            <v>1089</v>
          </cell>
          <cell r="E111">
            <v>108900</v>
          </cell>
          <cell r="F111">
            <v>7850</v>
          </cell>
          <cell r="G111">
            <v>854.86500000000001</v>
          </cell>
          <cell r="H111">
            <v>855.2985999398212</v>
          </cell>
          <cell r="I111">
            <v>85529.859993982114</v>
          </cell>
          <cell r="J111">
            <v>7850</v>
          </cell>
          <cell r="K111">
            <v>671.40940095275971</v>
          </cell>
        </row>
        <row r="112">
          <cell r="C112">
            <v>340</v>
          </cell>
          <cell r="D112">
            <v>1156</v>
          </cell>
          <cell r="E112">
            <v>115600</v>
          </cell>
          <cell r="F112">
            <v>7850</v>
          </cell>
          <cell r="G112">
            <v>907.46</v>
          </cell>
          <cell r="H112">
            <v>907.9202768874502</v>
          </cell>
          <cell r="I112">
            <v>90792.027688745016</v>
          </cell>
          <cell r="J112">
            <v>7850</v>
          </cell>
          <cell r="K112">
            <v>712.71741735664841</v>
          </cell>
        </row>
        <row r="113">
          <cell r="C113">
            <v>350</v>
          </cell>
          <cell r="D113">
            <v>1225</v>
          </cell>
          <cell r="E113">
            <v>122500</v>
          </cell>
          <cell r="F113">
            <v>7850</v>
          </cell>
          <cell r="G113">
            <v>961.625</v>
          </cell>
          <cell r="H113">
            <v>962.11275016187415</v>
          </cell>
          <cell r="I113">
            <v>96211.275016187414</v>
          </cell>
          <cell r="J113">
            <v>7850</v>
          </cell>
          <cell r="K113">
            <v>755.25850887707122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B.T"/>
      <sheetName val="Coba-coba"/>
      <sheetName val="cov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9">
          <cell r="C9">
            <v>0.61653755826699685</v>
          </cell>
        </row>
        <row r="11">
          <cell r="C11">
            <v>0.88781408390447547</v>
          </cell>
        </row>
      </sheetData>
      <sheetData sheetId="7" refreshError="1"/>
      <sheetData sheetId="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EE"/>
      <sheetName val="RAB2EE"/>
      <sheetName val="RekapOE"/>
      <sheetName val="RAB2OE"/>
      <sheetName val="RekapKosong"/>
      <sheetName val="RAB2Kosong"/>
      <sheetName val="RAB1"/>
      <sheetName val="Analisa"/>
      <sheetName val="AnalisaKosong"/>
      <sheetName val="Harga"/>
      <sheetName val="HitunganUtama"/>
      <sheetName val="B.T"/>
      <sheetName val="Hit Besi Puskesmas "/>
      <sheetName val="Hit Besi Gud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C5">
            <v>0.22195352097611887</v>
          </cell>
        </row>
        <row r="7">
          <cell r="C7">
            <v>0.39458403729087799</v>
          </cell>
        </row>
        <row r="15">
          <cell r="C15">
            <v>1.5783361491635119</v>
          </cell>
        </row>
        <row r="18">
          <cell r="C18">
            <v>2.2257005853438585</v>
          </cell>
        </row>
      </sheetData>
      <sheetData sheetId="12"/>
      <sheetData sheetId="1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Modifikasi"/>
      <sheetName val="Upah"/>
      <sheetName val="Anl.Alat"/>
      <sheetName val="Analisa"/>
      <sheetName val="SHEDUL"/>
      <sheetName val="D.Alat"/>
      <sheetName val="Kuantitas"/>
      <sheetName val="KSO"/>
      <sheetName val="Personil"/>
      <sheetName val="Anl.Teknik"/>
      <sheetName val="Rekap"/>
    </sheetNames>
    <sheetDataSet>
      <sheetData sheetId="0">
        <row r="14">
          <cell r="E14">
            <v>40000</v>
          </cell>
        </row>
        <row r="15">
          <cell r="E15">
            <v>45000</v>
          </cell>
        </row>
        <row r="16">
          <cell r="E16">
            <v>40000</v>
          </cell>
        </row>
        <row r="22">
          <cell r="E22">
            <v>17000</v>
          </cell>
        </row>
        <row r="23">
          <cell r="E23">
            <v>6000</v>
          </cell>
        </row>
        <row r="26">
          <cell r="E26">
            <v>70000</v>
          </cell>
        </row>
        <row r="28">
          <cell r="E28">
            <v>1200000</v>
          </cell>
        </row>
        <row r="30">
          <cell r="E30">
            <v>8000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 SKS"/>
      <sheetName val="Rekapitulasi"/>
      <sheetName val="Kuantitas"/>
      <sheetName val="Analisa"/>
      <sheetName val="DU&amp;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8">
          <cell r="F8">
            <v>26000</v>
          </cell>
        </row>
        <row r="9">
          <cell r="F9">
            <v>25000</v>
          </cell>
        </row>
        <row r="13">
          <cell r="F13">
            <v>40000</v>
          </cell>
        </row>
        <row r="16">
          <cell r="F16">
            <v>87500</v>
          </cell>
        </row>
        <row r="17">
          <cell r="F17">
            <v>315000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HARGA BAHAN"/>
    </sheetNames>
    <sheetDataSet>
      <sheetData sheetId="0"/>
      <sheetData sheetId="1"/>
      <sheetData sheetId="2"/>
      <sheetData sheetId="3">
        <row r="21">
          <cell r="F21">
            <v>15500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E"/>
      <sheetName val="Progress"/>
      <sheetName val="Material"/>
      <sheetName val="Koef"/>
      <sheetName val="Mixer"/>
    </sheetNames>
    <sheetDataSet>
      <sheetData sheetId="0"/>
      <sheetData sheetId="1">
        <row r="15">
          <cell r="C15">
            <v>35</v>
          </cell>
        </row>
        <row r="23">
          <cell r="C23">
            <v>11.8575</v>
          </cell>
        </row>
      </sheetData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BOQ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>
        <row r="8">
          <cell r="F8">
            <v>5000</v>
          </cell>
        </row>
        <row r="9">
          <cell r="F9">
            <v>8571.4285714285706</v>
          </cell>
        </row>
        <row r="10">
          <cell r="F10">
            <v>8714.2857142857138</v>
          </cell>
        </row>
        <row r="53">
          <cell r="F53">
            <v>313780.95962414716</v>
          </cell>
        </row>
        <row r="54">
          <cell r="F54">
            <v>313780.95962414716</v>
          </cell>
        </row>
        <row r="60">
          <cell r="F60">
            <v>10159.878000000001</v>
          </cell>
        </row>
        <row r="62">
          <cell r="F62">
            <v>6600</v>
          </cell>
        </row>
        <row r="63">
          <cell r="F63">
            <v>62800</v>
          </cell>
        </row>
        <row r="68">
          <cell r="F68">
            <v>201800</v>
          </cell>
        </row>
        <row r="71">
          <cell r="F71">
            <v>10000</v>
          </cell>
        </row>
        <row r="72">
          <cell r="F72">
            <v>1250000</v>
          </cell>
        </row>
        <row r="79">
          <cell r="F79">
            <v>289197.36378100881</v>
          </cell>
        </row>
        <row r="80">
          <cell r="F80">
            <v>271868.66119518824</v>
          </cell>
        </row>
        <row r="92">
          <cell r="F92">
            <v>1436287.5086616194</v>
          </cell>
        </row>
        <row r="93">
          <cell r="F93">
            <v>12500</v>
          </cell>
        </row>
        <row r="100">
          <cell r="F100">
            <v>129900</v>
          </cell>
        </row>
        <row r="103">
          <cell r="F103">
            <v>1014307.7645066389</v>
          </cell>
        </row>
        <row r="104">
          <cell r="F104">
            <v>11000</v>
          </cell>
        </row>
      </sheetData>
      <sheetData sheetId="12" refreshError="1"/>
      <sheetData sheetId="13" refreshError="1"/>
      <sheetData sheetId="14">
        <row r="9">
          <cell r="AW9">
            <v>300787.08352182875</v>
          </cell>
        </row>
        <row r="12">
          <cell r="AW12">
            <v>144312.9850191994</v>
          </cell>
        </row>
        <row r="13">
          <cell r="AW13">
            <v>85403.799999999988</v>
          </cell>
        </row>
        <row r="14">
          <cell r="AW14">
            <v>445959.3265606974</v>
          </cell>
        </row>
        <row r="15">
          <cell r="AW15">
            <v>234488.10456187683</v>
          </cell>
        </row>
        <row r="16">
          <cell r="AW16">
            <v>401635.43087512313</v>
          </cell>
        </row>
        <row r="17">
          <cell r="AW17">
            <v>384163.03410029551</v>
          </cell>
        </row>
        <row r="18">
          <cell r="AW18">
            <v>382428.92723472411</v>
          </cell>
        </row>
        <row r="20">
          <cell r="AW20">
            <v>401108.56608175358</v>
          </cell>
        </row>
        <row r="22">
          <cell r="AW22">
            <v>347470.30373142357</v>
          </cell>
        </row>
        <row r="23">
          <cell r="AW23">
            <v>176108.85500413002</v>
          </cell>
        </row>
        <row r="24">
          <cell r="AW24">
            <v>244962.44703251612</v>
          </cell>
        </row>
        <row r="26">
          <cell r="AW26">
            <v>259627.17745912666</v>
          </cell>
        </row>
        <row r="29">
          <cell r="AW29">
            <v>39156.107186016401</v>
          </cell>
        </row>
        <row r="30">
          <cell r="AW30">
            <v>225494.94168084295</v>
          </cell>
        </row>
        <row r="34">
          <cell r="AW34">
            <v>821698.04815772467</v>
          </cell>
        </row>
        <row r="36">
          <cell r="AW36">
            <v>398258.50574747165</v>
          </cell>
        </row>
        <row r="38">
          <cell r="AW38">
            <v>445609.03544891451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RAP"/>
      <sheetName val="Rekap"/>
      <sheetName val="Kuan&amp;Harga"/>
      <sheetName val="Ls-Mobilisasi (OK)"/>
      <sheetName val="SAT-DAS"/>
      <sheetName val="Ur-Anl (ok )"/>
      <sheetName val="Analisa (ok)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7">
          <cell r="I27">
            <v>65700</v>
          </cell>
        </row>
        <row r="76">
          <cell r="I76">
            <v>77290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"/>
      <sheetName val="% $ P-UTAMA"/>
      <sheetName val="REKAP"/>
      <sheetName val="KWANTITAS"/>
      <sheetName val="AGGR"/>
      <sheetName val="QUARI"/>
      <sheetName val="BASIC"/>
      <sheetName val="AL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ON SITE"/>
      <sheetName val="ASPAL"/>
      <sheetName val="DAFTAR 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20">
          <cell r="U720" t="str">
            <v xml:space="preserve">Analisa EI-232 </v>
          </cell>
        </row>
        <row r="722">
          <cell r="L722" t="str">
            <v xml:space="preserve">ANALISA HARGA SATUAN </v>
          </cell>
        </row>
        <row r="725">
          <cell r="L725" t="str">
            <v xml:space="preserve">  Nama Penawar</v>
          </cell>
          <cell r="P725" t="str">
            <v>CV. MITA RIZEKI</v>
          </cell>
        </row>
        <row r="726">
          <cell r="L726" t="str">
            <v xml:space="preserve">  Nama Proyek </v>
          </cell>
          <cell r="P726" t="str">
            <v xml:space="preserve">Bagian Proyek Pembangunan Jalan Lipat Kajang - Batas Sumut </v>
          </cell>
        </row>
        <row r="727">
          <cell r="L727" t="str">
            <v xml:space="preserve">  Nama paket</v>
          </cell>
          <cell r="P727" t="str">
            <v xml:space="preserve">Pembangunan Jalan Lipat Kajang - Lea Paris - Bts. Sumut </v>
          </cell>
        </row>
        <row r="728">
          <cell r="L728" t="str">
            <v xml:space="preserve">  No. Paket Kontrak</v>
          </cell>
          <cell r="P728" t="str">
            <v>BANG - 07 A</v>
          </cell>
        </row>
        <row r="729">
          <cell r="L729" t="str">
            <v xml:space="preserve">  Provinsi</v>
          </cell>
          <cell r="P729" t="str">
            <v>Nanggroe Aceh Darussalam</v>
          </cell>
        </row>
        <row r="730">
          <cell r="P730" t="str">
            <v>:</v>
          </cell>
        </row>
        <row r="731">
          <cell r="L731" t="str">
            <v>ITEM PEMBAYARAN NO.</v>
          </cell>
          <cell r="P731" t="str">
            <v>:  2.3 (2)</v>
          </cell>
        </row>
        <row r="732">
          <cell r="L732" t="str">
            <v>JENIS PEKERJAAN</v>
          </cell>
          <cell r="P732" t="str">
            <v>:  Gorong2 Pipa Beton Bertulang,</v>
          </cell>
        </row>
        <row r="733">
          <cell r="L733" t="str">
            <v>SATUAN PEMBAYARAN</v>
          </cell>
          <cell r="P733" t="str">
            <v>:  M1</v>
          </cell>
          <cell r="R733" t="str">
            <v>Ø 45 - &lt;75cm</v>
          </cell>
        </row>
        <row r="736">
          <cell r="R736" t="str">
            <v>PERKIRAAN</v>
          </cell>
          <cell r="S736" t="str">
            <v>HARGA</v>
          </cell>
          <cell r="T736" t="str">
            <v>JUMLAH</v>
          </cell>
        </row>
        <row r="737">
          <cell r="L737" t="str">
            <v>NO.</v>
          </cell>
          <cell r="N737" t="str">
            <v>KOMPONEN</v>
          </cell>
          <cell r="Q737" t="str">
            <v>SATUAN</v>
          </cell>
          <cell r="R737" t="str">
            <v>KUANTITAS</v>
          </cell>
          <cell r="S737" t="str">
            <v>SATUAN</v>
          </cell>
          <cell r="T737" t="str">
            <v>HARGA</v>
          </cell>
        </row>
        <row r="738">
          <cell r="S738" t="str">
            <v>(Rp.)</v>
          </cell>
          <cell r="T738" t="str">
            <v>(Rp.)</v>
          </cell>
        </row>
        <row r="741">
          <cell r="L741" t="str">
            <v>A.</v>
          </cell>
          <cell r="N741" t="str">
            <v>TENAGA</v>
          </cell>
        </row>
        <row r="743">
          <cell r="L743" t="str">
            <v>1.</v>
          </cell>
          <cell r="N743" t="str">
            <v>Pekerja</v>
          </cell>
          <cell r="P743" t="str">
            <v>(L01)</v>
          </cell>
          <cell r="Q743" t="str">
            <v>jam</v>
          </cell>
          <cell r="R743">
            <v>4.9000000000000004</v>
          </cell>
          <cell r="S743">
            <v>2970.2857142857142</v>
          </cell>
          <cell r="V743">
            <v>14554.400000000001</v>
          </cell>
        </row>
        <row r="744">
          <cell r="L744" t="str">
            <v>2.</v>
          </cell>
          <cell r="N744" t="str">
            <v>Tukang</v>
          </cell>
          <cell r="P744" t="str">
            <v>(L02)</v>
          </cell>
          <cell r="Q744" t="str">
            <v>jam</v>
          </cell>
          <cell r="R744">
            <v>1.4</v>
          </cell>
          <cell r="S744">
            <v>3147.8571428571427</v>
          </cell>
          <cell r="V744">
            <v>4406.9999999999991</v>
          </cell>
        </row>
        <row r="745">
          <cell r="L745" t="str">
            <v>3.</v>
          </cell>
          <cell r="N745" t="str">
            <v>Mandor</v>
          </cell>
          <cell r="P745" t="str">
            <v>(L03)</v>
          </cell>
          <cell r="Q745" t="str">
            <v>jam</v>
          </cell>
          <cell r="R745">
            <v>0.7</v>
          </cell>
          <cell r="S745">
            <v>3632.1428571428573</v>
          </cell>
          <cell r="V745">
            <v>2542.5</v>
          </cell>
        </row>
        <row r="747">
          <cell r="R747" t="str">
            <v xml:space="preserve">JUMLAH HARGA TENAGA   </v>
          </cell>
          <cell r="V747">
            <v>21503.9</v>
          </cell>
        </row>
        <row r="749">
          <cell r="L749" t="str">
            <v>B.</v>
          </cell>
          <cell r="N749" t="str">
            <v>BAHAN</v>
          </cell>
        </row>
        <row r="751">
          <cell r="L751" t="str">
            <v>1.</v>
          </cell>
          <cell r="N751" t="str">
            <v>Beton K-300</v>
          </cell>
          <cell r="P751" t="str">
            <v>(EI-714)</v>
          </cell>
          <cell r="Q751" t="str">
            <v>M3</v>
          </cell>
          <cell r="R751">
            <v>0.13579534245141872</v>
          </cell>
          <cell r="S751">
            <v>605873</v>
          </cell>
          <cell r="V751">
            <v>82274.731517068416</v>
          </cell>
        </row>
        <row r="752">
          <cell r="L752" t="str">
            <v>2.</v>
          </cell>
          <cell r="N752" t="str">
            <v>Baja Tulangan</v>
          </cell>
          <cell r="P752" t="str">
            <v>(M39)</v>
          </cell>
          <cell r="Q752" t="str">
            <v>Kg</v>
          </cell>
          <cell r="R752">
            <v>14.937487669656059</v>
          </cell>
          <cell r="S752">
            <v>8000</v>
          </cell>
          <cell r="V752">
            <v>5800</v>
          </cell>
        </row>
        <row r="753">
          <cell r="L753" t="str">
            <v>3.</v>
          </cell>
          <cell r="N753" t="str">
            <v>Urugan Porus</v>
          </cell>
          <cell r="P753" t="str">
            <v>(EI-241)</v>
          </cell>
          <cell r="Q753" t="str">
            <v>M3</v>
          </cell>
          <cell r="R753">
            <v>0.13965000000000002</v>
          </cell>
          <cell r="S753">
            <v>94791.182676543947</v>
          </cell>
          <cell r="V753">
            <v>13237.588660779364</v>
          </cell>
        </row>
        <row r="754">
          <cell r="L754" t="str">
            <v>4.</v>
          </cell>
          <cell r="N754" t="str">
            <v>Mat. Pilihan</v>
          </cell>
          <cell r="P754" t="str">
            <v>(M09)</v>
          </cell>
          <cell r="Q754" t="str">
            <v>M3</v>
          </cell>
          <cell r="R754">
            <v>0.99875250000000027</v>
          </cell>
          <cell r="S754">
            <v>0</v>
          </cell>
          <cell r="V754">
            <v>0</v>
          </cell>
        </row>
        <row r="757">
          <cell r="R757" t="str">
            <v xml:space="preserve">JUMLAH HARGA BAHAN   </v>
          </cell>
          <cell r="V757">
            <v>101312.32017784778</v>
          </cell>
        </row>
        <row r="759">
          <cell r="L759" t="str">
            <v>C.</v>
          </cell>
          <cell r="N759" t="str">
            <v>PERALATAN</v>
          </cell>
        </row>
        <row r="761">
          <cell r="L761" t="str">
            <v>1.</v>
          </cell>
          <cell r="N761" t="str">
            <v>Tamper</v>
          </cell>
          <cell r="P761" t="str">
            <v>(E25)</v>
          </cell>
          <cell r="Q761" t="str">
            <v>Jam</v>
          </cell>
          <cell r="R761">
            <v>0.30082906626506029</v>
          </cell>
          <cell r="S761">
            <v>12661.558707685757</v>
          </cell>
          <cell r="V761">
            <v>3808.9648834933496</v>
          </cell>
        </row>
        <row r="762">
          <cell r="L762" t="str">
            <v>2.</v>
          </cell>
          <cell r="N762" t="str">
            <v>Dump Truck</v>
          </cell>
          <cell r="P762" t="str">
            <v>(E08)</v>
          </cell>
          <cell r="Q762" t="str">
            <v>Jam</v>
          </cell>
          <cell r="R762">
            <v>0.16566265060240967</v>
          </cell>
          <cell r="S762">
            <v>97004.323762938846</v>
          </cell>
          <cell r="V762">
            <v>16069.993394462765</v>
          </cell>
        </row>
        <row r="763">
          <cell r="L763" t="str">
            <v>3.</v>
          </cell>
          <cell r="N763" t="str">
            <v>Alat  Bantu</v>
          </cell>
          <cell r="Q763" t="str">
            <v>Ls</v>
          </cell>
          <cell r="R763">
            <v>1</v>
          </cell>
          <cell r="S763">
            <v>900</v>
          </cell>
          <cell r="V763">
            <v>900</v>
          </cell>
        </row>
        <row r="769">
          <cell r="R769" t="str">
            <v xml:space="preserve">JUMLAH HARGA PERALATAN   </v>
          </cell>
          <cell r="V769">
            <v>20778.958277956113</v>
          </cell>
        </row>
        <row r="771">
          <cell r="L771" t="str">
            <v>D.</v>
          </cell>
          <cell r="N771" t="str">
            <v>JUMLAH HARGA TENAGA, BAHAN DAN PERALATAN  ( A + B + C )</v>
          </cell>
          <cell r="V771">
            <v>143595.17845580389</v>
          </cell>
        </row>
        <row r="772">
          <cell r="L772" t="str">
            <v>E.</v>
          </cell>
          <cell r="N772" t="str">
            <v>OVERHEAD &amp; PROFIT</v>
          </cell>
          <cell r="Q772">
            <v>10</v>
          </cell>
          <cell r="R772" t="str">
            <v>%  x  D</v>
          </cell>
          <cell r="V772">
            <v>14359.517845580391</v>
          </cell>
        </row>
        <row r="773">
          <cell r="L773" t="str">
            <v>F.</v>
          </cell>
          <cell r="N773" t="str">
            <v>HARGA SATUAN PEKERJAAN  ( D + E )</v>
          </cell>
          <cell r="V773">
            <v>157954.69630138428</v>
          </cell>
        </row>
        <row r="774">
          <cell r="L774" t="str">
            <v>G</v>
          </cell>
          <cell r="N774" t="str">
            <v>DIBULATKAN</v>
          </cell>
          <cell r="V774">
            <v>157954</v>
          </cell>
        </row>
        <row r="775">
          <cell r="L775" t="str">
            <v>Note: 1</v>
          </cell>
          <cell r="N775" t="str">
            <v>SATUAN dapat berdasarkan atas jam operasi untuk Tenaga Kerja dan Peralatan, volume dan/atau ukuran</v>
          </cell>
        </row>
        <row r="776">
          <cell r="N776" t="str">
            <v>berat untuk bahan-bahan.</v>
          </cell>
        </row>
        <row r="777">
          <cell r="L777">
            <v>2</v>
          </cell>
          <cell r="N777" t="str">
            <v>Kuantitas satuan adalah kuantitas setiap komponen untuk menyelesaikan satu satuan pekerjaan dari nomor</v>
          </cell>
        </row>
        <row r="778">
          <cell r="N778" t="str">
            <v>mata pembayaran.</v>
          </cell>
        </row>
        <row r="779">
          <cell r="L779">
            <v>3</v>
          </cell>
          <cell r="N779" t="str">
            <v>Biaya satuan untuk peralatan sudah termasuk bahan bakar, bahan habis dipakai dan operator.</v>
          </cell>
        </row>
        <row r="780">
          <cell r="L780">
            <v>4</v>
          </cell>
          <cell r="N780" t="str">
            <v>Biaya satuan sudah termasuk pengeluaran untuk seluruh pajak yang berkaitan (tetapi tidak termasuk PPN</v>
          </cell>
        </row>
        <row r="781">
          <cell r="N781" t="str">
            <v>yang dibayar dari kontrak) dan biaya-biaya lainnya.</v>
          </cell>
        </row>
        <row r="841">
          <cell r="U841" t="str">
            <v xml:space="preserve">Analisa EI-233 </v>
          </cell>
        </row>
        <row r="843">
          <cell r="L843" t="str">
            <v xml:space="preserve">ANALISA HARGA SATUAN </v>
          </cell>
        </row>
        <row r="846">
          <cell r="L846" t="str">
            <v xml:space="preserve">  Nama Penawar</v>
          </cell>
          <cell r="P846" t="str">
            <v>CV. MITA RIZEKI</v>
          </cell>
        </row>
        <row r="847">
          <cell r="L847" t="str">
            <v xml:space="preserve">  Nama Proyek </v>
          </cell>
          <cell r="P847" t="str">
            <v xml:space="preserve">Bagian Proyek Pembangunan Jalan Lipat Kajang - Batas Sumut </v>
          </cell>
        </row>
        <row r="848">
          <cell r="L848" t="str">
            <v xml:space="preserve">  Nama paket</v>
          </cell>
          <cell r="P848" t="str">
            <v xml:space="preserve">Pembangunan Jalan Lipat Kajang - Lea Paris - Bts. Sumut </v>
          </cell>
        </row>
        <row r="849">
          <cell r="L849" t="str">
            <v xml:space="preserve">  No. Paket Kontrak</v>
          </cell>
          <cell r="P849" t="str">
            <v>BANG - 07 A</v>
          </cell>
        </row>
        <row r="850">
          <cell r="L850" t="str">
            <v xml:space="preserve">  Provinsi</v>
          </cell>
          <cell r="P850" t="str">
            <v>Nanggroe Aceh Darussalam</v>
          </cell>
        </row>
        <row r="851">
          <cell r="P851" t="str">
            <v>:</v>
          </cell>
        </row>
        <row r="852">
          <cell r="L852" t="str">
            <v>ITEM PEMBAYARAN NO.</v>
          </cell>
          <cell r="P852" t="str">
            <v>:  2.3 (3)</v>
          </cell>
          <cell r="S852" t="str">
            <v>PERKIRAAN VOL. PEK.</v>
          </cell>
          <cell r="U852" t="str">
            <v>:</v>
          </cell>
          <cell r="V852">
            <v>0</v>
          </cell>
        </row>
        <row r="853">
          <cell r="L853" t="str">
            <v>JENIS PEKERJAAN</v>
          </cell>
          <cell r="P853" t="str">
            <v>:  Gorong2 Pipa Beton Bertulang DIA. 75 - 120 CM,</v>
          </cell>
          <cell r="U853" t="str">
            <v>:</v>
          </cell>
          <cell r="V853" t="str">
            <v>Rp</v>
          </cell>
        </row>
        <row r="854">
          <cell r="L854" t="str">
            <v>SATUAN PEMBAYARAN</v>
          </cell>
          <cell r="P854" t="str">
            <v>:  M1</v>
          </cell>
          <cell r="S854" t="str">
            <v>% THD. BIAYA PROYEK</v>
          </cell>
          <cell r="U854" t="str">
            <v>:</v>
          </cell>
          <cell r="V854">
            <v>0</v>
          </cell>
        </row>
        <row r="857">
          <cell r="R857" t="str">
            <v>PERKIRAAN</v>
          </cell>
          <cell r="S857" t="str">
            <v>HARGA</v>
          </cell>
          <cell r="T857" t="str">
            <v>JUMLAH</v>
          </cell>
        </row>
        <row r="858">
          <cell r="L858" t="str">
            <v>NO.</v>
          </cell>
          <cell r="N858" t="str">
            <v>KOMPONEN</v>
          </cell>
          <cell r="Q858" t="str">
            <v>SATUAN</v>
          </cell>
          <cell r="R858" t="str">
            <v>KUANTITAS</v>
          </cell>
          <cell r="S858" t="str">
            <v>SATUAN</v>
          </cell>
          <cell r="T858" t="str">
            <v>HARGA</v>
          </cell>
        </row>
        <row r="859">
          <cell r="S859" t="str">
            <v>(Rp.)</v>
          </cell>
          <cell r="T859" t="str">
            <v>(Rp.)</v>
          </cell>
        </row>
        <row r="862">
          <cell r="L862" t="str">
            <v>A.</v>
          </cell>
          <cell r="N862" t="str">
            <v>TENAGA</v>
          </cell>
        </row>
        <row r="864">
          <cell r="L864" t="str">
            <v>1.</v>
          </cell>
          <cell r="N864" t="str">
            <v>Pekerja</v>
          </cell>
          <cell r="Q864" t="str">
            <v>Jam</v>
          </cell>
          <cell r="R864">
            <v>9.3333333333333339</v>
          </cell>
          <cell r="S864">
            <v>2970.2857142857142</v>
          </cell>
          <cell r="V864">
            <v>27722.666666666668</v>
          </cell>
        </row>
        <row r="865">
          <cell r="L865" t="str">
            <v>2.</v>
          </cell>
          <cell r="N865" t="str">
            <v>Tukang</v>
          </cell>
          <cell r="Q865" t="str">
            <v>Jam</v>
          </cell>
          <cell r="R865">
            <v>1.1666666666666667</v>
          </cell>
          <cell r="S865">
            <v>3147.8571428571427</v>
          </cell>
          <cell r="V865">
            <v>3672.5</v>
          </cell>
        </row>
        <row r="866">
          <cell r="L866" t="str">
            <v>3.</v>
          </cell>
          <cell r="N866" t="str">
            <v>Mandor</v>
          </cell>
          <cell r="Q866" t="str">
            <v>Jam</v>
          </cell>
          <cell r="R866">
            <v>1.1666666666666667</v>
          </cell>
          <cell r="S866">
            <v>3632.1428571428573</v>
          </cell>
          <cell r="V866">
            <v>4237.5000000000009</v>
          </cell>
        </row>
        <row r="868">
          <cell r="R868" t="str">
            <v xml:space="preserve">JUMLAH HARGA TENAGA   </v>
          </cell>
          <cell r="V868">
            <v>35632.666666666672</v>
          </cell>
        </row>
        <row r="870">
          <cell r="L870" t="str">
            <v>B.</v>
          </cell>
          <cell r="N870" t="str">
            <v>BAHAN</v>
          </cell>
        </row>
        <row r="872">
          <cell r="L872" t="str">
            <v>1.</v>
          </cell>
          <cell r="N872" t="str">
            <v>Beton K-300</v>
          </cell>
          <cell r="Q872" t="str">
            <v>M3</v>
          </cell>
          <cell r="R872">
            <v>0.28970000000000001</v>
          </cell>
          <cell r="S872">
            <v>605873</v>
          </cell>
          <cell r="V872">
            <v>175521.4081</v>
          </cell>
        </row>
        <row r="873">
          <cell r="L873" t="str">
            <v>2.</v>
          </cell>
          <cell r="N873" t="str">
            <v>Baja Tulangan</v>
          </cell>
          <cell r="Q873" t="str">
            <v>Kg</v>
          </cell>
          <cell r="R873">
            <v>31.870699999999999</v>
          </cell>
          <cell r="S873">
            <v>5800</v>
          </cell>
          <cell r="V873">
            <v>184850.06</v>
          </cell>
        </row>
        <row r="874">
          <cell r="L874" t="str">
            <v>3.</v>
          </cell>
          <cell r="N874" t="str">
            <v>Urugan Porus</v>
          </cell>
          <cell r="Q874" t="str">
            <v>M3</v>
          </cell>
          <cell r="R874">
            <v>0.31030000000000002</v>
          </cell>
          <cell r="S874">
            <v>94791.182676543947</v>
          </cell>
          <cell r="V874">
            <v>29413.703984531589</v>
          </cell>
        </row>
        <row r="875">
          <cell r="L875" t="str">
            <v>4.</v>
          </cell>
          <cell r="N875" t="str">
            <v>Mat. Pilihan</v>
          </cell>
          <cell r="Q875" t="str">
            <v>M3</v>
          </cell>
          <cell r="R875">
            <v>1.9114</v>
          </cell>
          <cell r="S875">
            <v>69600</v>
          </cell>
          <cell r="V875">
            <v>133033.44</v>
          </cell>
        </row>
        <row r="878">
          <cell r="R878" t="str">
            <v xml:space="preserve">JUMLAH HARGA BAHAN   </v>
          </cell>
          <cell r="V878">
            <v>522818.61208453157</v>
          </cell>
        </row>
        <row r="880">
          <cell r="L880" t="str">
            <v>C.</v>
          </cell>
          <cell r="N880" t="str">
            <v>PERALATAN</v>
          </cell>
        </row>
        <row r="882">
          <cell r="L882" t="str">
            <v>1.</v>
          </cell>
          <cell r="N882" t="str">
            <v>Tamper</v>
          </cell>
          <cell r="Q882" t="str">
            <v>Jam</v>
          </cell>
          <cell r="R882">
            <v>0.46756400602409631</v>
          </cell>
          <cell r="S882">
            <v>12661.558707685757</v>
          </cell>
          <cell r="V882">
            <v>5920.0891118748323</v>
          </cell>
        </row>
        <row r="883">
          <cell r="L883" t="str">
            <v>2.</v>
          </cell>
          <cell r="N883" t="str">
            <v>Dump Truck</v>
          </cell>
          <cell r="Q883" t="str">
            <v>Jam</v>
          </cell>
          <cell r="R883">
            <v>0.4272088353413655</v>
          </cell>
          <cell r="S883">
            <v>68438.487114906166</v>
          </cell>
          <cell r="V883">
            <v>29237.526372884113</v>
          </cell>
        </row>
        <row r="884">
          <cell r="L884" t="str">
            <v>3.</v>
          </cell>
          <cell r="N884" t="str">
            <v>Alat  Bantu</v>
          </cell>
          <cell r="Q884" t="str">
            <v>Ls</v>
          </cell>
          <cell r="R884">
            <v>1</v>
          </cell>
          <cell r="S884">
            <v>250</v>
          </cell>
          <cell r="V884">
            <v>250</v>
          </cell>
        </row>
        <row r="890">
          <cell r="R890" t="str">
            <v xml:space="preserve">JUMLAH HARGA PERALATAN   </v>
          </cell>
          <cell r="V890">
            <v>35407.615484758942</v>
          </cell>
        </row>
        <row r="892">
          <cell r="L892" t="str">
            <v>D.</v>
          </cell>
          <cell r="N892" t="str">
            <v>JUMLAH HARGA TENAGA, BAHAN DAN PERALATAN  ( A + B + C )</v>
          </cell>
          <cell r="V892">
            <v>593858.89423595718</v>
          </cell>
        </row>
        <row r="893">
          <cell r="L893" t="str">
            <v>E.</v>
          </cell>
          <cell r="N893" t="str">
            <v>OVERHEAD &amp; PROFIT</v>
          </cell>
          <cell r="Q893">
            <v>10</v>
          </cell>
          <cell r="R893" t="str">
            <v>%  x  D</v>
          </cell>
          <cell r="V893">
            <v>59385.88942359572</v>
          </cell>
        </row>
        <row r="894">
          <cell r="L894" t="str">
            <v>F.</v>
          </cell>
          <cell r="N894" t="str">
            <v>HARGA SATUAN PEKERJAAN  ( D + E )</v>
          </cell>
          <cell r="V894">
            <v>653244.78365955292</v>
          </cell>
        </row>
        <row r="895">
          <cell r="L895" t="str">
            <v>G</v>
          </cell>
          <cell r="N895" t="str">
            <v>DIBULATKAN</v>
          </cell>
          <cell r="V895">
            <v>653244</v>
          </cell>
        </row>
        <row r="896">
          <cell r="L896" t="str">
            <v>Note:        1</v>
          </cell>
          <cell r="N896" t="str">
            <v>Satuan dapat berdasarkan atas jam operasi untuk Tenaga Kerja dan Peralatan, volume dan/atau ukuran</v>
          </cell>
        </row>
        <row r="897">
          <cell r="N897" t="str">
            <v>berat untuk bahan-bahan.</v>
          </cell>
        </row>
        <row r="898">
          <cell r="L898">
            <v>2</v>
          </cell>
          <cell r="N898" t="str">
            <v>Kuantitas satuan adalah kuantitas setiap komponen untuk menyelesaikan satu satuan pekerjaan dari nomor</v>
          </cell>
        </row>
        <row r="899">
          <cell r="N899" t="str">
            <v>mata pembayaran.</v>
          </cell>
        </row>
        <row r="900">
          <cell r="L900">
            <v>3</v>
          </cell>
          <cell r="N900" t="str">
            <v>Biaya satuan untuk peralatan sudah termasuk bahan bakar, bahan habis dipakai dan operator.</v>
          </cell>
        </row>
        <row r="901">
          <cell r="L901">
            <v>4</v>
          </cell>
          <cell r="N901" t="str">
            <v>Biaya satuan sudah termasuk pengeluaran untuk seluruh pajak yang berkaitan (tetapi tidak termasuk PPN</v>
          </cell>
        </row>
        <row r="902">
          <cell r="N902" t="str">
            <v>yang dibayar dari kontrak) dan biaya-biaya lainnya.</v>
          </cell>
        </row>
        <row r="1508">
          <cell r="A1508" t="str">
            <v>ITEM PEMBAYARAN NO.</v>
          </cell>
          <cell r="D1508" t="str">
            <v>:  2.4 (3)</v>
          </cell>
          <cell r="J1508" t="str">
            <v xml:space="preserve">Analisa LI-243 </v>
          </cell>
        </row>
        <row r="1509">
          <cell r="A1509" t="str">
            <v>JENIS PEKERJAAN</v>
          </cell>
          <cell r="D1509" t="str">
            <v>:  Pipa Berlubang Banyak</v>
          </cell>
        </row>
        <row r="1510">
          <cell r="A1510" t="str">
            <v>SATUAN PEMBAYARAN</v>
          </cell>
          <cell r="D1510" t="str">
            <v>:  M'</v>
          </cell>
          <cell r="J1510" t="str">
            <v xml:space="preserve">         URAIAN ANALISA HARGA SATUAN</v>
          </cell>
        </row>
        <row r="1513">
          <cell r="A1513" t="str">
            <v>No.</v>
          </cell>
          <cell r="C1513" t="str">
            <v>U R A I A N</v>
          </cell>
          <cell r="G1513" t="str">
            <v>KODE</v>
          </cell>
          <cell r="H1513" t="str">
            <v>KOEF.</v>
          </cell>
          <cell r="I1513" t="str">
            <v>SATUAN</v>
          </cell>
          <cell r="J1513" t="str">
            <v>KETERANGAN</v>
          </cell>
        </row>
        <row r="1516">
          <cell r="A1516" t="str">
            <v>I.</v>
          </cell>
          <cell r="C1516" t="str">
            <v>ASUMSI</v>
          </cell>
        </row>
        <row r="1517">
          <cell r="A1517">
            <v>1</v>
          </cell>
          <cell r="C1517" t="str">
            <v>Pekerjaan dilakukan secara manual</v>
          </cell>
        </row>
        <row r="1518">
          <cell r="A1518">
            <v>2</v>
          </cell>
          <cell r="C1518" t="str">
            <v>Lokasi pekerjaan : sepanjang jalan</v>
          </cell>
        </row>
        <row r="1519">
          <cell r="A1519">
            <v>3</v>
          </cell>
          <cell r="C1519" t="str">
            <v>Kondisi Jalan   :  sedang / baik</v>
          </cell>
        </row>
        <row r="1520">
          <cell r="A1520">
            <v>4</v>
          </cell>
          <cell r="C1520" t="str">
            <v>Jam kerja efektif per-hari</v>
          </cell>
          <cell r="G1520" t="str">
            <v>Tk</v>
          </cell>
          <cell r="H1520">
            <v>7</v>
          </cell>
          <cell r="I1520" t="str">
            <v>Jam</v>
          </cell>
        </row>
        <row r="1521">
          <cell r="A1521">
            <v>5</v>
          </cell>
          <cell r="C1521" t="str">
            <v>Diameter dalam pipa</v>
          </cell>
          <cell r="G1521" t="str">
            <v>d</v>
          </cell>
          <cell r="H1521">
            <v>0.1</v>
          </cell>
          <cell r="I1521" t="str">
            <v>M</v>
          </cell>
        </row>
        <row r="1522">
          <cell r="A1522">
            <v>6</v>
          </cell>
          <cell r="C1522" t="str">
            <v>Material penyaring terdiri dari material porus</v>
          </cell>
        </row>
        <row r="1523">
          <cell r="A1523">
            <v>7</v>
          </cell>
          <cell r="C1523" t="str">
            <v>Penyangga sambungan pipa dengan mortar</v>
          </cell>
        </row>
        <row r="1524">
          <cell r="A1524" t="str">
            <v>II.</v>
          </cell>
          <cell r="C1524" t="str">
            <v>URUTAN KERJA</v>
          </cell>
        </row>
        <row r="1525">
          <cell r="A1525">
            <v>1</v>
          </cell>
          <cell r="C1525" t="str">
            <v>Semua material diterima di lokasi pekerjaan</v>
          </cell>
        </row>
        <row r="1526">
          <cell r="A1526">
            <v>2</v>
          </cell>
          <cell r="C1526" t="str">
            <v>Pekerjaan dilakukan secara manual dengan</v>
          </cell>
        </row>
        <row r="1527">
          <cell r="C1527" t="str">
            <v>menggunakan alat bantu kecil</v>
          </cell>
        </row>
        <row r="1528">
          <cell r="A1528">
            <v>3</v>
          </cell>
          <cell r="C1528" t="str">
            <v>Pekerjaan galian dibayar tersendiri.</v>
          </cell>
        </row>
        <row r="1529">
          <cell r="A1529" t="str">
            <v>III.</v>
          </cell>
          <cell r="C1529" t="str">
            <v>PEMAKAIAN BAHAN, ALAT DAN TENAGA</v>
          </cell>
        </row>
        <row r="1530">
          <cell r="A1530" t="str">
            <v xml:space="preserve">   1.</v>
          </cell>
          <cell r="C1530" t="str">
            <v>BAHAN</v>
          </cell>
        </row>
        <row r="1531">
          <cell r="C1531" t="str">
            <v>Diperlukan material :</v>
          </cell>
        </row>
        <row r="1532">
          <cell r="C1532" t="str">
            <v>- Pipa Porous</v>
          </cell>
          <cell r="G1532" t="str">
            <v>(M25)</v>
          </cell>
          <cell r="H1532">
            <v>1.05</v>
          </cell>
          <cell r="I1532" t="str">
            <v>M'</v>
          </cell>
        </row>
        <row r="1533">
          <cell r="C1533" t="str">
            <v>- Mortar (penyangga sambungan pipa) = 2 x (0.05x0.05x0.05)</v>
          </cell>
          <cell r="G1533" t="str">
            <v>Mr</v>
          </cell>
          <cell r="H1533">
            <v>2.5000000000000006E-4</v>
          </cell>
          <cell r="I1533" t="str">
            <v>M3</v>
          </cell>
        </row>
        <row r="1534">
          <cell r="C1534" t="str">
            <v>- Semen</v>
          </cell>
          <cell r="D1534" t="str">
            <v>= 20% x Mr x Bj Mortar 1.8 T/m3</v>
          </cell>
          <cell r="G1534" t="str">
            <v>(M12)</v>
          </cell>
          <cell r="H1534">
            <v>9.0000000000000038E-2</v>
          </cell>
          <cell r="I1534" t="str">
            <v>Kg</v>
          </cell>
        </row>
        <row r="1535">
          <cell r="C1535" t="str">
            <v>- Pasir</v>
          </cell>
          <cell r="D1535" t="str">
            <v>= 80% x Mr</v>
          </cell>
          <cell r="G1535" t="str">
            <v>(M01)</v>
          </cell>
          <cell r="H1535">
            <v>2.0000000000000006E-4</v>
          </cell>
          <cell r="I1535" t="str">
            <v>M3</v>
          </cell>
        </row>
        <row r="1536">
          <cell r="C1536" t="str">
            <v>- Filter stripe dan lain2 (pada sambungan)</v>
          </cell>
          <cell r="G1536" t="str">
            <v>-</v>
          </cell>
          <cell r="H1536" t="str">
            <v>-</v>
          </cell>
          <cell r="I1536" t="str">
            <v>Ls</v>
          </cell>
        </row>
        <row r="1537">
          <cell r="A1537" t="str">
            <v xml:space="preserve">   2.</v>
          </cell>
          <cell r="C1537" t="str">
            <v>ALAT</v>
          </cell>
        </row>
        <row r="1538">
          <cell r="A1538" t="str">
            <v>2.b.</v>
          </cell>
          <cell r="C1538" t="str">
            <v>ALAT  BANTU</v>
          </cell>
          <cell r="J1538" t="str">
            <v>Lump Sump</v>
          </cell>
        </row>
        <row r="1539">
          <cell r="C1539" t="str">
            <v>Diperlukan alat-alat bantu kecil</v>
          </cell>
        </row>
        <row r="1540">
          <cell r="C1540" t="str">
            <v>- Sekop  =   2   buah</v>
          </cell>
        </row>
        <row r="1541">
          <cell r="C1541" t="str">
            <v>- Pacul   =   2   buah</v>
          </cell>
        </row>
        <row r="1542">
          <cell r="C1542" t="str">
            <v>- Alat-alat kecil lain</v>
          </cell>
        </row>
        <row r="1543">
          <cell r="A1543" t="str">
            <v xml:space="preserve">   3.</v>
          </cell>
          <cell r="C1543" t="str">
            <v>TENAGA</v>
          </cell>
        </row>
        <row r="1544">
          <cell r="C1544" t="str">
            <v>Produksi yang dapat diselesaikan / hari</v>
          </cell>
          <cell r="G1544" t="str">
            <v>Qt</v>
          </cell>
          <cell r="H1544">
            <v>12</v>
          </cell>
          <cell r="I1544" t="str">
            <v>M'</v>
          </cell>
        </row>
        <row r="1545">
          <cell r="C1545" t="str">
            <v>Kebutuhan tenaga :</v>
          </cell>
        </row>
        <row r="1546">
          <cell r="D1546" t="str">
            <v>- Pekerja</v>
          </cell>
          <cell r="G1546" t="str">
            <v>P</v>
          </cell>
          <cell r="H1546">
            <v>2</v>
          </cell>
          <cell r="I1546" t="str">
            <v>orang</v>
          </cell>
        </row>
        <row r="1547">
          <cell r="D1547" t="str">
            <v>- Tukang</v>
          </cell>
          <cell r="G1547" t="str">
            <v>T</v>
          </cell>
          <cell r="H1547">
            <v>1</v>
          </cell>
          <cell r="I1547" t="str">
            <v>orang</v>
          </cell>
        </row>
        <row r="1548">
          <cell r="D1548" t="str">
            <v>- Mandor</v>
          </cell>
          <cell r="G1548" t="str">
            <v>M</v>
          </cell>
          <cell r="H1548">
            <v>1</v>
          </cell>
          <cell r="I1548" t="str">
            <v>orang</v>
          </cell>
        </row>
        <row r="1549">
          <cell r="C1549" t="str">
            <v>Koefisien tenaga / M1   :</v>
          </cell>
        </row>
        <row r="1550">
          <cell r="D1550" t="str">
            <v>- Pekerja</v>
          </cell>
          <cell r="E1550" t="str">
            <v>= (Tk x P) : Qt</v>
          </cell>
          <cell r="G1550" t="str">
            <v>(L01)</v>
          </cell>
          <cell r="H1550">
            <v>1.1666666666666667</v>
          </cell>
          <cell r="I1550" t="str">
            <v>Jam</v>
          </cell>
        </row>
        <row r="1551">
          <cell r="D1551" t="str">
            <v>- Tukang</v>
          </cell>
          <cell r="E1551" t="str">
            <v>= (Tk x T) : Qt</v>
          </cell>
          <cell r="G1551" t="str">
            <v>(L02)</v>
          </cell>
          <cell r="H1551">
            <v>0.58333333333333337</v>
          </cell>
          <cell r="I1551" t="str">
            <v>Jam</v>
          </cell>
        </row>
        <row r="1552">
          <cell r="D1552" t="str">
            <v>- Mandor</v>
          </cell>
          <cell r="E1552" t="str">
            <v>= (Tk x M) : Qt</v>
          </cell>
          <cell r="G1552" t="str">
            <v>(L03)</v>
          </cell>
          <cell r="H1552">
            <v>0.58333333333333337</v>
          </cell>
          <cell r="I1552" t="str">
            <v>Jam</v>
          </cell>
        </row>
        <row r="1554">
          <cell r="A1554" t="str">
            <v>4.</v>
          </cell>
          <cell r="C1554" t="str">
            <v>HARGA DASAR SATUAN UPAH, BAHAN DAN ALAT</v>
          </cell>
        </row>
        <row r="1555">
          <cell r="C1555" t="str">
            <v>Lihat lampiran.</v>
          </cell>
        </row>
        <row r="1556">
          <cell r="A1556" t="str">
            <v>5.</v>
          </cell>
          <cell r="C1556" t="str">
            <v>ANALISA HARGA SATUAN PEKERJAAN</v>
          </cell>
        </row>
        <row r="1557">
          <cell r="C1557" t="str">
            <v>Lihat perhitungan dalam FORMULIR STANDAR UNTUK</v>
          </cell>
        </row>
        <row r="1558">
          <cell r="C1558" t="str">
            <v>PEREKEMAN ANALISA MASING-MASING HARGA</v>
          </cell>
        </row>
        <row r="1559">
          <cell r="C1559" t="str">
            <v>SATUAN.</v>
          </cell>
        </row>
        <row r="1560">
          <cell r="C1560" t="str">
            <v>Didapat Harga Satuan Pekerjaan :</v>
          </cell>
        </row>
        <row r="1563">
          <cell r="C1563" t="str">
            <v xml:space="preserve">Rp.  </v>
          </cell>
          <cell r="D1563">
            <v>8833</v>
          </cell>
          <cell r="E1563" t="str">
            <v xml:space="preserve"> / M'</v>
          </cell>
        </row>
        <row r="1565">
          <cell r="A1565" t="str">
            <v>6.</v>
          </cell>
          <cell r="C1565" t="str">
            <v>WAKTU PELAKSANAAN YANG DIPERLUKAN</v>
          </cell>
        </row>
        <row r="1566">
          <cell r="C1566" t="str">
            <v>Masa Pelaksanaan :</v>
          </cell>
          <cell r="D1566" t="str">
            <v>. . . . . . . . . . . .</v>
          </cell>
          <cell r="E1566" t="str">
            <v>bulan</v>
          </cell>
        </row>
        <row r="1567">
          <cell r="A1567" t="str">
            <v>7.</v>
          </cell>
          <cell r="C1567" t="str">
            <v>VOLUME PEKERJAAN YANG DIPERLUKAN</v>
          </cell>
        </row>
        <row r="1568">
          <cell r="C1568" t="str">
            <v>Volume pekerjaan  :</v>
          </cell>
          <cell r="D1568">
            <v>0</v>
          </cell>
          <cell r="E1568" t="str">
            <v>M'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lengkapan"/>
      <sheetName val="infor"/>
      <sheetName val="REKAP"/>
      <sheetName val="KWANTITAS"/>
      <sheetName val="BASIC"/>
      <sheetName val="JA"/>
      <sheetName val="AGGR"/>
      <sheetName val="QUARI"/>
      <sheetName val="ALAT"/>
      <sheetName val="1"/>
      <sheetName val="2"/>
      <sheetName val="3"/>
      <sheetName val="5"/>
      <sheetName val="6"/>
      <sheetName val="7"/>
      <sheetName val="8"/>
      <sheetName val="10"/>
      <sheetName val="ANL"/>
      <sheetName val="JP"/>
      <sheetName val="JB"/>
      <sheetName val="ON SITE"/>
      <sheetName val="ASPAL"/>
      <sheetName val="CRUSER"/>
      <sheetName val="DAFTAR UPAH"/>
      <sheetName val="MP. Utama"/>
      <sheetName val="Peralatan"/>
      <sheetName val="Personil Inti"/>
      <sheetName val="Subk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9">
          <cell r="Q19">
            <v>40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"/>
      <sheetName val="Ans"/>
      <sheetName val="Kua"/>
      <sheetName val="DH"/>
      <sheetName val="SCH"/>
      <sheetName val="AT"/>
      <sheetName val="PM"/>
      <sheetName val="TAB"/>
      <sheetName val="Sub"/>
      <sheetName val="Koreksi"/>
      <sheetName val="Met"/>
      <sheetName val="Insert Data"/>
      <sheetName val="PQ"/>
    </sheetNames>
    <sheetDataSet>
      <sheetData sheetId="0" refreshError="1"/>
      <sheetData sheetId="1" refreshError="1"/>
      <sheetData sheetId="2" refreshError="1"/>
      <sheetData sheetId="3" refreshError="1">
        <row r="12">
          <cell r="G12">
            <v>10625</v>
          </cell>
        </row>
        <row r="13">
          <cell r="G13">
            <v>11875</v>
          </cell>
        </row>
        <row r="33">
          <cell r="G33">
            <v>15000</v>
          </cell>
        </row>
      </sheetData>
      <sheetData sheetId="4" refreshError="1"/>
      <sheetData sheetId="5" refreshError="1"/>
      <sheetData sheetId="6" refreshError="1"/>
      <sheetData sheetId="7" refreshError="1">
        <row r="11">
          <cell r="I11">
            <v>0.13</v>
          </cell>
          <cell r="K11">
            <v>0.26</v>
          </cell>
        </row>
        <row r="23">
          <cell r="F23">
            <v>15</v>
          </cell>
          <cell r="I23">
            <v>1.5</v>
          </cell>
          <cell r="K23">
            <v>3</v>
          </cell>
        </row>
        <row r="27">
          <cell r="I27">
            <v>0.08</v>
          </cell>
          <cell r="K27">
            <v>0.16</v>
          </cell>
        </row>
        <row r="32">
          <cell r="I32">
            <v>0.26</v>
          </cell>
          <cell r="K32">
            <v>0.52</v>
          </cell>
        </row>
        <row r="39">
          <cell r="F39">
            <v>2.2000000000000002</v>
          </cell>
          <cell r="I39">
            <v>0.22</v>
          </cell>
          <cell r="K39">
            <v>0.44</v>
          </cell>
        </row>
        <row r="43">
          <cell r="F43">
            <v>6.2</v>
          </cell>
          <cell r="I43">
            <v>0.62</v>
          </cell>
          <cell r="K43">
            <v>1.24</v>
          </cell>
        </row>
        <row r="47">
          <cell r="F47">
            <v>4.2</v>
          </cell>
          <cell r="I47">
            <v>0.42</v>
          </cell>
          <cell r="K47">
            <v>0.84</v>
          </cell>
        </row>
        <row r="51">
          <cell r="I51">
            <v>0.22</v>
          </cell>
          <cell r="K51">
            <v>0.44</v>
          </cell>
        </row>
        <row r="55">
          <cell r="I55">
            <v>0.22</v>
          </cell>
          <cell r="K55">
            <v>0.44</v>
          </cell>
        </row>
        <row r="59">
          <cell r="F59">
            <v>2.2000000000000002</v>
          </cell>
          <cell r="I59">
            <v>0.22</v>
          </cell>
          <cell r="K59">
            <v>0.44</v>
          </cell>
        </row>
        <row r="63">
          <cell r="F63">
            <v>2.2000000000000002</v>
          </cell>
          <cell r="G63">
            <v>0.66</v>
          </cell>
          <cell r="I63">
            <v>0.22</v>
          </cell>
          <cell r="K63">
            <v>0.44</v>
          </cell>
        </row>
        <row r="67">
          <cell r="I67">
            <v>0.12</v>
          </cell>
          <cell r="K67">
            <v>0.24</v>
          </cell>
        </row>
        <row r="71">
          <cell r="F71">
            <v>1.1100000000000001</v>
          </cell>
          <cell r="I71">
            <v>0.111</v>
          </cell>
          <cell r="K71">
            <v>0.222</v>
          </cell>
        </row>
        <row r="74">
          <cell r="F74">
            <v>1.2</v>
          </cell>
          <cell r="I74">
            <v>0.12</v>
          </cell>
          <cell r="K74">
            <v>0.24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Lampiran"/>
      <sheetName val="S-Penawaran"/>
      <sheetName val="Rekap"/>
      <sheetName val="Rincian"/>
      <sheetName val="Skedul"/>
      <sheetName val="Pemeliharaan"/>
      <sheetName val="Mobilisasi"/>
      <sheetName val="DMP-Utama"/>
      <sheetName val="Analisa DMPU"/>
      <sheetName val="Harsat"/>
      <sheetName val="On Site"/>
      <sheetName val="Peralatan"/>
      <sheetName val="Personil"/>
      <sheetName val="SubKontrak"/>
      <sheetName val="Bahan DN"/>
      <sheetName val="Metode"/>
      <sheetName val="Pernyataan"/>
      <sheetName val="Pengurus"/>
      <sheetName val="Modal"/>
      <sheetName val="Check List"/>
      <sheetName val="Pembatas"/>
      <sheetName val="Analisa 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3">
          <cell r="E73">
            <v>25000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"/>
      <sheetName val="Hrg"/>
      <sheetName val="Anl"/>
      <sheetName val="RAB RKB"/>
      <sheetName val="RB RD"/>
      <sheetName val="RAB WC"/>
      <sheetName val="Srn&amp;Mbl"/>
      <sheetName val="Rkp"/>
      <sheetName val="Schd"/>
      <sheetName val="LKP Des"/>
      <sheetName val="LKP Jan"/>
      <sheetName val="LKP Feb"/>
      <sheetName val="LKP Mar"/>
      <sheetName val="MC Des"/>
      <sheetName val="MC Jan"/>
      <sheetName val="MC Feb"/>
      <sheetName val="MC Mar"/>
    </sheetNames>
    <sheetDataSet>
      <sheetData sheetId="0">
        <row r="2">
          <cell r="C2" t="str">
            <v>CV. BUDHI GUNA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>
        <row r="58">
          <cell r="D58">
            <v>164904743.29722223</v>
          </cell>
        </row>
        <row r="134">
          <cell r="D134">
            <v>10980685.084722221</v>
          </cell>
        </row>
      </sheetData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U"/>
      <sheetName val="Bhn+Uph"/>
      <sheetName val="Anl-A"/>
      <sheetName val="Anl-B"/>
      <sheetName val="Anl-C"/>
      <sheetName val="Anl-D"/>
      <sheetName val="Anl-E"/>
      <sheetName val="Anl-F"/>
      <sheetName val="Anl-G"/>
      <sheetName val="Anl-H"/>
      <sheetName val="Anl-I"/>
      <sheetName val="Anl-J"/>
      <sheetName val="Anl-K"/>
      <sheetName val="Anl-L"/>
      <sheetName val="Anl-M"/>
      <sheetName val="Anl-N"/>
      <sheetName val="Anl-P"/>
      <sheetName val="HSP"/>
      <sheetName val="RAB"/>
      <sheetName val="Vol"/>
      <sheetName val="back up analisa"/>
    </sheetNames>
    <sheetDataSet>
      <sheetData sheetId="0" refreshError="1"/>
      <sheetData sheetId="1">
        <row r="15">
          <cell r="B15" t="str">
            <v>UPAH</v>
          </cell>
        </row>
        <row r="17">
          <cell r="B17" t="str">
            <v>Mandor</v>
          </cell>
          <cell r="C17" t="str">
            <v>oh</v>
          </cell>
          <cell r="D17">
            <v>95496.24</v>
          </cell>
          <cell r="E17">
            <v>95496.24</v>
          </cell>
        </row>
        <row r="18">
          <cell r="B18" t="str">
            <v>Mekanik</v>
          </cell>
          <cell r="C18" t="str">
            <v>oh</v>
          </cell>
          <cell r="D18">
            <v>79228.75</v>
          </cell>
          <cell r="E18">
            <v>79228.75</v>
          </cell>
        </row>
        <row r="19">
          <cell r="B19" t="str">
            <v>Mekanik pembantu</v>
          </cell>
          <cell r="C19" t="str">
            <v>oh</v>
          </cell>
          <cell r="D19">
            <v>53923.77</v>
          </cell>
          <cell r="E19">
            <v>53923.77</v>
          </cell>
        </row>
        <row r="20">
          <cell r="B20" t="str">
            <v>Kepala tukang</v>
          </cell>
          <cell r="C20" t="str">
            <v>oh</v>
          </cell>
          <cell r="D20">
            <v>87151.63</v>
          </cell>
          <cell r="E20">
            <v>87151.63</v>
          </cell>
        </row>
        <row r="21">
          <cell r="B21" t="str">
            <v>Tukang batu</v>
          </cell>
          <cell r="C21" t="str">
            <v>oh</v>
          </cell>
          <cell r="D21">
            <v>79228.75</v>
          </cell>
          <cell r="E21">
            <v>79228.75</v>
          </cell>
        </row>
        <row r="22">
          <cell r="B22" t="str">
            <v>Tukang kayu</v>
          </cell>
          <cell r="C22" t="str">
            <v>oh</v>
          </cell>
          <cell r="D22">
            <v>79228.75</v>
          </cell>
          <cell r="E22">
            <v>79228.75</v>
          </cell>
        </row>
        <row r="23">
          <cell r="B23" t="str">
            <v>Tukang besi / tukang las</v>
          </cell>
          <cell r="C23" t="str">
            <v>oh</v>
          </cell>
          <cell r="D23">
            <v>75000</v>
          </cell>
          <cell r="E23">
            <v>75000</v>
          </cell>
        </row>
        <row r="24">
          <cell r="B24" t="str">
            <v>Tukang cat</v>
          </cell>
          <cell r="C24" t="str">
            <v>oh</v>
          </cell>
          <cell r="D24">
            <v>79228.75</v>
          </cell>
          <cell r="E24">
            <v>79228.75</v>
          </cell>
        </row>
        <row r="25">
          <cell r="B25" t="str">
            <v>Tukang listrik</v>
          </cell>
          <cell r="C25" t="str">
            <v>oh</v>
          </cell>
          <cell r="D25">
            <v>75000</v>
          </cell>
          <cell r="E25">
            <v>75000</v>
          </cell>
        </row>
        <row r="26">
          <cell r="B26" t="str">
            <v>Tukang ledeng / pipa</v>
          </cell>
          <cell r="C26" t="str">
            <v>oh</v>
          </cell>
          <cell r="D26">
            <v>75000</v>
          </cell>
          <cell r="E26">
            <v>75000</v>
          </cell>
        </row>
        <row r="27">
          <cell r="B27" t="str">
            <v>Tukang gali sumur</v>
          </cell>
          <cell r="C27" t="str">
            <v>oh</v>
          </cell>
          <cell r="D27">
            <v>75000</v>
          </cell>
          <cell r="E27">
            <v>75000</v>
          </cell>
        </row>
        <row r="28">
          <cell r="B28" t="str">
            <v>Operator terlatih</v>
          </cell>
          <cell r="C28" t="str">
            <v>oh</v>
          </cell>
          <cell r="D28">
            <v>82241.25</v>
          </cell>
          <cell r="E28">
            <v>82241.25</v>
          </cell>
        </row>
        <row r="29">
          <cell r="B29" t="str">
            <v>Operator kurang terlatih</v>
          </cell>
          <cell r="C29" t="str">
            <v>oh</v>
          </cell>
          <cell r="D29">
            <v>68986.259999999995</v>
          </cell>
          <cell r="E29">
            <v>68986.259999999995</v>
          </cell>
        </row>
        <row r="30">
          <cell r="B30" t="str">
            <v>Pembantu operator</v>
          </cell>
          <cell r="C30" t="str">
            <v>oh</v>
          </cell>
          <cell r="D30">
            <v>51815.02</v>
          </cell>
          <cell r="E30">
            <v>51815.02</v>
          </cell>
        </row>
        <row r="31">
          <cell r="B31" t="str">
            <v>Supir material / truck</v>
          </cell>
          <cell r="C31" t="str">
            <v>oh</v>
          </cell>
          <cell r="D31">
            <v>76216.259999999995</v>
          </cell>
          <cell r="E31">
            <v>76216.259999999995</v>
          </cell>
        </row>
        <row r="32">
          <cell r="B32" t="str">
            <v>Supir personil / mobil ringan</v>
          </cell>
          <cell r="C32" t="str">
            <v>oh</v>
          </cell>
          <cell r="D32">
            <v>68750</v>
          </cell>
          <cell r="E32">
            <v>68750</v>
          </cell>
        </row>
        <row r="33">
          <cell r="B33" t="str">
            <v>Pembantu supir / kenek</v>
          </cell>
          <cell r="C33" t="str">
            <v>oh</v>
          </cell>
          <cell r="D33">
            <v>51815.02</v>
          </cell>
          <cell r="E33">
            <v>51815.02</v>
          </cell>
        </row>
        <row r="34">
          <cell r="B34" t="str">
            <v>Pekerja terlatih</v>
          </cell>
          <cell r="C34" t="str">
            <v>oh</v>
          </cell>
          <cell r="D34">
            <v>67178.77</v>
          </cell>
          <cell r="E34">
            <v>67178.77</v>
          </cell>
        </row>
        <row r="35">
          <cell r="B35" t="str">
            <v>Pekerja agak terlatih</v>
          </cell>
          <cell r="C35" t="str">
            <v>oh</v>
          </cell>
          <cell r="D35">
            <v>53125</v>
          </cell>
          <cell r="E35">
            <v>53125</v>
          </cell>
        </row>
        <row r="36">
          <cell r="B36" t="str">
            <v>Pekerja tak terlatih</v>
          </cell>
          <cell r="C36" t="str">
            <v>oh</v>
          </cell>
          <cell r="D36">
            <v>48802.53</v>
          </cell>
          <cell r="E36">
            <v>48802.53</v>
          </cell>
        </row>
        <row r="37">
          <cell r="B37" t="str">
            <v>Penjaga</v>
          </cell>
          <cell r="C37" t="str">
            <v>oh</v>
          </cell>
          <cell r="D37">
            <v>60250</v>
          </cell>
          <cell r="E37">
            <v>60250</v>
          </cell>
        </row>
        <row r="38">
          <cell r="B38" t="str">
            <v>Pemasak aspal</v>
          </cell>
          <cell r="C38" t="str">
            <v>oh</v>
          </cell>
          <cell r="D38">
            <v>48802.53</v>
          </cell>
          <cell r="E38">
            <v>48802.53</v>
          </cell>
        </row>
        <row r="39">
          <cell r="B39" t="str">
            <v>Pengangkut air</v>
          </cell>
          <cell r="C39" t="str">
            <v>oh</v>
          </cell>
          <cell r="D39">
            <v>48802.53</v>
          </cell>
          <cell r="E39">
            <v>48802.53</v>
          </cell>
        </row>
        <row r="41">
          <cell r="B41" t="str">
            <v>MATERIAL/BAHAN</v>
          </cell>
        </row>
        <row r="43">
          <cell r="B43" t="str">
            <v>Alang-alang</v>
          </cell>
          <cell r="C43" t="str">
            <v>ikat</v>
          </cell>
          <cell r="D43">
            <v>1500</v>
          </cell>
        </row>
        <row r="44">
          <cell r="B44" t="str">
            <v>Alat-alat bantu**</v>
          </cell>
          <cell r="C44" t="str">
            <v>set</v>
          </cell>
          <cell r="D44">
            <v>134900</v>
          </cell>
          <cell r="E44">
            <v>134900</v>
          </cell>
        </row>
        <row r="45">
          <cell r="B45" t="str">
            <v>All socket reducer PVC ø 100 x 80 (mm)</v>
          </cell>
          <cell r="C45" t="str">
            <v>unit</v>
          </cell>
          <cell r="D45">
            <v>75000</v>
          </cell>
          <cell r="E45">
            <v>75000</v>
          </cell>
        </row>
        <row r="46">
          <cell r="B46" t="str">
            <v>All socket reducer PVC ø 80 x 50 (mm)</v>
          </cell>
          <cell r="C46" t="str">
            <v>unit</v>
          </cell>
          <cell r="D46">
            <v>50000</v>
          </cell>
          <cell r="E46">
            <v>50000</v>
          </cell>
        </row>
        <row r="47">
          <cell r="B47" t="str">
            <v xml:space="preserve">Aluminium foil </v>
          </cell>
          <cell r="C47" t="str">
            <v>m²</v>
          </cell>
          <cell r="D47">
            <v>92000</v>
          </cell>
          <cell r="E47">
            <v>92000</v>
          </cell>
        </row>
        <row r="48">
          <cell r="B48" t="str">
            <v>Amplas</v>
          </cell>
          <cell r="C48" t="str">
            <v>lembar</v>
          </cell>
          <cell r="D48">
            <v>11600</v>
          </cell>
          <cell r="E48">
            <v>11600</v>
          </cell>
        </row>
        <row r="49">
          <cell r="B49" t="str">
            <v>Aspal bitumen</v>
          </cell>
          <cell r="C49" t="str">
            <v>kg</v>
          </cell>
          <cell r="D49">
            <v>12330.36</v>
          </cell>
          <cell r="E49">
            <v>12330.36</v>
          </cell>
        </row>
        <row r="50">
          <cell r="B50" t="str">
            <v xml:space="preserve">Atap alumunium super sheet uk. 1,8 x 6 (m), t = 0,2 mm (berwarna) </v>
          </cell>
          <cell r="C50" t="str">
            <v>m²</v>
          </cell>
          <cell r="D50">
            <v>265800</v>
          </cell>
          <cell r="E50">
            <v>265800</v>
          </cell>
        </row>
        <row r="51">
          <cell r="B51" t="str">
            <v>Atap asbes gelombang uk. 1,50 x 0,90 (m) tebal 4 mm</v>
          </cell>
          <cell r="C51" t="str">
            <v>lembar</v>
          </cell>
          <cell r="D51">
            <v>36814.699999999997</v>
          </cell>
          <cell r="E51">
            <v>36814.699999999997</v>
          </cell>
        </row>
        <row r="52">
          <cell r="B52" t="str">
            <v>Atap asbes gelombang uk. 1,50 x 1,05 (m) tebal 4 mm</v>
          </cell>
          <cell r="C52" t="str">
            <v>lembar</v>
          </cell>
          <cell r="D52">
            <v>71500</v>
          </cell>
          <cell r="E52">
            <v>71500</v>
          </cell>
        </row>
        <row r="53">
          <cell r="B53" t="str">
            <v>Atap asbes gelombang uk. 1,50 x 1,05 (m) tebal 6 mm</v>
          </cell>
          <cell r="C53" t="str">
            <v>lembar</v>
          </cell>
          <cell r="D53">
            <v>107200</v>
          </cell>
          <cell r="E53">
            <v>107200</v>
          </cell>
        </row>
        <row r="54">
          <cell r="B54" t="str">
            <v>Atap asbes gelombang uk. 1,80 x 0,92 (m) tebal 5 mm</v>
          </cell>
          <cell r="C54" t="str">
            <v>lembar</v>
          </cell>
          <cell r="D54">
            <v>41000</v>
          </cell>
          <cell r="E54">
            <v>41000</v>
          </cell>
        </row>
        <row r="55">
          <cell r="B55" t="str">
            <v>Atap asbes gelombang uk. 1,80 x 1,05 (m) tebal 4 mm</v>
          </cell>
          <cell r="C55" t="str">
            <v>lembar</v>
          </cell>
          <cell r="D55">
            <v>78500</v>
          </cell>
          <cell r="E55">
            <v>78500</v>
          </cell>
        </row>
        <row r="56">
          <cell r="B56" t="str">
            <v>Atap asbes gelombang uk. 1,80 x 1,08 (m) tebal 6 mm</v>
          </cell>
          <cell r="C56" t="str">
            <v>lembar</v>
          </cell>
          <cell r="D56">
            <v>55500</v>
          </cell>
          <cell r="E56">
            <v>55500</v>
          </cell>
        </row>
        <row r="57">
          <cell r="B57" t="str">
            <v>Atap asbes gelombang uk. 2,00 x 0,92 (m) tebal 5 mm</v>
          </cell>
          <cell r="C57" t="str">
            <v>lembar</v>
          </cell>
          <cell r="D57">
            <v>114400</v>
          </cell>
          <cell r="E57">
            <v>114400</v>
          </cell>
        </row>
        <row r="58">
          <cell r="B58" t="str">
            <v>Atap asbes gelombang uk. 2,10 x 1,05 (m) tebal 4 mm</v>
          </cell>
          <cell r="C58" t="str">
            <v>lembar</v>
          </cell>
          <cell r="D58">
            <v>91600</v>
          </cell>
          <cell r="E58">
            <v>91600</v>
          </cell>
        </row>
        <row r="59">
          <cell r="B59" t="str">
            <v>Atap asbes gelombang uk. 2,10 x 1,08 (m) tebal 6 mm</v>
          </cell>
          <cell r="C59" t="str">
            <v>lembar</v>
          </cell>
          <cell r="D59">
            <v>137100</v>
          </cell>
          <cell r="E59">
            <v>137100</v>
          </cell>
        </row>
        <row r="60">
          <cell r="B60" t="str">
            <v>Atap asbes gelombang uk. 2,25 x 0,92 (m) tebal 5 mm</v>
          </cell>
          <cell r="C60" t="str">
            <v>lembar</v>
          </cell>
          <cell r="D60">
            <v>128700</v>
          </cell>
          <cell r="E60">
            <v>128700</v>
          </cell>
        </row>
        <row r="61">
          <cell r="B61" t="str">
            <v>Atap asbes gelombang uk. 2,40 x 1,05 (m) tebal 4 mm</v>
          </cell>
          <cell r="C61" t="str">
            <v>lembar</v>
          </cell>
          <cell r="D61">
            <v>96400</v>
          </cell>
          <cell r="E61">
            <v>96400</v>
          </cell>
        </row>
        <row r="62">
          <cell r="B62" t="str">
            <v>Atap asbes gelombang uk. 2,40 x 1,08 (m) tebal 6 mm</v>
          </cell>
          <cell r="C62" t="str">
            <v>lembar</v>
          </cell>
          <cell r="D62">
            <v>144600</v>
          </cell>
          <cell r="E62">
            <v>144600</v>
          </cell>
        </row>
        <row r="63">
          <cell r="B63" t="str">
            <v>Atap asbes gelombang uk. 2,50 x 0,92 (m) tebal 5 mm</v>
          </cell>
          <cell r="C63" t="str">
            <v>lembar</v>
          </cell>
          <cell r="D63">
            <v>143000</v>
          </cell>
          <cell r="E63">
            <v>143000</v>
          </cell>
        </row>
        <row r="64">
          <cell r="B64" t="str">
            <v>Atap asbes gelombang uk. 2,70 x 1,05 (m) tebal 4 mm</v>
          </cell>
          <cell r="C64" t="str">
            <v>lembar</v>
          </cell>
          <cell r="D64">
            <v>116700</v>
          </cell>
          <cell r="E64">
            <v>116700</v>
          </cell>
        </row>
        <row r="65">
          <cell r="B65" t="str">
            <v>Atap asbes gelombang uk. 2,70 x 1,08 (m) tebal 6 mm</v>
          </cell>
          <cell r="C65" t="str">
            <v>lembar</v>
          </cell>
          <cell r="D65">
            <v>175000</v>
          </cell>
          <cell r="E65">
            <v>175000</v>
          </cell>
        </row>
        <row r="66">
          <cell r="B66" t="str">
            <v>Atap asbes gelombang uk. 3,00 x 1,05 (m) tebal 4 mm</v>
          </cell>
          <cell r="C66" t="str">
            <v>lembar</v>
          </cell>
          <cell r="D66">
            <v>126800</v>
          </cell>
          <cell r="E66">
            <v>126800</v>
          </cell>
        </row>
        <row r="67">
          <cell r="B67" t="str">
            <v>Atap asbes gelombang uk. 3,00 x 1,08 (m) tebal 6 mm</v>
          </cell>
          <cell r="C67" t="str">
            <v>lembar</v>
          </cell>
          <cell r="D67">
            <v>189700</v>
          </cell>
          <cell r="E67">
            <v>189700</v>
          </cell>
        </row>
        <row r="68">
          <cell r="B68" t="str">
            <v>Foldimg Gate ( tebal 2 mm )</v>
          </cell>
          <cell r="C68" t="str">
            <v>m2</v>
          </cell>
          <cell r="D68">
            <v>733471.2</v>
          </cell>
          <cell r="E68">
            <v>733471.2</v>
          </cell>
        </row>
        <row r="69">
          <cell r="B69" t="str">
            <v>Folding Gate ( tebal 3 mm )</v>
          </cell>
          <cell r="C69" t="str">
            <v>m2</v>
          </cell>
          <cell r="D69">
            <v>900169.2</v>
          </cell>
          <cell r="E69">
            <v>900169.2</v>
          </cell>
        </row>
        <row r="70">
          <cell r="B70" t="str">
            <v>Atap genteng (standar KIA)</v>
          </cell>
          <cell r="C70" t="str">
            <v>lembar</v>
          </cell>
          <cell r="D70">
            <v>14300</v>
          </cell>
          <cell r="E70">
            <v>14300</v>
          </cell>
        </row>
        <row r="71">
          <cell r="B71" t="str">
            <v>Atap genteng beton ( jenis press)</v>
          </cell>
          <cell r="C71" t="str">
            <v>buah</v>
          </cell>
          <cell r="D71">
            <v>4961.25</v>
          </cell>
          <cell r="E71">
            <v>4961.25</v>
          </cell>
        </row>
        <row r="72">
          <cell r="B72" t="str">
            <v>Atap genteng kodok</v>
          </cell>
          <cell r="C72" t="str">
            <v>buah</v>
          </cell>
          <cell r="D72">
            <v>3150</v>
          </cell>
          <cell r="E72">
            <v>3150</v>
          </cell>
        </row>
        <row r="73">
          <cell r="B73" t="str">
            <v>Atap genteng soka</v>
          </cell>
          <cell r="C73" t="str">
            <v>buah</v>
          </cell>
          <cell r="D73">
            <v>2646</v>
          </cell>
          <cell r="E73">
            <v>2646</v>
          </cell>
        </row>
        <row r="74">
          <cell r="B74" t="str">
            <v>Atap metal (biasa / polos)</v>
          </cell>
          <cell r="C74" t="str">
            <v>lembar</v>
          </cell>
          <cell r="D74">
            <v>88300</v>
          </cell>
          <cell r="E74">
            <v>88300</v>
          </cell>
        </row>
        <row r="75">
          <cell r="B75" t="str">
            <v>Atap metal batuan /tekstur</v>
          </cell>
          <cell r="C75" t="str">
            <v>lembar</v>
          </cell>
          <cell r="D75">
            <v>97100</v>
          </cell>
          <cell r="E75">
            <v>97100</v>
          </cell>
        </row>
        <row r="76">
          <cell r="B76" t="str">
            <v>Atap seng fibreglass tebal</v>
          </cell>
          <cell r="C76" t="str">
            <v>lembar</v>
          </cell>
          <cell r="D76">
            <v>158000</v>
          </cell>
          <cell r="E76">
            <v>158000</v>
          </cell>
        </row>
        <row r="77">
          <cell r="B77" t="str">
            <v>Atap seng gelombang bjls 20 uk. 0,914 x 1,829 (m)</v>
          </cell>
          <cell r="C77" t="str">
            <v>lembar</v>
          </cell>
          <cell r="D77">
            <v>74800</v>
          </cell>
          <cell r="E77">
            <v>74800</v>
          </cell>
        </row>
        <row r="78">
          <cell r="B78" t="str">
            <v>Air Release Valve dia 25 mm</v>
          </cell>
          <cell r="C78" t="str">
            <v>Unit</v>
          </cell>
          <cell r="D78">
            <v>2193411.7799999998</v>
          </cell>
          <cell r="E78">
            <v>2193411.7799999998</v>
          </cell>
        </row>
        <row r="79">
          <cell r="B79" t="str">
            <v>Air Release Valve dia 50 mm</v>
          </cell>
          <cell r="C79" t="str">
            <v>Unit</v>
          </cell>
          <cell r="D79">
            <v>2741848.2</v>
          </cell>
          <cell r="E79">
            <v>2741848.2</v>
          </cell>
        </row>
        <row r="80">
          <cell r="B80" t="str">
            <v>Gorong-gorong/Buis beton dia "100</v>
          </cell>
          <cell r="C80" t="str">
            <v>m'</v>
          </cell>
          <cell r="D80">
            <v>1134000</v>
          </cell>
          <cell r="E80">
            <v>1134000</v>
          </cell>
        </row>
        <row r="81">
          <cell r="B81" t="str">
            <v>Gorong-gorong/Buis beton dia "80</v>
          </cell>
          <cell r="C81" t="str">
            <v>m'</v>
          </cell>
          <cell r="D81">
            <v>913500</v>
          </cell>
          <cell r="E81">
            <v>913500</v>
          </cell>
        </row>
        <row r="82">
          <cell r="B82" t="str">
            <v>Gorong-gorong/Buis beton dia "60</v>
          </cell>
          <cell r="C82" t="str">
            <v>m'</v>
          </cell>
          <cell r="D82">
            <v>693000</v>
          </cell>
          <cell r="E82">
            <v>693000</v>
          </cell>
        </row>
        <row r="83">
          <cell r="B83" t="str">
            <v>Bak cuci piring (sink) stainless steel 1 lobang</v>
          </cell>
          <cell r="C83" t="str">
            <v>buah</v>
          </cell>
          <cell r="D83">
            <v>321200</v>
          </cell>
          <cell r="E83">
            <v>321200</v>
          </cell>
        </row>
        <row r="84">
          <cell r="B84" t="str">
            <v>Bak cuci piring (sink) stainless steel 2 lobang</v>
          </cell>
          <cell r="C84" t="str">
            <v>buah</v>
          </cell>
          <cell r="D84">
            <v>644200</v>
          </cell>
          <cell r="E84">
            <v>644200</v>
          </cell>
        </row>
        <row r="85">
          <cell r="B85" t="str">
            <v>Bak mandi fibreglass volume 0,15 m³</v>
          </cell>
          <cell r="C85" t="str">
            <v>buah</v>
          </cell>
          <cell r="D85">
            <v>317700</v>
          </cell>
          <cell r="E85">
            <v>317700</v>
          </cell>
        </row>
        <row r="86">
          <cell r="B86" t="str">
            <v>Bak mandi fibreglass volume 0,30 m³</v>
          </cell>
          <cell r="C86" t="str">
            <v>buah</v>
          </cell>
          <cell r="D86">
            <v>353000</v>
          </cell>
          <cell r="E86">
            <v>353000</v>
          </cell>
        </row>
        <row r="87">
          <cell r="B87" t="str">
            <v>Bak mandi fibreglass volume 1,00 m³</v>
          </cell>
          <cell r="C87" t="str">
            <v>buah</v>
          </cell>
          <cell r="D87">
            <v>494200</v>
          </cell>
          <cell r="E87">
            <v>494200</v>
          </cell>
        </row>
        <row r="88">
          <cell r="B88" t="str">
            <v>Bak mandi jenis bathtub</v>
          </cell>
          <cell r="C88" t="str">
            <v>buah</v>
          </cell>
          <cell r="D88">
            <v>1750000</v>
          </cell>
          <cell r="E88">
            <v>1750000</v>
          </cell>
        </row>
        <row r="89">
          <cell r="B89" t="str">
            <v>Bataco</v>
          </cell>
          <cell r="C89" t="str">
            <v>buah</v>
          </cell>
          <cell r="D89">
            <v>2115</v>
          </cell>
          <cell r="E89">
            <v>2115</v>
          </cell>
        </row>
        <row r="90">
          <cell r="B90" t="str">
            <v>Batacote</v>
          </cell>
          <cell r="C90" t="str">
            <v>m²</v>
          </cell>
          <cell r="D90">
            <v>61800</v>
          </cell>
          <cell r="E90">
            <v>61800</v>
          </cell>
        </row>
        <row r="91">
          <cell r="B91" t="str">
            <v>Batu alam tempel</v>
          </cell>
          <cell r="C91" t="str">
            <v>m²</v>
          </cell>
          <cell r="D91">
            <v>441300</v>
          </cell>
          <cell r="E91">
            <v>441300</v>
          </cell>
        </row>
        <row r="92">
          <cell r="B92" t="str">
            <v>Batu apung</v>
          </cell>
          <cell r="C92" t="str">
            <v>kg</v>
          </cell>
          <cell r="D92">
            <v>2600</v>
          </cell>
          <cell r="E92">
            <v>2600</v>
          </cell>
        </row>
        <row r="93">
          <cell r="B93" t="str">
            <v>Batu bata berongga uk. 5 x 11 x 24 (cm)</v>
          </cell>
          <cell r="C93" t="str">
            <v>buah</v>
          </cell>
          <cell r="D93">
            <v>2600</v>
          </cell>
          <cell r="E93">
            <v>2600</v>
          </cell>
        </row>
        <row r="94">
          <cell r="B94" t="str">
            <v>Batu bata merah (lokal)</v>
          </cell>
          <cell r="C94" t="str">
            <v>bh</v>
          </cell>
          <cell r="D94">
            <v>1800</v>
          </cell>
          <cell r="E94">
            <v>1800</v>
          </cell>
        </row>
        <row r="95">
          <cell r="B95" t="str">
            <v>Batu bata besar ( 8x8x20 ) cm</v>
          </cell>
          <cell r="C95" t="str">
            <v>bh</v>
          </cell>
          <cell r="D95">
            <v>1764</v>
          </cell>
          <cell r="E95">
            <v>1764</v>
          </cell>
        </row>
        <row r="96">
          <cell r="B96" t="str">
            <v>Batu bata kecil ( 5x8x20 ) cm</v>
          </cell>
          <cell r="C96" t="str">
            <v>bh</v>
          </cell>
          <cell r="D96">
            <v>1512</v>
          </cell>
          <cell r="E96">
            <v>1512</v>
          </cell>
        </row>
        <row r="97">
          <cell r="B97" t="str">
            <v>Batu belah 10 - 15 (cm)</v>
          </cell>
          <cell r="C97" t="str">
            <v>m³</v>
          </cell>
          <cell r="D97">
            <v>511000</v>
          </cell>
          <cell r="E97">
            <v>511000</v>
          </cell>
        </row>
        <row r="98">
          <cell r="B98" t="str">
            <v>Batu belah 15 - 20 (cm)</v>
          </cell>
          <cell r="C98" t="str">
            <v>m³</v>
          </cell>
          <cell r="D98">
            <v>401500</v>
          </cell>
          <cell r="E98">
            <v>401500</v>
          </cell>
        </row>
        <row r="99">
          <cell r="B99" t="str">
            <v>Batu gunung (quarry)</v>
          </cell>
          <cell r="C99" t="str">
            <v>m³</v>
          </cell>
          <cell r="D99">
            <v>401500</v>
          </cell>
          <cell r="E99">
            <v>401500</v>
          </cell>
        </row>
        <row r="100">
          <cell r="B100" t="str">
            <v>Batu kali bulat</v>
          </cell>
          <cell r="C100" t="str">
            <v>m³</v>
          </cell>
          <cell r="D100">
            <v>100600</v>
          </cell>
          <cell r="E100">
            <v>100600</v>
          </cell>
        </row>
        <row r="101">
          <cell r="B101" t="str">
            <v>Batu kapur</v>
          </cell>
          <cell r="C101" t="str">
            <v>m³</v>
          </cell>
          <cell r="D101">
            <v>97100</v>
          </cell>
          <cell r="E101">
            <v>97100</v>
          </cell>
        </row>
        <row r="102">
          <cell r="B102" t="str">
            <v>Batu kerikil ayak / batu saring / kerai</v>
          </cell>
          <cell r="C102" t="str">
            <v>m³</v>
          </cell>
          <cell r="D102">
            <v>207400</v>
          </cell>
          <cell r="E102">
            <v>207400</v>
          </cell>
        </row>
        <row r="103">
          <cell r="B103" t="str">
            <v>Batu kerikil dari galian bukit</v>
          </cell>
          <cell r="C103" t="str">
            <v>m³</v>
          </cell>
          <cell r="D103">
            <v>176500</v>
          </cell>
          <cell r="E103">
            <v>176500</v>
          </cell>
        </row>
        <row r="104">
          <cell r="B104" t="str">
            <v>Batu kerikil sungai (dengan pasir)</v>
          </cell>
          <cell r="C104" t="str">
            <v>m³</v>
          </cell>
          <cell r="D104">
            <v>203000</v>
          </cell>
          <cell r="E104">
            <v>203000</v>
          </cell>
        </row>
        <row r="105">
          <cell r="B105" t="str">
            <v>Batu paras</v>
          </cell>
          <cell r="C105" t="str">
            <v>m²</v>
          </cell>
          <cell r="D105">
            <v>441300</v>
          </cell>
          <cell r="E105">
            <v>441300</v>
          </cell>
        </row>
        <row r="106">
          <cell r="B106" t="str">
            <v>Batu kacang</v>
          </cell>
          <cell r="C106" t="str">
            <v>m3</v>
          </cell>
          <cell r="D106">
            <v>416745</v>
          </cell>
          <cell r="E106">
            <v>416745</v>
          </cell>
        </row>
        <row r="107">
          <cell r="B107" t="str">
            <v>Batu pecah 0,5 - 1 (cm)</v>
          </cell>
          <cell r="C107" t="str">
            <v>m³</v>
          </cell>
          <cell r="D107">
            <v>374125</v>
          </cell>
          <cell r="E107">
            <v>374125</v>
          </cell>
        </row>
        <row r="108">
          <cell r="B108" t="str">
            <v>Batu pecah 1 - 2 (cm)</v>
          </cell>
          <cell r="C108" t="str">
            <v>m³</v>
          </cell>
          <cell r="D108">
            <v>446516.67</v>
          </cell>
          <cell r="E108">
            <v>446516.67</v>
          </cell>
        </row>
        <row r="109">
          <cell r="B109" t="str">
            <v>Batu pecah 2 - 3 (cm)</v>
          </cell>
          <cell r="C109" t="str">
            <v>m³</v>
          </cell>
          <cell r="D109">
            <v>455520</v>
          </cell>
          <cell r="E109">
            <v>455520</v>
          </cell>
        </row>
        <row r="110">
          <cell r="B110" t="str">
            <v>Batu pecah 3 - 5 (cm)</v>
          </cell>
          <cell r="C110" t="str">
            <v>m³</v>
          </cell>
          <cell r="D110">
            <v>455520</v>
          </cell>
          <cell r="E110">
            <v>455520</v>
          </cell>
        </row>
        <row r="111">
          <cell r="B111" t="str">
            <v>Batu pecah 5 - 7 (cm)</v>
          </cell>
          <cell r="C111" t="str">
            <v>m³</v>
          </cell>
          <cell r="D111">
            <v>601397.36</v>
          </cell>
          <cell r="E111">
            <v>601397.36</v>
          </cell>
        </row>
        <row r="112">
          <cell r="B112" t="str">
            <v>Batu pecah 7 - 10 (cm)</v>
          </cell>
          <cell r="C112" t="str">
            <v>m³</v>
          </cell>
          <cell r="D112">
            <v>291200</v>
          </cell>
          <cell r="E112">
            <v>291200</v>
          </cell>
        </row>
        <row r="113">
          <cell r="B113" t="str">
            <v>Batu teraso</v>
          </cell>
          <cell r="C113" t="str">
            <v>m³</v>
          </cell>
          <cell r="D113">
            <v>185300</v>
          </cell>
          <cell r="E113">
            <v>185300</v>
          </cell>
        </row>
        <row r="114">
          <cell r="B114" t="str">
            <v>Baut / mur baja</v>
          </cell>
          <cell r="C114" t="str">
            <v>buah</v>
          </cell>
          <cell r="D114">
            <v>10600</v>
          </cell>
          <cell r="E114">
            <v>10600</v>
          </cell>
        </row>
        <row r="115">
          <cell r="B115" t="str">
            <v>Baut klem</v>
          </cell>
          <cell r="C115" t="str">
            <v>buah</v>
          </cell>
          <cell r="D115">
            <v>7900</v>
          </cell>
          <cell r="E115">
            <v>7900</v>
          </cell>
        </row>
        <row r="116">
          <cell r="B116" t="str">
            <v>Bensin premium</v>
          </cell>
          <cell r="C116" t="str">
            <v>liter</v>
          </cell>
          <cell r="D116">
            <v>5670</v>
          </cell>
          <cell r="E116">
            <v>5670</v>
          </cell>
        </row>
        <row r="117">
          <cell r="B117" t="str">
            <v>Besi baja profil IWF</v>
          </cell>
          <cell r="C117" t="str">
            <v>kg</v>
          </cell>
          <cell r="D117">
            <v>44100</v>
          </cell>
          <cell r="E117">
            <v>44100</v>
          </cell>
        </row>
        <row r="118">
          <cell r="B118" t="str">
            <v>Besi baut kuda-kuda</v>
          </cell>
          <cell r="C118" t="str">
            <v>kg</v>
          </cell>
          <cell r="D118">
            <v>19800</v>
          </cell>
          <cell r="E118">
            <v>19800</v>
          </cell>
        </row>
        <row r="119">
          <cell r="B119" t="str">
            <v>Besi beton</v>
          </cell>
          <cell r="C119" t="str">
            <v>kg</v>
          </cell>
          <cell r="D119">
            <v>19656</v>
          </cell>
          <cell r="E119">
            <v>19656</v>
          </cell>
        </row>
        <row r="120">
          <cell r="B120" t="str">
            <v>Besi jaring kawat baja</v>
          </cell>
          <cell r="C120" t="str">
            <v>kg</v>
          </cell>
          <cell r="D120">
            <v>19400</v>
          </cell>
          <cell r="E120">
            <v>19400</v>
          </cell>
        </row>
        <row r="121">
          <cell r="B121" t="str">
            <v>Besi prestressed polos</v>
          </cell>
          <cell r="C121" t="str">
            <v>kg</v>
          </cell>
          <cell r="D121">
            <v>22900</v>
          </cell>
          <cell r="E121">
            <v>22900</v>
          </cell>
        </row>
        <row r="122">
          <cell r="B122" t="str">
            <v>Besi siku</v>
          </cell>
          <cell r="C122" t="str">
            <v>6 m'</v>
          </cell>
          <cell r="D122">
            <v>315945</v>
          </cell>
          <cell r="E122">
            <v>315945</v>
          </cell>
        </row>
        <row r="123">
          <cell r="B123" t="str">
            <v>Besi strip</v>
          </cell>
          <cell r="C123" t="str">
            <v>kg</v>
          </cell>
          <cell r="D123">
            <v>53550</v>
          </cell>
          <cell r="E123">
            <v>53550</v>
          </cell>
        </row>
        <row r="124">
          <cell r="B124" t="str">
            <v>Kawat</v>
          </cell>
          <cell r="C124" t="str">
            <v>kg</v>
          </cell>
          <cell r="D124">
            <v>23730</v>
          </cell>
          <cell r="E124">
            <v>23730</v>
          </cell>
        </row>
        <row r="125">
          <cell r="B125" t="str">
            <v>Plat kembang 3 mm</v>
          </cell>
          <cell r="C125" t="str">
            <v>m2</v>
          </cell>
          <cell r="D125">
            <v>200037.6</v>
          </cell>
          <cell r="E125">
            <v>200037.6</v>
          </cell>
        </row>
        <row r="126">
          <cell r="B126" t="str">
            <v>Besi strip 2 x 3</v>
          </cell>
          <cell r="C126" t="str">
            <v>m'</v>
          </cell>
          <cell r="D126">
            <v>29100</v>
          </cell>
          <cell r="E126">
            <v>29100</v>
          </cell>
        </row>
        <row r="127">
          <cell r="B127" t="str">
            <v>Bend C1 dia 200 mm x 45 ff</v>
          </cell>
          <cell r="C127" t="str">
            <v>m'</v>
          </cell>
          <cell r="D127">
            <v>651622.86</v>
          </cell>
          <cell r="E127">
            <v>651622.86</v>
          </cell>
        </row>
        <row r="128">
          <cell r="B128" t="str">
            <v>Bend C1 dia 200 mm x 90 ff</v>
          </cell>
          <cell r="C128" t="str">
            <v>m'</v>
          </cell>
          <cell r="D128">
            <v>1645142.94</v>
          </cell>
          <cell r="E128">
            <v>1645142.94</v>
          </cell>
        </row>
        <row r="129">
          <cell r="B129" t="str">
            <v>Bend PVC 100 x 90</v>
          </cell>
          <cell r="C129" t="str">
            <v>Unit</v>
          </cell>
          <cell r="D129">
            <v>626618.16</v>
          </cell>
          <cell r="E129">
            <v>626618.16</v>
          </cell>
        </row>
        <row r="130">
          <cell r="B130" t="str">
            <v>Bend PVC 150 x 90</v>
          </cell>
          <cell r="C130" t="str">
            <v>Unit</v>
          </cell>
          <cell r="D130">
            <v>822487.68</v>
          </cell>
          <cell r="E130">
            <v>822487.68</v>
          </cell>
        </row>
        <row r="131">
          <cell r="B131" t="str">
            <v>Bend PVC 50 x 90</v>
          </cell>
          <cell r="C131" t="str">
            <v>Unit</v>
          </cell>
          <cell r="D131">
            <v>182701.26</v>
          </cell>
          <cell r="E131">
            <v>182701.26</v>
          </cell>
        </row>
        <row r="132">
          <cell r="B132" t="str">
            <v>Bend PVC 80 x 90</v>
          </cell>
          <cell r="C132" t="str">
            <v>Unit</v>
          </cell>
          <cell r="D132">
            <v>274051.26</v>
          </cell>
          <cell r="E132">
            <v>274051.26</v>
          </cell>
        </row>
        <row r="133">
          <cell r="B133" t="str">
            <v>Besi teralis ø 6 mm - 10 mm</v>
          </cell>
          <cell r="C133" t="str">
            <v>m'</v>
          </cell>
          <cell r="D133">
            <v>29100</v>
          </cell>
          <cell r="E133">
            <v>29100</v>
          </cell>
        </row>
        <row r="134">
          <cell r="B134" t="str">
            <v>Bilik bambu kering, uk. 1,5 x 4 (m)</v>
          </cell>
          <cell r="C134" t="str">
            <v>buah</v>
          </cell>
          <cell r="D134">
            <v>61800</v>
          </cell>
          <cell r="E134">
            <v>61800</v>
          </cell>
        </row>
        <row r="135">
          <cell r="B135" t="str">
            <v>Bliksem spit penangkal petir</v>
          </cell>
          <cell r="C135" t="str">
            <v>buah</v>
          </cell>
          <cell r="D135">
            <v>101500</v>
          </cell>
          <cell r="E135">
            <v>101500</v>
          </cell>
        </row>
        <row r="136">
          <cell r="B136" t="str">
            <v xml:space="preserve">Bondbeam uk. 40 x 20 x 20 (cm) </v>
          </cell>
          <cell r="C136" t="str">
            <v>buah</v>
          </cell>
          <cell r="D136">
            <v>64400</v>
          </cell>
          <cell r="E136">
            <v>64400</v>
          </cell>
        </row>
        <row r="137">
          <cell r="B137" t="str">
            <v>Box sekering, 1 goup / phase</v>
          </cell>
          <cell r="C137" t="str">
            <v>buah</v>
          </cell>
          <cell r="D137">
            <v>59800</v>
          </cell>
          <cell r="E137">
            <v>59800</v>
          </cell>
        </row>
        <row r="138">
          <cell r="B138" t="str">
            <v>Box sekering, 2 goup / phase</v>
          </cell>
          <cell r="C138" t="str">
            <v>buah</v>
          </cell>
          <cell r="D138">
            <v>72300</v>
          </cell>
          <cell r="E138">
            <v>72300</v>
          </cell>
        </row>
        <row r="139">
          <cell r="B139" t="str">
            <v>Box sekering, 3 goup / phase</v>
          </cell>
          <cell r="C139" t="str">
            <v>buah</v>
          </cell>
          <cell r="D139">
            <v>82300</v>
          </cell>
          <cell r="E139">
            <v>82300</v>
          </cell>
        </row>
        <row r="140">
          <cell r="B140" t="str">
            <v>Box sekering</v>
          </cell>
          <cell r="C140" t="str">
            <v>set</v>
          </cell>
          <cell r="D140">
            <v>56700</v>
          </cell>
          <cell r="E140">
            <v>56700</v>
          </cell>
        </row>
        <row r="141">
          <cell r="B141" t="str">
            <v>Box Water Meter</v>
          </cell>
          <cell r="C141" t="str">
            <v>bh</v>
          </cell>
          <cell r="D141">
            <v>44100</v>
          </cell>
          <cell r="E141">
            <v>44100</v>
          </cell>
        </row>
        <row r="142">
          <cell r="B142" t="str">
            <v>Bola lam pijar</v>
          </cell>
          <cell r="C142" t="str">
            <v>bh</v>
          </cell>
          <cell r="D142">
            <v>6300</v>
          </cell>
          <cell r="E142">
            <v>6300</v>
          </cell>
        </row>
        <row r="143">
          <cell r="B143" t="str">
            <v>Bola lampu TL.20 W</v>
          </cell>
          <cell r="C143" t="str">
            <v>bh</v>
          </cell>
          <cell r="D143">
            <v>28350</v>
          </cell>
          <cell r="E143">
            <v>28350</v>
          </cell>
        </row>
        <row r="144">
          <cell r="B144" t="str">
            <v xml:space="preserve">Bubungan atap (nok) alumunium standar 40 cm, swg. 22 </v>
          </cell>
          <cell r="C144" t="str">
            <v>m²</v>
          </cell>
          <cell r="D144">
            <v>85600</v>
          </cell>
          <cell r="E144">
            <v>85600</v>
          </cell>
        </row>
        <row r="145">
          <cell r="B145" t="str">
            <v xml:space="preserve">Bubungan atap (nok) asbes sepasang </v>
          </cell>
          <cell r="C145" t="str">
            <v>lembar</v>
          </cell>
          <cell r="D145">
            <v>61800</v>
          </cell>
          <cell r="E145">
            <v>61800</v>
          </cell>
        </row>
        <row r="146">
          <cell r="B146" t="str">
            <v>Bubungan atap (nok) genteng (standar KIA)</v>
          </cell>
          <cell r="C146" t="str">
            <v>buah</v>
          </cell>
          <cell r="D146">
            <v>43200</v>
          </cell>
          <cell r="E146">
            <v>43200</v>
          </cell>
        </row>
        <row r="147">
          <cell r="B147" t="str">
            <v>Bubungan atap (nok) genteng beton</v>
          </cell>
          <cell r="C147" t="str">
            <v>buah</v>
          </cell>
          <cell r="D147">
            <v>5433.75</v>
          </cell>
          <cell r="E147">
            <v>5433.75</v>
          </cell>
        </row>
        <row r="148">
          <cell r="B148" t="str">
            <v>Bubungan atap (nok) genteng kodok</v>
          </cell>
          <cell r="C148" t="str">
            <v>buah</v>
          </cell>
          <cell r="D148">
            <v>7200</v>
          </cell>
          <cell r="E148">
            <v>7200</v>
          </cell>
        </row>
        <row r="149">
          <cell r="B149" t="str">
            <v>Bubungan atap (nok) genteng soka</v>
          </cell>
          <cell r="C149" t="str">
            <v>buah</v>
          </cell>
          <cell r="D149">
            <v>4680</v>
          </cell>
          <cell r="E149">
            <v>4680</v>
          </cell>
        </row>
        <row r="150">
          <cell r="B150" t="str">
            <v>Bubungan atap (nok) metal (biasa / polos)</v>
          </cell>
          <cell r="C150" t="str">
            <v>buah</v>
          </cell>
          <cell r="D150">
            <v>37100</v>
          </cell>
          <cell r="E150">
            <v>37100</v>
          </cell>
        </row>
        <row r="151">
          <cell r="B151" t="str">
            <v>Bubungan atap (nok) metal (standar Rainbow)</v>
          </cell>
          <cell r="C151" t="str">
            <v>m'</v>
          </cell>
          <cell r="D151">
            <v>69700</v>
          </cell>
          <cell r="E151">
            <v>69700</v>
          </cell>
        </row>
        <row r="152">
          <cell r="B152" t="str">
            <v>Buis beton bertulang ø 45 cm - 75 cm</v>
          </cell>
          <cell r="C152" t="str">
            <v>buah</v>
          </cell>
          <cell r="D152">
            <v>494200</v>
          </cell>
          <cell r="E152">
            <v>494200</v>
          </cell>
        </row>
        <row r="153">
          <cell r="B153" t="str">
            <v>Buis beton bertulang ø 75 cm - 120 cm</v>
          </cell>
          <cell r="C153" t="str">
            <v>buah</v>
          </cell>
          <cell r="D153">
            <v>1147300</v>
          </cell>
          <cell r="E153">
            <v>1147300</v>
          </cell>
        </row>
        <row r="154">
          <cell r="B154" t="str">
            <v>Buis beton tak bertulang ø 100 cm</v>
          </cell>
          <cell r="C154" t="str">
            <v>buah</v>
          </cell>
          <cell r="D154">
            <v>460700</v>
          </cell>
          <cell r="E154">
            <v>460700</v>
          </cell>
        </row>
        <row r="155">
          <cell r="B155" t="str">
            <v>Buis beton tak bertulang ø 60 cm</v>
          </cell>
          <cell r="C155" t="str">
            <v>buah</v>
          </cell>
          <cell r="D155">
            <v>105000</v>
          </cell>
          <cell r="E155">
            <v>105000</v>
          </cell>
        </row>
        <row r="156">
          <cell r="B156" t="str">
            <v>Buis beton tak bertulang ø 80 cm</v>
          </cell>
          <cell r="C156" t="str">
            <v>buah</v>
          </cell>
          <cell r="D156">
            <v>460700</v>
          </cell>
          <cell r="E156">
            <v>460700</v>
          </cell>
        </row>
        <row r="157">
          <cell r="B157" t="str">
            <v>Cat besi merk "GENDANG"</v>
          </cell>
          <cell r="C157" t="str">
            <v>kg</v>
          </cell>
          <cell r="D157">
            <v>22176</v>
          </cell>
          <cell r="E157">
            <v>22176</v>
          </cell>
        </row>
        <row r="158">
          <cell r="B158" t="str">
            <v>Cat besi merk "PLATONE"</v>
          </cell>
          <cell r="C158" t="str">
            <v>kg</v>
          </cell>
          <cell r="D158">
            <v>50793.75</v>
          </cell>
          <cell r="E158">
            <v>50793.75</v>
          </cell>
        </row>
        <row r="159">
          <cell r="B159" t="str">
            <v>Cat dasar</v>
          </cell>
          <cell r="C159" t="str">
            <v>kg</v>
          </cell>
          <cell r="D159">
            <v>32700</v>
          </cell>
          <cell r="E159">
            <v>32700</v>
          </cell>
        </row>
        <row r="160">
          <cell r="B160" t="str">
            <v>Cat genteng</v>
          </cell>
          <cell r="C160" t="str">
            <v>kg</v>
          </cell>
          <cell r="D160">
            <v>30693.599999999999</v>
          </cell>
          <cell r="E160">
            <v>30693.599999999999</v>
          </cell>
        </row>
        <row r="161">
          <cell r="B161" t="str">
            <v>Cat jalan</v>
          </cell>
          <cell r="C161" t="str">
            <v>kg</v>
          </cell>
          <cell r="D161">
            <v>63800</v>
          </cell>
          <cell r="E161">
            <v>63800</v>
          </cell>
        </row>
        <row r="162">
          <cell r="B162" t="str">
            <v>Cat jembatan</v>
          </cell>
          <cell r="C162" t="str">
            <v>kg</v>
          </cell>
          <cell r="D162">
            <v>64400</v>
          </cell>
          <cell r="E162">
            <v>64400</v>
          </cell>
        </row>
        <row r="163">
          <cell r="B163" t="str">
            <v>Cat menie</v>
          </cell>
          <cell r="C163" t="str">
            <v>kg</v>
          </cell>
          <cell r="D163">
            <v>18405</v>
          </cell>
          <cell r="E163">
            <v>18405</v>
          </cell>
        </row>
        <row r="164">
          <cell r="B164" t="str">
            <v>Cat kayu</v>
          </cell>
          <cell r="C164" t="str">
            <v>kg</v>
          </cell>
          <cell r="D164">
            <v>42840</v>
          </cell>
          <cell r="E164">
            <v>42840</v>
          </cell>
        </row>
        <row r="165">
          <cell r="B165" t="str">
            <v>Cat minyak</v>
          </cell>
          <cell r="C165" t="str">
            <v>kg</v>
          </cell>
          <cell r="D165">
            <v>59062.5</v>
          </cell>
          <cell r="E165">
            <v>59062.5</v>
          </cell>
        </row>
        <row r="166">
          <cell r="B166" t="str">
            <v>Cat tembok</v>
          </cell>
          <cell r="C166" t="str">
            <v>kg</v>
          </cell>
          <cell r="D166">
            <v>24680</v>
          </cell>
          <cell r="E166">
            <v>24680</v>
          </cell>
        </row>
        <row r="167">
          <cell r="B167" t="str">
            <v>Cat tembok merk "GALATEK"</v>
          </cell>
          <cell r="C167" t="str">
            <v>kg</v>
          </cell>
          <cell r="D167">
            <v>9648.9500000000007</v>
          </cell>
          <cell r="E167">
            <v>9648.9500000000007</v>
          </cell>
        </row>
        <row r="168">
          <cell r="B168" t="str">
            <v>Cat tembok merk "KENLUX"</v>
          </cell>
          <cell r="C168" t="str">
            <v>kg</v>
          </cell>
          <cell r="D168">
            <v>16443</v>
          </cell>
          <cell r="E168">
            <v>16443</v>
          </cell>
        </row>
        <row r="169">
          <cell r="B169" t="str">
            <v>Cat tembok merk "PLATON"</v>
          </cell>
          <cell r="C169" t="str">
            <v>kg</v>
          </cell>
          <cell r="D169">
            <v>15172.5</v>
          </cell>
          <cell r="E169">
            <v>15172.5</v>
          </cell>
        </row>
        <row r="170">
          <cell r="B170" t="str">
            <v>Cat tembok merk "SUPERKEN"</v>
          </cell>
          <cell r="C170" t="str">
            <v>kg</v>
          </cell>
          <cell r="D170">
            <v>12810</v>
          </cell>
          <cell r="E170">
            <v>12810</v>
          </cell>
        </row>
        <row r="171">
          <cell r="B171" t="str">
            <v>Cat vernis</v>
          </cell>
          <cell r="C171" t="str">
            <v>kg</v>
          </cell>
          <cell r="D171">
            <v>19500</v>
          </cell>
          <cell r="E171">
            <v>19500</v>
          </cell>
        </row>
        <row r="172">
          <cell r="B172" t="str">
            <v>Closed duduk (lokal)</v>
          </cell>
          <cell r="C172" t="str">
            <v>buah</v>
          </cell>
          <cell r="D172">
            <v>2047400</v>
          </cell>
          <cell r="E172">
            <v>2047400</v>
          </cell>
        </row>
        <row r="173">
          <cell r="B173" t="str">
            <v>Closed jongkok keramik</v>
          </cell>
          <cell r="C173" t="str">
            <v>buah</v>
          </cell>
          <cell r="D173">
            <v>181400</v>
          </cell>
          <cell r="E173">
            <v>181400</v>
          </cell>
        </row>
        <row r="174">
          <cell r="B174" t="str">
            <v>Closed jongkok porcelaint (lokal)</v>
          </cell>
          <cell r="C174" t="str">
            <v>buah</v>
          </cell>
          <cell r="D174">
            <v>200300</v>
          </cell>
          <cell r="E174">
            <v>200300</v>
          </cell>
        </row>
        <row r="175">
          <cell r="B175" t="str">
            <v>Closed jongkok terasso</v>
          </cell>
          <cell r="C175" t="str">
            <v>buah</v>
          </cell>
          <cell r="D175">
            <v>238300</v>
          </cell>
          <cell r="E175">
            <v>238300</v>
          </cell>
        </row>
        <row r="176">
          <cell r="B176" t="str">
            <v>Closed jongkok keramik leher lurus</v>
          </cell>
          <cell r="C176" t="str">
            <v>bh</v>
          </cell>
          <cell r="D176">
            <v>441000</v>
          </cell>
          <cell r="E176">
            <v>441000</v>
          </cell>
        </row>
        <row r="177">
          <cell r="B177" t="str">
            <v>Closed jongkok keramik leher bengkok</v>
          </cell>
          <cell r="C177" t="str">
            <v>bh</v>
          </cell>
          <cell r="D177">
            <v>143850</v>
          </cell>
          <cell r="E177">
            <v>143850</v>
          </cell>
        </row>
        <row r="178">
          <cell r="B178" t="str">
            <v>Closed duduk keramik uk. Besar</v>
          </cell>
          <cell r="C178" t="str">
            <v>bh</v>
          </cell>
          <cell r="D178">
            <v>1554000</v>
          </cell>
          <cell r="E178">
            <v>1554000</v>
          </cell>
        </row>
        <row r="179">
          <cell r="B179" t="str">
            <v>Closed duduk keramik uk. Kecil</v>
          </cell>
          <cell r="C179" t="str">
            <v>bh</v>
          </cell>
          <cell r="D179">
            <v>383250</v>
          </cell>
          <cell r="E179">
            <v>383250</v>
          </cell>
        </row>
        <row r="180">
          <cell r="B180" t="str">
            <v>Clamp saddle C1 dia 50 x 13 mm</v>
          </cell>
          <cell r="C180" t="str">
            <v>unit</v>
          </cell>
          <cell r="D180">
            <v>91183.679999999993</v>
          </cell>
          <cell r="E180">
            <v>91183.679999999993</v>
          </cell>
        </row>
        <row r="181">
          <cell r="B181" t="str">
            <v>Clamp saddle C1 dia 80 x 13 mm</v>
          </cell>
          <cell r="C181" t="str">
            <v>unit</v>
          </cell>
          <cell r="D181">
            <v>104519.52</v>
          </cell>
          <cell r="E181">
            <v>104519.52</v>
          </cell>
        </row>
        <row r="182">
          <cell r="B182" t="str">
            <v>Clamp saddle PVC dia 50 x 13 mm</v>
          </cell>
          <cell r="C182" t="str">
            <v>unit</v>
          </cell>
          <cell r="D182">
            <v>173365.92</v>
          </cell>
          <cell r="E182">
            <v>173365.92</v>
          </cell>
        </row>
        <row r="183">
          <cell r="B183" t="str">
            <v>Clamp saddle PVC dia 80 x 13 mm</v>
          </cell>
          <cell r="C183" t="str">
            <v>unit</v>
          </cell>
          <cell r="D183">
            <v>207539.64</v>
          </cell>
          <cell r="E183">
            <v>207539.64</v>
          </cell>
        </row>
        <row r="184">
          <cell r="B184" t="str">
            <v>Conblock (C.B. 10)</v>
          </cell>
          <cell r="C184" t="str">
            <v>buah</v>
          </cell>
          <cell r="D184">
            <v>69700</v>
          </cell>
          <cell r="E184">
            <v>69700</v>
          </cell>
        </row>
        <row r="185">
          <cell r="B185" t="str">
            <v>Conblock (C.B. 15)</v>
          </cell>
          <cell r="C185" t="str">
            <v>buah</v>
          </cell>
          <cell r="D185">
            <v>57400</v>
          </cell>
          <cell r="E185">
            <v>57400</v>
          </cell>
        </row>
        <row r="186">
          <cell r="B186" t="str">
            <v>Conblock tebal 6 cm</v>
          </cell>
          <cell r="C186" t="str">
            <v>m²</v>
          </cell>
          <cell r="D186">
            <v>2016</v>
          </cell>
          <cell r="E186">
            <v>2016</v>
          </cell>
        </row>
        <row r="187">
          <cell r="B187" t="str">
            <v>Conblock tebal 8 cm</v>
          </cell>
          <cell r="C187" t="str">
            <v>m²</v>
          </cell>
          <cell r="D187">
            <v>2268</v>
          </cell>
          <cell r="E187">
            <v>2268</v>
          </cell>
        </row>
        <row r="188">
          <cell r="B188" t="str">
            <v>Dempul</v>
          </cell>
          <cell r="C188" t="str">
            <v>kg</v>
          </cell>
          <cell r="D188">
            <v>34177.5</v>
          </cell>
          <cell r="E188">
            <v>34177.5</v>
          </cell>
        </row>
        <row r="189">
          <cell r="B189" t="str">
            <v xml:space="preserve">Kapur tembok </v>
          </cell>
          <cell r="C189" t="str">
            <v>kg</v>
          </cell>
          <cell r="D189">
            <v>6510</v>
          </cell>
          <cell r="E189">
            <v>6510</v>
          </cell>
        </row>
        <row r="190">
          <cell r="B190" t="str">
            <v>Minyak cat</v>
          </cell>
          <cell r="C190" t="str">
            <v>Ltr</v>
          </cell>
          <cell r="D190">
            <v>6414.55</v>
          </cell>
          <cell r="E190">
            <v>6414.55</v>
          </cell>
        </row>
        <row r="191">
          <cell r="B191" t="str">
            <v>Plamur tembok</v>
          </cell>
          <cell r="C191" t="str">
            <v>kg</v>
          </cell>
          <cell r="D191">
            <v>11263</v>
          </cell>
          <cell r="E191">
            <v>11263</v>
          </cell>
        </row>
        <row r="192">
          <cell r="B192" t="str">
            <v>Dempul Gypsum</v>
          </cell>
          <cell r="C192" t="str">
            <v>kg</v>
          </cell>
          <cell r="D192">
            <v>5040</v>
          </cell>
          <cell r="E192">
            <v>5040</v>
          </cell>
        </row>
        <row r="193">
          <cell r="B193" t="str">
            <v>Dempul jadi</v>
          </cell>
          <cell r="C193" t="str">
            <v>kg</v>
          </cell>
          <cell r="D193">
            <v>146500</v>
          </cell>
          <cell r="E193">
            <v>146500</v>
          </cell>
        </row>
        <row r="194">
          <cell r="B194" t="str">
            <v>Dina bolt / ramset</v>
          </cell>
          <cell r="C194" t="str">
            <v>buah</v>
          </cell>
          <cell r="D194">
            <v>2200</v>
          </cell>
          <cell r="E194">
            <v>2200</v>
          </cell>
        </row>
        <row r="195">
          <cell r="B195" t="str">
            <v>Door stop</v>
          </cell>
          <cell r="C195" t="str">
            <v>buah</v>
          </cell>
          <cell r="D195">
            <v>88300</v>
          </cell>
          <cell r="E195">
            <v>88300</v>
          </cell>
        </row>
        <row r="196">
          <cell r="B196" t="str">
            <v>Dop PVC ø 50 mm</v>
          </cell>
          <cell r="C196" t="str">
            <v>unit</v>
          </cell>
          <cell r="D196">
            <v>41674.5</v>
          </cell>
          <cell r="E196">
            <v>41674.5</v>
          </cell>
        </row>
        <row r="197">
          <cell r="B197" t="str">
            <v>Dop Gip dia 13 mm</v>
          </cell>
          <cell r="C197" t="str">
            <v>unit</v>
          </cell>
          <cell r="D197">
            <v>5000.9399999999996</v>
          </cell>
          <cell r="E197">
            <v>5000.9399999999996</v>
          </cell>
        </row>
        <row r="198">
          <cell r="B198" t="str">
            <v>Dop PVC dia 100 mm</v>
          </cell>
          <cell r="C198" t="str">
            <v>unit</v>
          </cell>
          <cell r="D198">
            <v>127857.24</v>
          </cell>
          <cell r="E198">
            <v>127857.24</v>
          </cell>
        </row>
        <row r="199">
          <cell r="B199" t="str">
            <v>Dop PVC dia 80 mm</v>
          </cell>
          <cell r="C199" t="str">
            <v>unit</v>
          </cell>
          <cell r="D199">
            <v>74347.56</v>
          </cell>
          <cell r="E199">
            <v>74347.56</v>
          </cell>
        </row>
        <row r="200">
          <cell r="B200" t="str">
            <v>Double Nipple Gip dia 13 mm</v>
          </cell>
          <cell r="C200" t="str">
            <v>bh</v>
          </cell>
          <cell r="D200">
            <v>25200</v>
          </cell>
          <cell r="E200">
            <v>25200</v>
          </cell>
        </row>
        <row r="201">
          <cell r="B201" t="str">
            <v>Daun pintu fiber wc polos</v>
          </cell>
          <cell r="C201" t="str">
            <v>bh</v>
          </cell>
          <cell r="D201">
            <v>441000</v>
          </cell>
          <cell r="E201">
            <v>441000</v>
          </cell>
        </row>
        <row r="202">
          <cell r="B202" t="str">
            <v>Daun pintu fiber wc corak</v>
          </cell>
          <cell r="C202" t="str">
            <v>bh</v>
          </cell>
          <cell r="D202">
            <v>630000</v>
          </cell>
          <cell r="E202">
            <v>630000</v>
          </cell>
        </row>
        <row r="203">
          <cell r="B203" t="str">
            <v>Elastromer bearing pad</v>
          </cell>
          <cell r="C203" t="str">
            <v>-</v>
          </cell>
          <cell r="D203">
            <v>1420800</v>
          </cell>
          <cell r="E203">
            <v>1420800</v>
          </cell>
        </row>
        <row r="204">
          <cell r="B204" t="str">
            <v>Elektroda penghantar bumi untuk penangkal petir</v>
          </cell>
          <cell r="C204" t="str">
            <v>buah</v>
          </cell>
          <cell r="D204">
            <v>325500</v>
          </cell>
          <cell r="E204">
            <v>325500</v>
          </cell>
        </row>
        <row r="205">
          <cell r="B205" t="str">
            <v xml:space="preserve">Engsel pintu / jendela 3" </v>
          </cell>
          <cell r="C205" t="str">
            <v>buah</v>
          </cell>
          <cell r="D205">
            <v>15000</v>
          </cell>
          <cell r="E205">
            <v>15000</v>
          </cell>
        </row>
        <row r="206">
          <cell r="B206" t="str">
            <v xml:space="preserve">Engsel pintu / jendela 4" </v>
          </cell>
          <cell r="C206" t="str">
            <v>buah</v>
          </cell>
          <cell r="D206">
            <v>20300</v>
          </cell>
          <cell r="E206">
            <v>20300</v>
          </cell>
        </row>
        <row r="207">
          <cell r="B207" t="str">
            <v xml:space="preserve">Engsel pintu / jendela 5" </v>
          </cell>
          <cell r="C207" t="str">
            <v>buah</v>
          </cell>
          <cell r="D207">
            <v>28200</v>
          </cell>
          <cell r="E207">
            <v>28200</v>
          </cell>
        </row>
        <row r="208">
          <cell r="B208" t="str">
            <v>Engsel pintu kaca 10 mm</v>
          </cell>
          <cell r="C208" t="str">
            <v>set</v>
          </cell>
          <cell r="D208">
            <v>10600</v>
          </cell>
          <cell r="E208">
            <v>10600</v>
          </cell>
        </row>
        <row r="209">
          <cell r="B209" t="str">
            <v>Engsel putar jendela / ventilasi</v>
          </cell>
          <cell r="C209" t="str">
            <v>buah</v>
          </cell>
          <cell r="D209">
            <v>90000</v>
          </cell>
          <cell r="E209">
            <v>90000</v>
          </cell>
        </row>
        <row r="210">
          <cell r="B210" t="str">
            <v>Engsel kuningan untuk pintu</v>
          </cell>
          <cell r="C210" t="str">
            <v>2 bh</v>
          </cell>
          <cell r="D210">
            <v>20370</v>
          </cell>
          <cell r="E210">
            <v>20370</v>
          </cell>
        </row>
        <row r="211">
          <cell r="B211" t="str">
            <v>Engsel kuningan untuk jendela</v>
          </cell>
          <cell r="C211" t="str">
            <v>2 bh</v>
          </cell>
          <cell r="D211">
            <v>14553</v>
          </cell>
          <cell r="E211">
            <v>14553</v>
          </cell>
        </row>
        <row r="212">
          <cell r="B212" t="str">
            <v>Eternit asbes uk. 1 x 1 (m), tebal 4 mm</v>
          </cell>
          <cell r="C212" t="str">
            <v>m²</v>
          </cell>
          <cell r="D212">
            <v>32700</v>
          </cell>
          <cell r="E212">
            <v>32700</v>
          </cell>
        </row>
        <row r="213">
          <cell r="B213" t="str">
            <v>Eternit asbes uk. 1 x 1 (m), tebal 5 mm</v>
          </cell>
          <cell r="C213" t="str">
            <v>m²</v>
          </cell>
          <cell r="D213">
            <v>34400</v>
          </cell>
          <cell r="E213">
            <v>34400</v>
          </cell>
        </row>
        <row r="214">
          <cell r="B214" t="str">
            <v>Eternit asbes uk. 1 x 1 (m), tebal 6 mm</v>
          </cell>
          <cell r="C214" t="str">
            <v>m²</v>
          </cell>
          <cell r="D214">
            <v>37100</v>
          </cell>
          <cell r="E214">
            <v>37100</v>
          </cell>
        </row>
        <row r="215">
          <cell r="B215" t="str">
            <v>Enternit jaber Ment</v>
          </cell>
          <cell r="C215" t="str">
            <v>m2</v>
          </cell>
          <cell r="D215">
            <v>22680</v>
          </cell>
          <cell r="E215">
            <v>22680</v>
          </cell>
        </row>
        <row r="216">
          <cell r="B216" t="str">
            <v>Exspanoglet</v>
          </cell>
          <cell r="C216" t="str">
            <v>lembar</v>
          </cell>
          <cell r="D216">
            <v>75000</v>
          </cell>
          <cell r="E216">
            <v>75000</v>
          </cell>
        </row>
        <row r="217">
          <cell r="B217" t="str">
            <v>Fibre Plat 1,20 x 2,40 (m), tebal 4 mm</v>
          </cell>
          <cell r="C217" t="str">
            <v>m²</v>
          </cell>
          <cell r="D217">
            <v>84500</v>
          </cell>
          <cell r="E217">
            <v>84500</v>
          </cell>
        </row>
        <row r="218">
          <cell r="B218" t="str">
            <v>Fibre Plat 1,20 x 2,40 (m), tebal 6 mm</v>
          </cell>
          <cell r="C218" t="str">
            <v>m²</v>
          </cell>
          <cell r="D218">
            <v>152100</v>
          </cell>
          <cell r="E218">
            <v>152100</v>
          </cell>
        </row>
        <row r="219">
          <cell r="B219" t="str">
            <v>Fibre Plat 1,20 x 2,40 (m), tebal 8 mm</v>
          </cell>
          <cell r="C219" t="str">
            <v>m²</v>
          </cell>
          <cell r="D219">
            <v>200900</v>
          </cell>
          <cell r="E219">
            <v>200900</v>
          </cell>
        </row>
        <row r="220">
          <cell r="B220" t="str">
            <v xml:space="preserve">Floor drain </v>
          </cell>
          <cell r="C220" t="str">
            <v>buah</v>
          </cell>
          <cell r="D220">
            <v>48400</v>
          </cell>
          <cell r="E220">
            <v>48400</v>
          </cell>
        </row>
        <row r="221">
          <cell r="B221" t="str">
            <v>Formica 4" x 8"</v>
          </cell>
          <cell r="C221" t="str">
            <v>lbr</v>
          </cell>
          <cell r="D221">
            <v>79400</v>
          </cell>
          <cell r="E221">
            <v>79400</v>
          </cell>
        </row>
        <row r="222">
          <cell r="B222" t="str">
            <v>Flange C1 dia 200 mm</v>
          </cell>
          <cell r="C222" t="str">
            <v>bh</v>
          </cell>
          <cell r="D222">
            <v>136025.82</v>
          </cell>
          <cell r="E222">
            <v>136025.82</v>
          </cell>
        </row>
        <row r="223">
          <cell r="B223" t="str">
            <v>Flange Socket PVC dia 200 mm</v>
          </cell>
          <cell r="C223" t="str">
            <v>unit</v>
          </cell>
          <cell r="D223">
            <v>548436.42000000004</v>
          </cell>
          <cell r="E223">
            <v>548436.42000000004</v>
          </cell>
        </row>
        <row r="224">
          <cell r="B224" t="str">
            <v>Filler</v>
          </cell>
          <cell r="C224" t="str">
            <v>kg</v>
          </cell>
          <cell r="D224">
            <v>1512</v>
          </cell>
          <cell r="E224">
            <v>1512</v>
          </cell>
        </row>
        <row r="225">
          <cell r="B225" t="str">
            <v>Gate valve / stop kran ø 1 (inch) kuningan</v>
          </cell>
          <cell r="C225" t="str">
            <v>buah</v>
          </cell>
          <cell r="D225">
            <v>11500</v>
          </cell>
          <cell r="E225">
            <v>11500</v>
          </cell>
        </row>
        <row r="226">
          <cell r="B226" t="str">
            <v>Gate valve / stop kran ø 1/2 (inch) kuningan</v>
          </cell>
          <cell r="C226" t="str">
            <v>buah</v>
          </cell>
          <cell r="D226">
            <v>7900</v>
          </cell>
          <cell r="E226">
            <v>7900</v>
          </cell>
        </row>
        <row r="227">
          <cell r="B227" t="str">
            <v xml:space="preserve">Gate valve / stop kran ø 100 (mm) </v>
          </cell>
          <cell r="C227" t="str">
            <v>buah</v>
          </cell>
          <cell r="D227">
            <v>4203957.24</v>
          </cell>
          <cell r="E227">
            <v>4203957.24</v>
          </cell>
        </row>
        <row r="228">
          <cell r="B228" t="str">
            <v>Gate valve / stop kran ø 3/4 (inch) kuningan</v>
          </cell>
          <cell r="C228" t="str">
            <v>buah</v>
          </cell>
          <cell r="D228">
            <v>16800</v>
          </cell>
          <cell r="E228">
            <v>16800</v>
          </cell>
        </row>
        <row r="229">
          <cell r="B229" t="str">
            <v>Gate Valve dia 150 + Flange socket</v>
          </cell>
          <cell r="C229" t="str">
            <v>unit</v>
          </cell>
          <cell r="D229">
            <v>5940616.3600000003</v>
          </cell>
          <cell r="E229">
            <v>5940616.3600000003</v>
          </cell>
        </row>
        <row r="230">
          <cell r="B230" t="str">
            <v>Gate Valve dia 200 mm</v>
          </cell>
          <cell r="C230" t="str">
            <v>m'</v>
          </cell>
          <cell r="D230">
            <v>3693861.36</v>
          </cell>
          <cell r="E230">
            <v>3693861.36</v>
          </cell>
        </row>
        <row r="231">
          <cell r="B231" t="str">
            <v>Gate Valve dia 50 + Flange socket</v>
          </cell>
          <cell r="C231" t="str">
            <v>unit</v>
          </cell>
          <cell r="D231">
            <v>68922</v>
          </cell>
          <cell r="E231">
            <v>68922</v>
          </cell>
        </row>
        <row r="232">
          <cell r="B232" t="str">
            <v>Gate Valve dia 80 + Flange socket</v>
          </cell>
          <cell r="C232" t="str">
            <v>unit</v>
          </cell>
          <cell r="D232">
            <v>1761606</v>
          </cell>
          <cell r="E232">
            <v>1761606</v>
          </cell>
        </row>
        <row r="233">
          <cell r="B233" t="str">
            <v>Gibult Joint dia 200 mm</v>
          </cell>
          <cell r="C233" t="str">
            <v>unit</v>
          </cell>
          <cell r="D233">
            <v>3324958.56</v>
          </cell>
          <cell r="E233">
            <v>3324958.56</v>
          </cell>
        </row>
        <row r="234">
          <cell r="B234" t="str">
            <v>Glass block uk. 20 x 20 (cm)</v>
          </cell>
          <cell r="C234" t="str">
            <v>buah</v>
          </cell>
          <cell r="D234">
            <v>25600</v>
          </cell>
          <cell r="E234">
            <v>25600</v>
          </cell>
        </row>
        <row r="235">
          <cell r="B235" t="str">
            <v>Grease (minyak gemuk)</v>
          </cell>
          <cell r="C235" t="str">
            <v>kg</v>
          </cell>
          <cell r="D235">
            <v>43200</v>
          </cell>
          <cell r="E235">
            <v>43200</v>
          </cell>
        </row>
        <row r="236">
          <cell r="B236" t="str">
            <v>Grendel (biasa)</v>
          </cell>
          <cell r="C236" t="str">
            <v>buah</v>
          </cell>
          <cell r="D236">
            <v>20300</v>
          </cell>
          <cell r="E236">
            <v>20300</v>
          </cell>
        </row>
        <row r="237">
          <cell r="B237" t="str">
            <v>Grendel (istimewa)</v>
          </cell>
          <cell r="C237" t="str">
            <v>buah</v>
          </cell>
          <cell r="D237">
            <v>158000</v>
          </cell>
          <cell r="E237">
            <v>158000</v>
          </cell>
        </row>
        <row r="238">
          <cell r="B238" t="str">
            <v xml:space="preserve">Gypsum board motif uk. 1.22 x 2.44 (m), tebal 9 mm </v>
          </cell>
          <cell r="C238" t="str">
            <v>lembar</v>
          </cell>
          <cell r="D238">
            <v>116500</v>
          </cell>
          <cell r="E238">
            <v>116500</v>
          </cell>
        </row>
        <row r="239">
          <cell r="B239" t="str">
            <v>Gypsum board polos uk. 1.22 x 2.44 (m), tebal 9 mm</v>
          </cell>
          <cell r="C239" t="str">
            <v>lembar</v>
          </cell>
          <cell r="D239">
            <v>56385</v>
          </cell>
          <cell r="E239">
            <v>56385</v>
          </cell>
        </row>
        <row r="240">
          <cell r="B240" t="str">
            <v>Grendel kuning</v>
          </cell>
          <cell r="C240" t="str">
            <v>bh</v>
          </cell>
          <cell r="D240">
            <v>8190</v>
          </cell>
          <cell r="E240">
            <v>8190</v>
          </cell>
        </row>
        <row r="241">
          <cell r="B241" t="str">
            <v>Handle jendela</v>
          </cell>
          <cell r="C241" t="str">
            <v>buah</v>
          </cell>
          <cell r="D241">
            <v>37900</v>
          </cell>
          <cell r="E241">
            <v>37900</v>
          </cell>
        </row>
        <row r="242">
          <cell r="B242" t="str">
            <v>Handle pintu</v>
          </cell>
          <cell r="C242" t="str">
            <v>buah</v>
          </cell>
          <cell r="D242">
            <v>37900</v>
          </cell>
          <cell r="E242">
            <v>37900</v>
          </cell>
        </row>
        <row r="243">
          <cell r="B243" t="str">
            <v>Handle untuk meubelair (furniture) + kunci</v>
          </cell>
          <cell r="C243" t="str">
            <v>buah</v>
          </cell>
          <cell r="D243">
            <v>64400</v>
          </cell>
          <cell r="E243">
            <v>64400</v>
          </cell>
        </row>
        <row r="244">
          <cell r="B244" t="str">
            <v>Handle untuk pintu kaca lebar</v>
          </cell>
          <cell r="C244" t="str">
            <v>buah</v>
          </cell>
          <cell r="D244">
            <v>2206300</v>
          </cell>
          <cell r="E244">
            <v>2206300</v>
          </cell>
        </row>
        <row r="245">
          <cell r="B245" t="str">
            <v>Hollow block (H.B. 10)</v>
          </cell>
          <cell r="C245" t="str">
            <v>buah</v>
          </cell>
          <cell r="D245">
            <v>57400</v>
          </cell>
          <cell r="E245">
            <v>57400</v>
          </cell>
        </row>
        <row r="246">
          <cell r="B246" t="str">
            <v>Hollow block (H.B. 15)</v>
          </cell>
          <cell r="C246" t="str">
            <v>buah</v>
          </cell>
          <cell r="D246">
            <v>62700</v>
          </cell>
          <cell r="E246">
            <v>62700</v>
          </cell>
        </row>
        <row r="247">
          <cell r="B247" t="str">
            <v>Hollow block (H.B. 20)</v>
          </cell>
          <cell r="C247" t="str">
            <v>buah</v>
          </cell>
          <cell r="D247">
            <v>75000</v>
          </cell>
          <cell r="E247">
            <v>75000</v>
          </cell>
        </row>
        <row r="248">
          <cell r="B248" t="str">
            <v>Hook</v>
          </cell>
          <cell r="C248" t="str">
            <v>buah</v>
          </cell>
          <cell r="D248">
            <v>20300</v>
          </cell>
          <cell r="E248">
            <v>20300</v>
          </cell>
        </row>
        <row r="249">
          <cell r="B249" t="str">
            <v>Huruf Galvanized-Stainless steel</v>
          </cell>
          <cell r="C249" t="str">
            <v>m²</v>
          </cell>
          <cell r="D249">
            <v>402400</v>
          </cell>
          <cell r="E249">
            <v>402400</v>
          </cell>
        </row>
        <row r="250">
          <cell r="B250" t="str">
            <v>Jendela besi</v>
          </cell>
          <cell r="C250" t="str">
            <v>m²</v>
          </cell>
          <cell r="D250">
            <v>402400</v>
          </cell>
          <cell r="E250">
            <v>402400</v>
          </cell>
        </row>
        <row r="251">
          <cell r="B251" t="str">
            <v>Jendela nako (kerangka + kaca 5 mm)</v>
          </cell>
          <cell r="C251" t="str">
            <v>m²</v>
          </cell>
          <cell r="D251">
            <v>238300</v>
          </cell>
          <cell r="E251">
            <v>238300</v>
          </cell>
        </row>
        <row r="252">
          <cell r="B252" t="str">
            <v>Daun jendela alumunium lengkap ( 80 x 120 ) cm</v>
          </cell>
          <cell r="C252" t="str">
            <v>bh</v>
          </cell>
          <cell r="D252">
            <v>503566.88</v>
          </cell>
          <cell r="E252">
            <v>503566.88</v>
          </cell>
        </row>
        <row r="253">
          <cell r="B253" t="str">
            <v>Daun pintu alumunium lengkap ( 90 x 120 )</v>
          </cell>
          <cell r="C253" t="str">
            <v>bh</v>
          </cell>
          <cell r="D253">
            <v>700000</v>
          </cell>
          <cell r="E253">
            <v>700000</v>
          </cell>
        </row>
        <row r="254">
          <cell r="B254" t="str">
            <v>Daun pintu alumunium untuk WC ( 80 x 200 )</v>
          </cell>
          <cell r="C254" t="str">
            <v>bh</v>
          </cell>
          <cell r="D254">
            <v>882000</v>
          </cell>
          <cell r="E254">
            <v>882000</v>
          </cell>
        </row>
        <row r="255">
          <cell r="B255" t="str">
            <v>Kabel biasa</v>
          </cell>
          <cell r="C255" t="str">
            <v>m'</v>
          </cell>
          <cell r="D255">
            <v>3400</v>
          </cell>
          <cell r="E255">
            <v>3400</v>
          </cell>
        </row>
        <row r="256">
          <cell r="B256" t="str">
            <v>Kabel bulat</v>
          </cell>
          <cell r="C256" t="str">
            <v>m'</v>
          </cell>
          <cell r="D256">
            <v>4800</v>
          </cell>
          <cell r="E256">
            <v>4800</v>
          </cell>
        </row>
        <row r="257">
          <cell r="B257" t="str">
            <v>Kabel listrik NYY 4 x 2,5 mm²</v>
          </cell>
          <cell r="C257" t="str">
            <v>m'</v>
          </cell>
          <cell r="D257">
            <v>5800</v>
          </cell>
          <cell r="E257">
            <v>5800</v>
          </cell>
        </row>
        <row r="258">
          <cell r="B258" t="str">
            <v>Kabel listrik NYY 4 x 4 mm²</v>
          </cell>
          <cell r="C258" t="str">
            <v>m'</v>
          </cell>
          <cell r="D258">
            <v>12200</v>
          </cell>
          <cell r="E258">
            <v>12200</v>
          </cell>
        </row>
        <row r="259">
          <cell r="B259" t="str">
            <v>Kabel slink</v>
          </cell>
          <cell r="C259" t="str">
            <v>m'</v>
          </cell>
          <cell r="D259">
            <v>30800</v>
          </cell>
          <cell r="E259">
            <v>30800</v>
          </cell>
        </row>
        <row r="260">
          <cell r="B260" t="str">
            <v>Kaca bening tebal 10 mm</v>
          </cell>
          <cell r="C260" t="str">
            <v>m²</v>
          </cell>
          <cell r="D260">
            <v>359400</v>
          </cell>
          <cell r="E260">
            <v>359400</v>
          </cell>
        </row>
        <row r="261">
          <cell r="B261" t="str">
            <v>Kaca bening tebal 3 mm</v>
          </cell>
          <cell r="C261" t="str">
            <v>m²</v>
          </cell>
          <cell r="D261">
            <v>102294.36</v>
          </cell>
          <cell r="E261">
            <v>102294.36</v>
          </cell>
        </row>
        <row r="262">
          <cell r="B262" t="str">
            <v>Kaca bening tebal 5 mm</v>
          </cell>
          <cell r="C262" t="str">
            <v>m²</v>
          </cell>
          <cell r="D262">
            <v>132300</v>
          </cell>
          <cell r="E262">
            <v>132300</v>
          </cell>
        </row>
        <row r="263">
          <cell r="B263" t="str">
            <v>Kaca bening tebal 8 mm</v>
          </cell>
          <cell r="C263" t="str">
            <v>m²</v>
          </cell>
          <cell r="D263">
            <v>253100</v>
          </cell>
          <cell r="E263">
            <v>253100</v>
          </cell>
        </row>
        <row r="264">
          <cell r="B264" t="str">
            <v>Kaca buram tebal 12 mm</v>
          </cell>
          <cell r="C264" t="str">
            <v>m²</v>
          </cell>
          <cell r="D264">
            <v>432400</v>
          </cell>
          <cell r="E264">
            <v>432400</v>
          </cell>
        </row>
        <row r="265">
          <cell r="B265" t="str">
            <v>Kaca cermin tebal 5 mm</v>
          </cell>
          <cell r="C265" t="str">
            <v>m²</v>
          </cell>
          <cell r="D265">
            <v>165000</v>
          </cell>
          <cell r="E265">
            <v>165000</v>
          </cell>
        </row>
        <row r="266">
          <cell r="B266" t="str">
            <v>Kaca cermin tebal 6 mm</v>
          </cell>
          <cell r="C266" t="str">
            <v>m²</v>
          </cell>
          <cell r="D266">
            <v>197700</v>
          </cell>
          <cell r="E266">
            <v>197700</v>
          </cell>
        </row>
        <row r="267">
          <cell r="B267" t="str">
            <v>Kaca cermin tebal 8 mm</v>
          </cell>
          <cell r="C267" t="str">
            <v>m²</v>
          </cell>
          <cell r="D267">
            <v>263900</v>
          </cell>
          <cell r="E267">
            <v>263900</v>
          </cell>
        </row>
        <row r="268">
          <cell r="B268" t="str">
            <v>Kaca gelap (ray band) tebal 10 mm</v>
          </cell>
          <cell r="C268" t="str">
            <v>m²</v>
          </cell>
          <cell r="D268">
            <v>441300</v>
          </cell>
          <cell r="E268">
            <v>441300</v>
          </cell>
        </row>
        <row r="269">
          <cell r="B269" t="str">
            <v>Kaca gelap (ray band) tebal 12 mm</v>
          </cell>
          <cell r="C269" t="str">
            <v>m²</v>
          </cell>
          <cell r="D269">
            <v>529500</v>
          </cell>
          <cell r="E269">
            <v>529500</v>
          </cell>
        </row>
        <row r="270">
          <cell r="B270" t="str">
            <v>Kaca gelap (ray band) tebal 5 mm</v>
          </cell>
          <cell r="C270" t="str">
            <v>m²</v>
          </cell>
          <cell r="D270">
            <v>220600</v>
          </cell>
          <cell r="E270">
            <v>220600</v>
          </cell>
        </row>
        <row r="271">
          <cell r="B271" t="str">
            <v>Kaca naco ryben 5 mm (lengkap) uk. 15 x 17 cm</v>
          </cell>
          <cell r="C271" t="str">
            <v>Daun</v>
          </cell>
          <cell r="D271">
            <v>34776</v>
          </cell>
          <cell r="E271">
            <v>34776</v>
          </cell>
        </row>
        <row r="272">
          <cell r="B272" t="str">
            <v>Kaca ryben 3 m</v>
          </cell>
          <cell r="C272" t="str">
            <v>m2</v>
          </cell>
          <cell r="D272">
            <v>135025.38</v>
          </cell>
          <cell r="E272">
            <v>135025.38</v>
          </cell>
        </row>
        <row r="273">
          <cell r="B273" t="str">
            <v>Kaca ryben 5 m</v>
          </cell>
          <cell r="C273" t="str">
            <v>m2</v>
          </cell>
          <cell r="D273">
            <v>151200</v>
          </cell>
          <cell r="E273">
            <v>151200</v>
          </cell>
        </row>
        <row r="274">
          <cell r="B274" t="str">
            <v>Kaca patri tebal 5 mm</v>
          </cell>
          <cell r="C274" t="str">
            <v>m²</v>
          </cell>
          <cell r="D274">
            <v>2137800</v>
          </cell>
          <cell r="E274">
            <v>2137800</v>
          </cell>
        </row>
        <row r="275">
          <cell r="B275" t="str">
            <v>Kaca wireglass tebal 5 mm</v>
          </cell>
          <cell r="C275" t="str">
            <v>m²</v>
          </cell>
          <cell r="D275">
            <v>874600</v>
          </cell>
          <cell r="E275">
            <v>874600</v>
          </cell>
        </row>
        <row r="276">
          <cell r="B276" t="str">
            <v>Kain kassa</v>
          </cell>
          <cell r="C276" t="str">
            <v>kg</v>
          </cell>
          <cell r="D276">
            <v>16500</v>
          </cell>
          <cell r="E276">
            <v>16500</v>
          </cell>
        </row>
        <row r="277">
          <cell r="B277" t="str">
            <v>Kait angin (biasa)</v>
          </cell>
          <cell r="C277" t="str">
            <v>buah</v>
          </cell>
          <cell r="D277">
            <v>10899</v>
          </cell>
          <cell r="E277">
            <v>10899</v>
          </cell>
        </row>
        <row r="278">
          <cell r="B278" t="str">
            <v>Kait angin (istimewa)</v>
          </cell>
          <cell r="C278" t="str">
            <v>buah</v>
          </cell>
          <cell r="D278">
            <v>16800</v>
          </cell>
          <cell r="E278">
            <v>16800</v>
          </cell>
        </row>
        <row r="279">
          <cell r="B279" t="str">
            <v>Kapur bakar</v>
          </cell>
          <cell r="C279" t="str">
            <v>m³</v>
          </cell>
          <cell r="D279">
            <v>105900</v>
          </cell>
          <cell r="E279">
            <v>105900</v>
          </cell>
        </row>
        <row r="280">
          <cell r="B280" t="str">
            <v>Kapur sirih</v>
          </cell>
          <cell r="C280" t="str">
            <v>kg</v>
          </cell>
          <cell r="D280">
            <v>37100</v>
          </cell>
          <cell r="E280">
            <v>37100</v>
          </cell>
        </row>
        <row r="281">
          <cell r="B281" t="str">
            <v>Karpet talang, lebar 0,60 m'</v>
          </cell>
          <cell r="C281" t="str">
            <v>m'</v>
          </cell>
          <cell r="D281">
            <v>13671</v>
          </cell>
          <cell r="E281">
            <v>13671</v>
          </cell>
        </row>
        <row r="282">
          <cell r="B282" t="str">
            <v>Kawat  nyamuk logam</v>
          </cell>
          <cell r="C282" t="str">
            <v>m²</v>
          </cell>
          <cell r="D282">
            <v>26500</v>
          </cell>
          <cell r="E282">
            <v>26500</v>
          </cell>
        </row>
        <row r="283">
          <cell r="B283" t="str">
            <v>Kawat  nyamuk plastik</v>
          </cell>
          <cell r="C283" t="str">
            <v>m²</v>
          </cell>
          <cell r="D283">
            <v>24700</v>
          </cell>
          <cell r="E283">
            <v>24700</v>
          </cell>
        </row>
        <row r="284">
          <cell r="B284" t="str">
            <v>Kawat berduri</v>
          </cell>
          <cell r="C284" t="str">
            <v>kg</v>
          </cell>
          <cell r="D284">
            <v>18900</v>
          </cell>
          <cell r="E284">
            <v>18900</v>
          </cell>
        </row>
        <row r="285">
          <cell r="B285" t="str">
            <v>Kawat beton</v>
          </cell>
          <cell r="C285" t="str">
            <v>kg</v>
          </cell>
          <cell r="D285">
            <v>22050</v>
          </cell>
          <cell r="E285">
            <v>22050</v>
          </cell>
        </row>
        <row r="286">
          <cell r="B286" t="str">
            <v>Kawat bronjong</v>
          </cell>
          <cell r="C286" t="str">
            <v>kg</v>
          </cell>
          <cell r="D286">
            <v>126200</v>
          </cell>
          <cell r="E286">
            <v>126200</v>
          </cell>
        </row>
        <row r="287">
          <cell r="B287" t="str">
            <v>Kawat burung</v>
          </cell>
          <cell r="C287" t="str">
            <v>m²</v>
          </cell>
          <cell r="D287">
            <v>22900</v>
          </cell>
          <cell r="E287">
            <v>22900</v>
          </cell>
        </row>
        <row r="288">
          <cell r="B288" t="str">
            <v>Kawat harmonika</v>
          </cell>
          <cell r="C288" t="str">
            <v>m²</v>
          </cell>
          <cell r="D288">
            <v>109400</v>
          </cell>
          <cell r="E288">
            <v>109400</v>
          </cell>
        </row>
        <row r="289">
          <cell r="B289" t="str">
            <v>Kawat kassa / kawat loket</v>
          </cell>
          <cell r="C289" t="str">
            <v>m²</v>
          </cell>
          <cell r="D289">
            <v>19400</v>
          </cell>
          <cell r="E289">
            <v>19400</v>
          </cell>
        </row>
        <row r="290">
          <cell r="B290" t="str">
            <v>Kawat seng polos</v>
          </cell>
          <cell r="C290" t="str">
            <v>kg</v>
          </cell>
          <cell r="D290">
            <v>20300</v>
          </cell>
          <cell r="E290">
            <v>20300</v>
          </cell>
        </row>
        <row r="291">
          <cell r="B291" t="str">
            <v>Kayu bakar</v>
          </cell>
          <cell r="C291" t="str">
            <v>m³</v>
          </cell>
          <cell r="D291">
            <v>315000</v>
          </cell>
          <cell r="E291">
            <v>315000</v>
          </cell>
        </row>
        <row r="292">
          <cell r="B292" t="str">
            <v>Kayu bulat "4 cm</v>
          </cell>
          <cell r="C292" t="str">
            <v>m3</v>
          </cell>
          <cell r="D292">
            <v>1066867.2</v>
          </cell>
          <cell r="E292">
            <v>1066867.2</v>
          </cell>
        </row>
        <row r="293">
          <cell r="B293" t="str">
            <v>Kayu bulat dia 8 -10/4 m</v>
          </cell>
          <cell r="C293" t="str">
            <v>m3</v>
          </cell>
          <cell r="D293">
            <v>636498.84</v>
          </cell>
          <cell r="E293">
            <v>636498.84</v>
          </cell>
        </row>
        <row r="294">
          <cell r="B294" t="str">
            <v>Kayu dolken ø 8 - 10 (cm) panjang 4 m / kiau</v>
          </cell>
          <cell r="C294" t="str">
            <v>batang</v>
          </cell>
          <cell r="D294">
            <v>19096.88</v>
          </cell>
          <cell r="E294">
            <v>19096.88</v>
          </cell>
        </row>
        <row r="295">
          <cell r="B295" t="str">
            <v>Kayu gergajian kelas II, balok</v>
          </cell>
          <cell r="C295" t="str">
            <v>m³</v>
          </cell>
          <cell r="D295">
            <v>3075995.61</v>
          </cell>
          <cell r="E295">
            <v>3075995.61</v>
          </cell>
        </row>
        <row r="296">
          <cell r="B296" t="str">
            <v>Kayu gergajian kelas II, papan</v>
          </cell>
          <cell r="C296" t="str">
            <v>m³</v>
          </cell>
          <cell r="D296">
            <v>3574100</v>
          </cell>
          <cell r="E296">
            <v>3574100</v>
          </cell>
        </row>
        <row r="297">
          <cell r="B297" t="str">
            <v>Kayu gergajian kelas II, profil</v>
          </cell>
          <cell r="C297" t="str">
            <v>m'</v>
          </cell>
          <cell r="D297">
            <v>19400</v>
          </cell>
          <cell r="E297">
            <v>19400</v>
          </cell>
        </row>
        <row r="298">
          <cell r="B298" t="str">
            <v>Kayu gergajian kelas III, balok</v>
          </cell>
          <cell r="C298" t="str">
            <v>m³</v>
          </cell>
          <cell r="D298">
            <v>2652249.52</v>
          </cell>
          <cell r="E298">
            <v>2652249.52</v>
          </cell>
        </row>
        <row r="299">
          <cell r="B299" t="str">
            <v>Kayu gergajian kelas III, papan</v>
          </cell>
          <cell r="C299" t="str">
            <v>m³</v>
          </cell>
          <cell r="D299">
            <v>2462200</v>
          </cell>
          <cell r="E299">
            <v>2462200</v>
          </cell>
        </row>
        <row r="300">
          <cell r="B300" t="str">
            <v>Kayu gergajian kelas III, profil</v>
          </cell>
          <cell r="C300" t="str">
            <v>m'</v>
          </cell>
          <cell r="D300">
            <v>10100</v>
          </cell>
          <cell r="E300">
            <v>10100</v>
          </cell>
        </row>
        <row r="301">
          <cell r="B301" t="str">
            <v>Kayu gergajian kelas IV, balok</v>
          </cell>
          <cell r="C301" t="str">
            <v>m³</v>
          </cell>
          <cell r="D301">
            <v>1919318.71</v>
          </cell>
          <cell r="E301">
            <v>1919318.71</v>
          </cell>
        </row>
        <row r="302">
          <cell r="B302" t="str">
            <v>Kayu gergajian kelas IV, papan</v>
          </cell>
          <cell r="C302" t="str">
            <v>m³</v>
          </cell>
          <cell r="D302">
            <v>1676800</v>
          </cell>
          <cell r="E302">
            <v>1676800</v>
          </cell>
        </row>
        <row r="303">
          <cell r="B303" t="str">
            <v>Kayu untuk konstruksi jembatan</v>
          </cell>
          <cell r="C303" t="str">
            <v>m³</v>
          </cell>
          <cell r="D303">
            <v>4236000</v>
          </cell>
          <cell r="E303">
            <v>4236000</v>
          </cell>
        </row>
        <row r="304">
          <cell r="B304" t="str">
            <v>Kayu untuk perancah</v>
          </cell>
          <cell r="C304" t="str">
            <v>m³</v>
          </cell>
          <cell r="D304">
            <v>1209000</v>
          </cell>
          <cell r="E304">
            <v>1209000</v>
          </cell>
        </row>
        <row r="305">
          <cell r="B305" t="str">
            <v>Keramik 10 x 20 (cm) gelap</v>
          </cell>
          <cell r="C305" t="str">
            <v>m²</v>
          </cell>
          <cell r="D305">
            <v>74100</v>
          </cell>
          <cell r="E305">
            <v>74100</v>
          </cell>
        </row>
        <row r="306">
          <cell r="B306" t="str">
            <v>Keramik 10 x 20 (cm) polos</v>
          </cell>
          <cell r="C306" t="str">
            <v>m²</v>
          </cell>
          <cell r="D306">
            <v>79400</v>
          </cell>
          <cell r="E306">
            <v>79400</v>
          </cell>
        </row>
        <row r="307">
          <cell r="B307" t="str">
            <v>Keramik 10 x 20 (cm) terang</v>
          </cell>
          <cell r="C307" t="str">
            <v>m²</v>
          </cell>
          <cell r="D307">
            <v>74100</v>
          </cell>
          <cell r="E307">
            <v>74100</v>
          </cell>
        </row>
        <row r="308">
          <cell r="B308" t="str">
            <v>Keramik 15 x 15 cm</v>
          </cell>
          <cell r="C308" t="str">
            <v>m²</v>
          </cell>
          <cell r="D308">
            <v>0</v>
          </cell>
        </row>
        <row r="309">
          <cell r="B309" t="str">
            <v>Keramik 15 x 20 cm</v>
          </cell>
          <cell r="C309" t="str">
            <v>m²</v>
          </cell>
          <cell r="D309">
            <v>75900</v>
          </cell>
          <cell r="E309">
            <v>75900</v>
          </cell>
        </row>
        <row r="310">
          <cell r="B310" t="str">
            <v>Keramik 20 x 20 (cm) polos</v>
          </cell>
          <cell r="C310" t="str">
            <v>m²</v>
          </cell>
          <cell r="D310">
            <v>77700</v>
          </cell>
          <cell r="E310">
            <v>77700</v>
          </cell>
        </row>
        <row r="311">
          <cell r="B311" t="str">
            <v>Keramik 20 x 25 (cm)</v>
          </cell>
          <cell r="C311" t="str">
            <v>m²</v>
          </cell>
          <cell r="D311">
            <v>92700</v>
          </cell>
          <cell r="E311">
            <v>92700</v>
          </cell>
        </row>
        <row r="312">
          <cell r="B312" t="str">
            <v>Keramik 25 x 25 cm</v>
          </cell>
          <cell r="C312" t="str">
            <v>m²</v>
          </cell>
          <cell r="D312">
            <v>81200</v>
          </cell>
          <cell r="E312">
            <v>81200</v>
          </cell>
        </row>
        <row r="313">
          <cell r="B313" t="str">
            <v>Keramik 30 x 30 (cm) gelap</v>
          </cell>
          <cell r="C313" t="str">
            <v>m²</v>
          </cell>
          <cell r="D313">
            <v>93500</v>
          </cell>
          <cell r="E313">
            <v>93500</v>
          </cell>
        </row>
        <row r="314">
          <cell r="B314" t="str">
            <v>Keramik 30 x 30 (cm) polos</v>
          </cell>
          <cell r="C314" t="str">
            <v>m²</v>
          </cell>
          <cell r="D314">
            <v>84700</v>
          </cell>
          <cell r="E314">
            <v>84700</v>
          </cell>
        </row>
        <row r="315">
          <cell r="B315" t="str">
            <v>Keramik 30 x 30 (cm) putih / berwarna</v>
          </cell>
          <cell r="C315" t="str">
            <v>m²</v>
          </cell>
          <cell r="D315">
            <v>79400</v>
          </cell>
          <cell r="E315">
            <v>79400</v>
          </cell>
        </row>
        <row r="316">
          <cell r="B316" t="str">
            <v>Keramik 30 x 30 (cm) terang</v>
          </cell>
          <cell r="C316" t="str">
            <v>m²</v>
          </cell>
          <cell r="D316">
            <v>84700</v>
          </cell>
          <cell r="E316">
            <v>84700</v>
          </cell>
        </row>
        <row r="317">
          <cell r="B317" t="str">
            <v>Keramik 40 x 40 (cm) putih / berwarna</v>
          </cell>
          <cell r="C317" t="str">
            <v>m²</v>
          </cell>
          <cell r="D317">
            <v>95300</v>
          </cell>
          <cell r="E317">
            <v>95300</v>
          </cell>
        </row>
        <row r="318">
          <cell r="B318" t="str">
            <v>Keramik KM/WC anti slip 20 x 20 (cm)</v>
          </cell>
          <cell r="C318" t="str">
            <v>m²</v>
          </cell>
          <cell r="D318">
            <v>77700</v>
          </cell>
          <cell r="E318">
            <v>77700</v>
          </cell>
        </row>
        <row r="319">
          <cell r="B319" t="str">
            <v>Keramik 30x30 cm merk "Hercules" ( corak )</v>
          </cell>
          <cell r="C319" t="str">
            <v>m2</v>
          </cell>
          <cell r="D319">
            <v>60725.7</v>
          </cell>
          <cell r="E319">
            <v>60725.7</v>
          </cell>
        </row>
        <row r="320">
          <cell r="B320" t="str">
            <v>Keramik 30x30 cm merk "Ikad" ( polos )</v>
          </cell>
          <cell r="C320" t="str">
            <v>m2</v>
          </cell>
          <cell r="D320">
            <v>67155.48</v>
          </cell>
          <cell r="E320">
            <v>67155.48</v>
          </cell>
        </row>
        <row r="321">
          <cell r="B321" t="str">
            <v>Keramik 30x30 cm merk "Ikad" ( corak )</v>
          </cell>
          <cell r="C321" t="str">
            <v>m2</v>
          </cell>
          <cell r="D321">
            <v>72514.259999999995</v>
          </cell>
          <cell r="E321">
            <v>72514.259999999995</v>
          </cell>
        </row>
        <row r="322">
          <cell r="B322" t="str">
            <v>Keramik 30x30 cm merk "KIA" ( polos )</v>
          </cell>
          <cell r="C322" t="str">
            <v>m2</v>
          </cell>
          <cell r="D322">
            <v>60102</v>
          </cell>
          <cell r="E322">
            <v>60102</v>
          </cell>
        </row>
        <row r="323">
          <cell r="B323" t="str">
            <v>Keramik 30x30 cm merk "KIA" ( corak )</v>
          </cell>
          <cell r="C323" t="str">
            <v>m2</v>
          </cell>
          <cell r="D323">
            <v>55010.34</v>
          </cell>
          <cell r="E323">
            <v>55010.34</v>
          </cell>
        </row>
        <row r="324">
          <cell r="B324" t="str">
            <v>Keramik 20x25 cm merk "Mulia" ( corak )</v>
          </cell>
          <cell r="C324" t="str">
            <v>m2</v>
          </cell>
          <cell r="D324">
            <v>68040</v>
          </cell>
          <cell r="E324">
            <v>68040</v>
          </cell>
        </row>
        <row r="325">
          <cell r="B325" t="str">
            <v>Knee / elbow PVC 1(inch)</v>
          </cell>
          <cell r="C325" t="str">
            <v>buah</v>
          </cell>
          <cell r="D325">
            <v>6200</v>
          </cell>
          <cell r="E325">
            <v>6200</v>
          </cell>
        </row>
        <row r="326">
          <cell r="B326" t="str">
            <v>Knee / elbow PVC 1/2 (inch)</v>
          </cell>
          <cell r="C326" t="str">
            <v>buah</v>
          </cell>
          <cell r="D326">
            <v>3100</v>
          </cell>
          <cell r="E326">
            <v>3100</v>
          </cell>
        </row>
        <row r="327">
          <cell r="B327" t="str">
            <v>Knee / elbow PVC 3/4 (inch)</v>
          </cell>
          <cell r="C327" t="str">
            <v>buah</v>
          </cell>
          <cell r="D327">
            <v>3700</v>
          </cell>
          <cell r="E327">
            <v>3700</v>
          </cell>
        </row>
        <row r="328">
          <cell r="B328" t="str">
            <v>Knee Gip dia 13 mm</v>
          </cell>
          <cell r="C328" t="str">
            <v>bh</v>
          </cell>
          <cell r="D328">
            <v>3830.4</v>
          </cell>
          <cell r="E328">
            <v>3830.4</v>
          </cell>
        </row>
        <row r="329">
          <cell r="B329" t="str">
            <v>Knee PVC dia 3"</v>
          </cell>
          <cell r="C329" t="str">
            <v>bh</v>
          </cell>
          <cell r="D329">
            <v>9169.02</v>
          </cell>
          <cell r="E329">
            <v>9169.02</v>
          </cell>
        </row>
        <row r="330">
          <cell r="B330" t="str">
            <v>Kompon gypsum</v>
          </cell>
          <cell r="C330" t="str">
            <v>lembar</v>
          </cell>
          <cell r="D330">
            <v>47700</v>
          </cell>
          <cell r="E330">
            <v>47700</v>
          </cell>
        </row>
        <row r="331">
          <cell r="B331" t="str">
            <v>Koral beton</v>
          </cell>
          <cell r="C331" t="str">
            <v>m3</v>
          </cell>
          <cell r="D331">
            <v>453600</v>
          </cell>
          <cell r="E331">
            <v>453600</v>
          </cell>
        </row>
        <row r="332">
          <cell r="B332" t="str">
            <v>Kopling dia 13 mm</v>
          </cell>
          <cell r="C332" t="str">
            <v>bh</v>
          </cell>
          <cell r="D332">
            <v>7560</v>
          </cell>
          <cell r="E332">
            <v>7560</v>
          </cell>
        </row>
        <row r="333">
          <cell r="B333" t="str">
            <v>Kran air dia 13 mm</v>
          </cell>
          <cell r="C333" t="str">
            <v>bh</v>
          </cell>
          <cell r="D333">
            <v>50400</v>
          </cell>
          <cell r="E333">
            <v>50400</v>
          </cell>
        </row>
        <row r="334">
          <cell r="B334" t="str">
            <v xml:space="preserve">Kran air ø 0,75 (inch)  </v>
          </cell>
          <cell r="C334" t="str">
            <v>buah</v>
          </cell>
          <cell r="D334">
            <v>39700</v>
          </cell>
          <cell r="E334">
            <v>39700</v>
          </cell>
        </row>
        <row r="335">
          <cell r="B335" t="str">
            <v xml:space="preserve">Kran air ø 1,50 (inch)  </v>
          </cell>
          <cell r="C335" t="str">
            <v>buah</v>
          </cell>
          <cell r="D335">
            <v>48500</v>
          </cell>
          <cell r="E335">
            <v>48500</v>
          </cell>
        </row>
        <row r="336">
          <cell r="B336" t="str">
            <v>Kuas roll</v>
          </cell>
          <cell r="C336" t="str">
            <v>buah</v>
          </cell>
          <cell r="D336">
            <v>29100</v>
          </cell>
          <cell r="E336">
            <v>29100</v>
          </cell>
        </row>
        <row r="337">
          <cell r="B337" t="str">
            <v>Kuas uk. 1"</v>
          </cell>
          <cell r="C337" t="str">
            <v>buah</v>
          </cell>
          <cell r="D337">
            <v>6200</v>
          </cell>
          <cell r="E337">
            <v>6200</v>
          </cell>
        </row>
        <row r="338">
          <cell r="B338" t="str">
            <v>Kuas uk. 1,5"</v>
          </cell>
          <cell r="C338" t="str">
            <v>buah</v>
          </cell>
          <cell r="D338">
            <v>7900</v>
          </cell>
          <cell r="E338">
            <v>7900</v>
          </cell>
        </row>
        <row r="339">
          <cell r="B339" t="str">
            <v>Kuas uk. 3"</v>
          </cell>
          <cell r="C339" t="str">
            <v>buah</v>
          </cell>
          <cell r="D339">
            <v>13200</v>
          </cell>
          <cell r="E339">
            <v>13200</v>
          </cell>
        </row>
        <row r="340">
          <cell r="B340" t="str">
            <v>Kunci jendela (lokal)</v>
          </cell>
          <cell r="C340" t="str">
            <v>set</v>
          </cell>
          <cell r="D340">
            <v>26500</v>
          </cell>
          <cell r="E340">
            <v>26500</v>
          </cell>
        </row>
        <row r="341">
          <cell r="B341" t="str">
            <v>Kunci lemari</v>
          </cell>
          <cell r="C341" t="str">
            <v>buah</v>
          </cell>
          <cell r="D341">
            <v>40600</v>
          </cell>
          <cell r="E341">
            <v>40600</v>
          </cell>
        </row>
        <row r="342">
          <cell r="B342" t="str">
            <v>Kunci pintu (biasa)</v>
          </cell>
          <cell r="C342" t="str">
            <v>set</v>
          </cell>
          <cell r="D342">
            <v>150000</v>
          </cell>
          <cell r="E342">
            <v>150000</v>
          </cell>
        </row>
        <row r="343">
          <cell r="B343" t="str">
            <v>Kunci pintu (istimewa)</v>
          </cell>
          <cell r="C343" t="str">
            <v>set</v>
          </cell>
          <cell r="D343">
            <v>238300</v>
          </cell>
          <cell r="E343">
            <v>238300</v>
          </cell>
        </row>
        <row r="344">
          <cell r="B344" t="str">
            <v>Kunci pintu untuk meubelair (furniture)</v>
          </cell>
          <cell r="C344" t="str">
            <v>set</v>
          </cell>
          <cell r="D344">
            <v>40600</v>
          </cell>
          <cell r="E344">
            <v>40600</v>
          </cell>
        </row>
        <row r="345">
          <cell r="B345" t="str">
            <v>Kunci silinder</v>
          </cell>
          <cell r="C345" t="str">
            <v>buah</v>
          </cell>
          <cell r="D345">
            <v>184400</v>
          </cell>
          <cell r="E345">
            <v>184400</v>
          </cell>
        </row>
        <row r="346">
          <cell r="B346" t="str">
            <v>Kunci tanam</v>
          </cell>
          <cell r="C346" t="str">
            <v>buah</v>
          </cell>
          <cell r="D346">
            <v>132400</v>
          </cell>
          <cell r="E346">
            <v>132400</v>
          </cell>
        </row>
        <row r="347">
          <cell r="B347" t="str">
            <v>Kunci tanam antik</v>
          </cell>
          <cell r="C347" t="str">
            <v>buah</v>
          </cell>
          <cell r="D347">
            <v>150000</v>
          </cell>
          <cell r="E347">
            <v>150000</v>
          </cell>
        </row>
        <row r="348">
          <cell r="B348" t="str">
            <v>Kunci tanam kamar mandi</v>
          </cell>
          <cell r="C348" t="str">
            <v>buah</v>
          </cell>
          <cell r="D348">
            <v>63500</v>
          </cell>
          <cell r="E348">
            <v>63500</v>
          </cell>
        </row>
        <row r="349">
          <cell r="B349" t="str">
            <v>Kunci gembok</v>
          </cell>
          <cell r="C349" t="str">
            <v>bh</v>
          </cell>
          <cell r="D349">
            <v>18427.5</v>
          </cell>
          <cell r="E349">
            <v>18427.5</v>
          </cell>
        </row>
        <row r="350">
          <cell r="B350" t="str">
            <v>Kunci tanam besar merk "693LD"</v>
          </cell>
          <cell r="C350" t="str">
            <v>set</v>
          </cell>
          <cell r="D350">
            <v>69195</v>
          </cell>
          <cell r="E350">
            <v>69195</v>
          </cell>
        </row>
        <row r="351">
          <cell r="B351" t="str">
            <v>Kunci tanam kecil merk "693LD"</v>
          </cell>
          <cell r="C351" t="str">
            <v>set</v>
          </cell>
          <cell r="D351">
            <v>53550</v>
          </cell>
          <cell r="E351">
            <v>53550</v>
          </cell>
        </row>
        <row r="352">
          <cell r="B352" t="str">
            <v>Kunci tanam besar merk "ROYAL"</v>
          </cell>
          <cell r="C352" t="str">
            <v>set</v>
          </cell>
          <cell r="D352">
            <v>105210</v>
          </cell>
          <cell r="E352">
            <v>105210</v>
          </cell>
        </row>
        <row r="353">
          <cell r="B353" t="str">
            <v>Kunci tanam kecil merk "ROYAL"</v>
          </cell>
          <cell r="C353" t="str">
            <v>set</v>
          </cell>
          <cell r="D353">
            <v>75600</v>
          </cell>
          <cell r="E353">
            <v>75600</v>
          </cell>
        </row>
        <row r="354">
          <cell r="B354" t="str">
            <v>Kusen alumunium</v>
          </cell>
          <cell r="C354" t="str">
            <v>m'</v>
          </cell>
          <cell r="D354">
            <v>133358.39999999999</v>
          </cell>
          <cell r="E354">
            <v>133358.39999999999</v>
          </cell>
        </row>
        <row r="355">
          <cell r="D355">
            <v>0</v>
          </cell>
        </row>
        <row r="356">
          <cell r="B356" t="str">
            <v>Kusen pintu / jendela alumunium 3"</v>
          </cell>
          <cell r="C356" t="str">
            <v>m²</v>
          </cell>
          <cell r="D356">
            <v>612100</v>
          </cell>
          <cell r="E356">
            <v>612100</v>
          </cell>
        </row>
        <row r="357">
          <cell r="B357" t="str">
            <v>Kusen pintu / jendela alumunium 4"</v>
          </cell>
          <cell r="C357" t="str">
            <v>m²</v>
          </cell>
          <cell r="D357">
            <v>759700</v>
          </cell>
          <cell r="E357">
            <v>759700</v>
          </cell>
        </row>
        <row r="358">
          <cell r="B358" t="str">
            <v>Lampu downlight SL 25 Watt</v>
          </cell>
          <cell r="C358" t="str">
            <v>buah</v>
          </cell>
          <cell r="D358">
            <v>234800</v>
          </cell>
          <cell r="E358">
            <v>234800</v>
          </cell>
        </row>
        <row r="359">
          <cell r="B359" t="str">
            <v>Lampu taman + tiang + merkuri</v>
          </cell>
          <cell r="C359" t="str">
            <v>buah</v>
          </cell>
          <cell r="D359">
            <v>234800</v>
          </cell>
          <cell r="E359">
            <v>234800</v>
          </cell>
        </row>
        <row r="360">
          <cell r="B360" t="str">
            <v>Lampu taman bulat komplit</v>
          </cell>
          <cell r="C360" t="str">
            <v>set</v>
          </cell>
          <cell r="D360">
            <v>264500</v>
          </cell>
          <cell r="E360">
            <v>264500</v>
          </cell>
        </row>
        <row r="361">
          <cell r="B361" t="str">
            <v>Lampu TL 20 W + aksesoris</v>
          </cell>
          <cell r="C361" t="str">
            <v>titik</v>
          </cell>
          <cell r="D361">
            <v>79394.92</v>
          </cell>
          <cell r="E361">
            <v>79394.92</v>
          </cell>
        </row>
        <row r="362">
          <cell r="B362" t="str">
            <v>Lampu TL 40 W + aksesoris</v>
          </cell>
          <cell r="C362" t="str">
            <v>titik</v>
          </cell>
          <cell r="D362">
            <v>113300</v>
          </cell>
          <cell r="E362">
            <v>113300</v>
          </cell>
        </row>
        <row r="363">
          <cell r="B363" t="str">
            <v>Lampu TL bulat 10 W + aksesoris</v>
          </cell>
          <cell r="C363" t="str">
            <v>titik</v>
          </cell>
          <cell r="D363">
            <v>87800</v>
          </cell>
          <cell r="E363">
            <v>87800</v>
          </cell>
        </row>
        <row r="364">
          <cell r="B364" t="str">
            <v>Lampu TL bulat 20 W + aksesoris</v>
          </cell>
          <cell r="C364" t="str">
            <v>titik</v>
          </cell>
          <cell r="D364">
            <v>118600</v>
          </cell>
          <cell r="E364">
            <v>118600</v>
          </cell>
        </row>
        <row r="365">
          <cell r="B365" t="str">
            <v>Langit-langit Accoustic board / tile uk. 0,30 x 0,30 (m)</v>
          </cell>
          <cell r="C365" t="str">
            <v>m²</v>
          </cell>
          <cell r="D365">
            <v>68800</v>
          </cell>
          <cell r="E365">
            <v>68800</v>
          </cell>
        </row>
        <row r="366">
          <cell r="B366" t="str">
            <v>Langit-langit Accoustic board / tile uk. 0,30 x 0,60 (m)</v>
          </cell>
          <cell r="C366" t="str">
            <v>m²</v>
          </cell>
          <cell r="D366">
            <v>70600</v>
          </cell>
          <cell r="E366">
            <v>70600</v>
          </cell>
        </row>
        <row r="367">
          <cell r="B367" t="str">
            <v>Langit-langit Accoustic board / tile uk. 0,60 x 1,20 x 0,14 (m)</v>
          </cell>
          <cell r="C367" t="str">
            <v>m²</v>
          </cell>
          <cell r="D367">
            <v>86500</v>
          </cell>
          <cell r="E367">
            <v>86500</v>
          </cell>
        </row>
        <row r="368">
          <cell r="B368" t="str">
            <v>Langit-langit Accoustic board / tile uk. 0,60 x 1,20 x 0,15 (m)</v>
          </cell>
          <cell r="C368" t="str">
            <v>m²</v>
          </cell>
          <cell r="D368">
            <v>98800</v>
          </cell>
          <cell r="E368">
            <v>98800</v>
          </cell>
        </row>
        <row r="369">
          <cell r="B369" t="str">
            <v>Lis kayu profil uk. 3 x 3 cm</v>
          </cell>
          <cell r="C369" t="str">
            <v>m'</v>
          </cell>
          <cell r="D369">
            <v>23310</v>
          </cell>
          <cell r="E369">
            <v>23310</v>
          </cell>
        </row>
        <row r="370">
          <cell r="B370" t="str">
            <v>Lis kayu biasa uk. 0,75 x 2 cm</v>
          </cell>
          <cell r="C370" t="str">
            <v>m'</v>
          </cell>
          <cell r="D370">
            <v>11340</v>
          </cell>
          <cell r="E370">
            <v>11340</v>
          </cell>
        </row>
        <row r="371">
          <cell r="B371" t="str">
            <v>Lem (standar Aica Aibond)</v>
          </cell>
          <cell r="C371" t="str">
            <v>kg</v>
          </cell>
          <cell r="D371">
            <v>29000</v>
          </cell>
          <cell r="E371">
            <v>29000</v>
          </cell>
        </row>
        <row r="372">
          <cell r="B372" t="str">
            <v>Lem (standar Fox)</v>
          </cell>
          <cell r="C372" t="str">
            <v>kg</v>
          </cell>
          <cell r="D372">
            <v>31500</v>
          </cell>
          <cell r="E372">
            <v>31500</v>
          </cell>
        </row>
        <row r="373">
          <cell r="B373" t="str">
            <v>Lem PVC ultra kecil</v>
          </cell>
          <cell r="C373" t="str">
            <v>klg</v>
          </cell>
          <cell r="D373">
            <v>6300</v>
          </cell>
          <cell r="E373">
            <v>6300</v>
          </cell>
        </row>
        <row r="374">
          <cell r="B374" t="str">
            <v>Mata lampu + instalasi</v>
          </cell>
          <cell r="C374" t="str">
            <v>titik</v>
          </cell>
          <cell r="D374">
            <v>52300</v>
          </cell>
          <cell r="E374">
            <v>52300</v>
          </cell>
        </row>
        <row r="375">
          <cell r="B375" t="str">
            <v>Meter box (terpasang)</v>
          </cell>
          <cell r="C375" t="str">
            <v>titik</v>
          </cell>
          <cell r="D375">
            <v>389400</v>
          </cell>
          <cell r="E375">
            <v>389400</v>
          </cell>
        </row>
        <row r="376">
          <cell r="B376" t="str">
            <v>Minyak bekisting</v>
          </cell>
          <cell r="C376" t="str">
            <v>liter</v>
          </cell>
          <cell r="D376">
            <v>9700</v>
          </cell>
          <cell r="E376">
            <v>9700</v>
          </cell>
        </row>
        <row r="377">
          <cell r="B377" t="str">
            <v>Minyak pelarut cat (solvent)</v>
          </cell>
          <cell r="C377" t="str">
            <v>liter</v>
          </cell>
          <cell r="D377">
            <v>28900</v>
          </cell>
          <cell r="E377">
            <v>28900</v>
          </cell>
        </row>
        <row r="378">
          <cell r="B378" t="str">
            <v>Minyak pelumas (oli)</v>
          </cell>
          <cell r="C378" t="str">
            <v>liter</v>
          </cell>
          <cell r="D378">
            <v>22050</v>
          </cell>
          <cell r="E378">
            <v>22050</v>
          </cell>
        </row>
        <row r="379">
          <cell r="B379" t="str">
            <v>Minyak solar</v>
          </cell>
          <cell r="C379" t="str">
            <v>liter</v>
          </cell>
          <cell r="D379">
            <v>6655.32</v>
          </cell>
          <cell r="E379">
            <v>6655.32</v>
          </cell>
        </row>
        <row r="380">
          <cell r="B380" t="str">
            <v>Minyak tanah (industri)</v>
          </cell>
          <cell r="C380" t="str">
            <v>liter</v>
          </cell>
          <cell r="D380">
            <v>11500</v>
          </cell>
          <cell r="E380">
            <v>11500</v>
          </cell>
        </row>
        <row r="381">
          <cell r="B381" t="str">
            <v>Multiplek tebal 12 mm 4 x 8 (inch)</v>
          </cell>
          <cell r="C381" t="str">
            <v>lembar</v>
          </cell>
          <cell r="D381">
            <v>292100</v>
          </cell>
          <cell r="E381">
            <v>292100</v>
          </cell>
        </row>
        <row r="382">
          <cell r="B382" t="str">
            <v>Multiplek tebal 15 mm 4 x 8 (inch)</v>
          </cell>
          <cell r="C382" t="str">
            <v>lembar</v>
          </cell>
          <cell r="D382">
            <v>361100</v>
          </cell>
          <cell r="E382">
            <v>361100</v>
          </cell>
        </row>
        <row r="383">
          <cell r="B383" t="str">
            <v>Multiplek tebal 18 mm 4 x 8 (inch)</v>
          </cell>
          <cell r="C383" t="str">
            <v>lembar</v>
          </cell>
          <cell r="D383">
            <v>407200</v>
          </cell>
          <cell r="E383">
            <v>407200</v>
          </cell>
        </row>
        <row r="384">
          <cell r="B384" t="str">
            <v>Multiplek tebal 6 mm uk. 1.22 x 2.44 (m)</v>
          </cell>
          <cell r="C384" t="str">
            <v>lembar</v>
          </cell>
          <cell r="D384">
            <v>142100</v>
          </cell>
          <cell r="E384">
            <v>142100</v>
          </cell>
        </row>
        <row r="385">
          <cell r="B385" t="str">
            <v>Multiplek tebal 9 mm 4 x 8 (inch)</v>
          </cell>
          <cell r="C385" t="str">
            <v>lembar</v>
          </cell>
          <cell r="D385">
            <v>213200</v>
          </cell>
          <cell r="E385">
            <v>213200</v>
          </cell>
        </row>
        <row r="386">
          <cell r="B386" t="str">
            <v>Melamin uk. ( 4' x 8' )</v>
          </cell>
          <cell r="C386" t="str">
            <v>m2</v>
          </cell>
          <cell r="D386">
            <v>996320</v>
          </cell>
          <cell r="E386">
            <v>996320</v>
          </cell>
        </row>
        <row r="387">
          <cell r="B387" t="str">
            <v>Paku</v>
          </cell>
          <cell r="C387" t="str">
            <v>kg</v>
          </cell>
          <cell r="D387">
            <v>19358.18</v>
          </cell>
          <cell r="E387">
            <v>19358.18</v>
          </cell>
        </row>
        <row r="388">
          <cell r="B388" t="str">
            <v>Paku anti Karat</v>
          </cell>
          <cell r="C388" t="str">
            <v>kg</v>
          </cell>
          <cell r="D388">
            <v>37900</v>
          </cell>
          <cell r="E388">
            <v>37900</v>
          </cell>
        </row>
        <row r="389">
          <cell r="B389" t="str">
            <v>Paku asbes</v>
          </cell>
          <cell r="C389" t="str">
            <v>kg</v>
          </cell>
          <cell r="D389">
            <v>30900</v>
          </cell>
          <cell r="E389">
            <v>30900</v>
          </cell>
        </row>
        <row r="390">
          <cell r="B390" t="str">
            <v>Paku ulir asbes</v>
          </cell>
          <cell r="C390" t="str">
            <v>kg</v>
          </cell>
          <cell r="D390">
            <v>31270.91</v>
          </cell>
          <cell r="E390">
            <v>31270.91</v>
          </cell>
        </row>
        <row r="391">
          <cell r="B391" t="str">
            <v>Paku berbagai ukuran (1/2" - 1")</v>
          </cell>
          <cell r="C391" t="str">
            <v>kg</v>
          </cell>
          <cell r="D391">
            <v>28200</v>
          </cell>
          <cell r="E391">
            <v>28200</v>
          </cell>
        </row>
        <row r="392">
          <cell r="B392" t="str">
            <v>Paku berbagai ukuran (2" - 5")</v>
          </cell>
          <cell r="C392" t="str">
            <v>kg</v>
          </cell>
          <cell r="D392">
            <v>33500</v>
          </cell>
          <cell r="E392">
            <v>33500</v>
          </cell>
        </row>
        <row r="393">
          <cell r="B393" t="str">
            <v>Paku jembatan</v>
          </cell>
          <cell r="C393" t="str">
            <v>kg</v>
          </cell>
          <cell r="D393">
            <v>61800</v>
          </cell>
          <cell r="E393">
            <v>61800</v>
          </cell>
        </row>
        <row r="394">
          <cell r="B394" t="str">
            <v>Paku kait</v>
          </cell>
          <cell r="C394" t="str">
            <v>bh</v>
          </cell>
          <cell r="D394">
            <v>1700</v>
          </cell>
          <cell r="E394">
            <v>1700</v>
          </cell>
        </row>
        <row r="395">
          <cell r="B395" t="str">
            <v>Paku sekrup</v>
          </cell>
          <cell r="C395" t="str">
            <v>bh</v>
          </cell>
          <cell r="D395">
            <v>1800</v>
          </cell>
          <cell r="E395">
            <v>1800</v>
          </cell>
        </row>
        <row r="396">
          <cell r="B396" t="str">
            <v>Paku seng</v>
          </cell>
          <cell r="C396" t="str">
            <v>kg</v>
          </cell>
          <cell r="D396">
            <v>27846</v>
          </cell>
          <cell r="E396">
            <v>27846</v>
          </cell>
        </row>
        <row r="397">
          <cell r="B397" t="str">
            <v>Paku tembok</v>
          </cell>
          <cell r="C397" t="str">
            <v>kg</v>
          </cell>
          <cell r="D397">
            <v>26500</v>
          </cell>
          <cell r="E397">
            <v>26500</v>
          </cell>
        </row>
        <row r="398">
          <cell r="B398" t="str">
            <v>Paku Gypsum</v>
          </cell>
          <cell r="C398" t="str">
            <v>kg</v>
          </cell>
          <cell r="D398">
            <v>39585</v>
          </cell>
          <cell r="E398">
            <v>39585</v>
          </cell>
        </row>
        <row r="399">
          <cell r="B399" t="str">
            <v>Panel listrik / MCB, 1 group / fase</v>
          </cell>
          <cell r="C399" t="str">
            <v>buah</v>
          </cell>
          <cell r="D399">
            <v>101700</v>
          </cell>
          <cell r="E399">
            <v>101700</v>
          </cell>
        </row>
        <row r="400">
          <cell r="B400" t="str">
            <v>Panel listrik / MCB, 2 group / fase</v>
          </cell>
          <cell r="C400" t="str">
            <v>buah</v>
          </cell>
          <cell r="D400">
            <v>130200</v>
          </cell>
          <cell r="E400">
            <v>130200</v>
          </cell>
        </row>
        <row r="401">
          <cell r="B401" t="str">
            <v>Panel listrik / MCB, 3 group / fase</v>
          </cell>
          <cell r="C401" t="str">
            <v>buah</v>
          </cell>
          <cell r="D401">
            <v>133700</v>
          </cell>
          <cell r="E401">
            <v>133700</v>
          </cell>
        </row>
        <row r="402">
          <cell r="B402" t="str">
            <v>Panel listrik / MCB, 4 group / fase</v>
          </cell>
          <cell r="C402" t="str">
            <v>buah</v>
          </cell>
          <cell r="D402">
            <v>180200</v>
          </cell>
          <cell r="E402">
            <v>180200</v>
          </cell>
        </row>
        <row r="403">
          <cell r="B403" t="str">
            <v>Parquette lantai</v>
          </cell>
          <cell r="C403" t="str">
            <v>m²</v>
          </cell>
          <cell r="D403">
            <v>150000</v>
          </cell>
          <cell r="E403">
            <v>150000</v>
          </cell>
        </row>
        <row r="404">
          <cell r="B404" t="str">
            <v>Pasir ayak untuk beton</v>
          </cell>
          <cell r="C404" t="str">
            <v>m³</v>
          </cell>
          <cell r="D404">
            <v>132400</v>
          </cell>
          <cell r="E404">
            <v>132400</v>
          </cell>
        </row>
        <row r="405">
          <cell r="B405" t="str">
            <v>Pasir pasang</v>
          </cell>
          <cell r="C405" t="str">
            <v>m³</v>
          </cell>
          <cell r="D405">
            <v>94900</v>
          </cell>
          <cell r="E405">
            <v>94900</v>
          </cell>
        </row>
        <row r="406">
          <cell r="B406" t="str">
            <v>Pasir urug / timbun</v>
          </cell>
          <cell r="C406" t="str">
            <v>m³</v>
          </cell>
          <cell r="D406">
            <v>91250</v>
          </cell>
          <cell r="E406">
            <v>91250</v>
          </cell>
        </row>
        <row r="407">
          <cell r="B407" t="str">
            <v>Pasir kasar</v>
          </cell>
          <cell r="C407" t="str">
            <v>m3</v>
          </cell>
          <cell r="D407">
            <v>79380</v>
          </cell>
          <cell r="E407">
            <v>79380</v>
          </cell>
        </row>
        <row r="408">
          <cell r="B408" t="str">
            <v>Pegangan pintu/door holder</v>
          </cell>
          <cell r="C408" t="str">
            <v>buah</v>
          </cell>
          <cell r="D408">
            <v>88300</v>
          </cell>
          <cell r="E408">
            <v>88300</v>
          </cell>
        </row>
        <row r="409">
          <cell r="B409" t="str">
            <v>Pembersih / cleaner untuk keramik / porcelaint</v>
          </cell>
          <cell r="C409" t="str">
            <v>kg</v>
          </cell>
          <cell r="D409">
            <v>900</v>
          </cell>
          <cell r="E409">
            <v>900</v>
          </cell>
        </row>
        <row r="410">
          <cell r="B410" t="str">
            <v xml:space="preserve">Pintu alumunium - swing + door closer </v>
          </cell>
          <cell r="C410" t="str">
            <v>unit</v>
          </cell>
          <cell r="D410">
            <v>2356300</v>
          </cell>
          <cell r="E410">
            <v>2356300</v>
          </cell>
        </row>
        <row r="411">
          <cell r="B411" t="str">
            <v>Pintu alumunium - swing + floorhinge</v>
          </cell>
          <cell r="C411" t="str">
            <v>unit</v>
          </cell>
          <cell r="D411">
            <v>3549400</v>
          </cell>
          <cell r="E411">
            <v>3549400</v>
          </cell>
        </row>
        <row r="412">
          <cell r="B412" t="str">
            <v xml:space="preserve">Pintu besi </v>
          </cell>
          <cell r="C412" t="str">
            <v>m²</v>
          </cell>
          <cell r="D412">
            <v>529500</v>
          </cell>
          <cell r="E412">
            <v>529500</v>
          </cell>
        </row>
        <row r="413">
          <cell r="B413" t="str">
            <v>Pintu besi lipat</v>
          </cell>
          <cell r="C413" t="str">
            <v>m²</v>
          </cell>
          <cell r="D413">
            <v>882500</v>
          </cell>
          <cell r="E413">
            <v>882500</v>
          </cell>
        </row>
        <row r="414">
          <cell r="B414" t="str">
            <v>Pipa besi hitam Medium dia "1 x 6 m</v>
          </cell>
          <cell r="C414" t="str">
            <v>m'</v>
          </cell>
          <cell r="D414">
            <v>23059.89</v>
          </cell>
          <cell r="E414">
            <v>23059.89</v>
          </cell>
        </row>
        <row r="415">
          <cell r="B415" t="str">
            <v>Pipa besi hitam Medium dia "2 x 6 m</v>
          </cell>
          <cell r="C415" t="str">
            <v>m'</v>
          </cell>
          <cell r="D415">
            <v>28005.18</v>
          </cell>
          <cell r="E415">
            <v>28005.18</v>
          </cell>
        </row>
        <row r="416">
          <cell r="B416" t="str">
            <v>Piap besi hitam Medium dia "3 x 6 m</v>
          </cell>
          <cell r="C416" t="str">
            <v>m'</v>
          </cell>
          <cell r="D416">
            <v>69235.320000000007</v>
          </cell>
          <cell r="E416">
            <v>69235.320000000007</v>
          </cell>
        </row>
        <row r="417">
          <cell r="B417" t="str">
            <v>Pipa besi hitam S 11 dia 4" x 6 m</v>
          </cell>
          <cell r="C417" t="str">
            <v>m'</v>
          </cell>
          <cell r="D417">
            <v>69235.320000000007</v>
          </cell>
          <cell r="E417">
            <v>69235.320000000007</v>
          </cell>
        </row>
        <row r="418">
          <cell r="B418" t="str">
            <v>Pipa Gip dia 100 mm</v>
          </cell>
          <cell r="C418" t="str">
            <v>m'</v>
          </cell>
          <cell r="D418">
            <v>43995</v>
          </cell>
          <cell r="E418">
            <v>43995</v>
          </cell>
        </row>
        <row r="419">
          <cell r="B419" t="str">
            <v>Pipa Gip dia 150 mm</v>
          </cell>
          <cell r="C419" t="str">
            <v>m'</v>
          </cell>
          <cell r="D419">
            <v>54138</v>
          </cell>
          <cell r="E419">
            <v>54138</v>
          </cell>
        </row>
        <row r="420">
          <cell r="B420" t="str">
            <v>Pipa Gip dia 200 mm</v>
          </cell>
          <cell r="C420" t="str">
            <v>m'</v>
          </cell>
          <cell r="D420">
            <v>77742</v>
          </cell>
          <cell r="E420">
            <v>77742</v>
          </cell>
        </row>
        <row r="421">
          <cell r="B421" t="str">
            <v>Pipa Gip Dia 50 mm</v>
          </cell>
          <cell r="C421" t="str">
            <v>m'</v>
          </cell>
          <cell r="D421">
            <v>6779.01</v>
          </cell>
          <cell r="E421">
            <v>6779.01</v>
          </cell>
        </row>
        <row r="422">
          <cell r="B422" t="str">
            <v>Pipa besi galvanis ø 0,5 (inch)</v>
          </cell>
          <cell r="C422" t="str">
            <v>m'</v>
          </cell>
          <cell r="D422">
            <v>32700</v>
          </cell>
          <cell r="E422">
            <v>32700</v>
          </cell>
        </row>
        <row r="423">
          <cell r="B423" t="str">
            <v>Pipa besi galvanis ø 0,75 (inch)</v>
          </cell>
          <cell r="C423" t="str">
            <v>m'</v>
          </cell>
          <cell r="D423">
            <v>42400</v>
          </cell>
          <cell r="E423">
            <v>42400</v>
          </cell>
        </row>
        <row r="424">
          <cell r="B424" t="str">
            <v>Pipa besi galvanis ø 1 (inch)</v>
          </cell>
          <cell r="C424" t="str">
            <v>m'</v>
          </cell>
          <cell r="D424">
            <v>65700</v>
          </cell>
          <cell r="E424">
            <v>65700</v>
          </cell>
        </row>
        <row r="425">
          <cell r="B425" t="str">
            <v>Pipa besi galvanis ø 1,25 (inch)</v>
          </cell>
          <cell r="C425" t="str">
            <v>m'</v>
          </cell>
          <cell r="D425">
            <v>84700</v>
          </cell>
          <cell r="E425">
            <v>84700</v>
          </cell>
        </row>
        <row r="426">
          <cell r="B426" t="str">
            <v>Pipa besi galvanis ø 1,5 (inch)</v>
          </cell>
          <cell r="C426" t="str">
            <v>m'</v>
          </cell>
          <cell r="D426">
            <v>98000</v>
          </cell>
          <cell r="E426">
            <v>98000</v>
          </cell>
        </row>
        <row r="427">
          <cell r="B427" t="str">
            <v>Pipa besi galvanis ø 2 (inch)</v>
          </cell>
          <cell r="C427" t="str">
            <v>m'</v>
          </cell>
          <cell r="D427">
            <v>134600</v>
          </cell>
          <cell r="E427">
            <v>134600</v>
          </cell>
        </row>
        <row r="428">
          <cell r="B428" t="str">
            <v>Pipa besi galvanis ø 4 (inch)</v>
          </cell>
          <cell r="C428" t="str">
            <v>m'</v>
          </cell>
          <cell r="D428">
            <v>413900</v>
          </cell>
          <cell r="E428">
            <v>413900</v>
          </cell>
        </row>
        <row r="429">
          <cell r="B429" t="str">
            <v>Pipa beton ø 20 cm, panjang 1 m'</v>
          </cell>
          <cell r="C429" t="str">
            <v>buah</v>
          </cell>
          <cell r="D429">
            <v>141200</v>
          </cell>
          <cell r="E429">
            <v>141200</v>
          </cell>
        </row>
        <row r="430">
          <cell r="B430" t="str">
            <v>Pipa beton ø 60 cm, panjang 1 m'</v>
          </cell>
          <cell r="C430" t="str">
            <v>buah</v>
          </cell>
          <cell r="D430">
            <v>232100</v>
          </cell>
          <cell r="E430">
            <v>232100</v>
          </cell>
        </row>
        <row r="431">
          <cell r="B431" t="str">
            <v>Pipa PVC RR dia 100 mm</v>
          </cell>
          <cell r="C431" t="str">
            <v>m'</v>
          </cell>
          <cell r="D431">
            <v>38507.18</v>
          </cell>
          <cell r="E431">
            <v>38507.18</v>
          </cell>
        </row>
        <row r="432">
          <cell r="B432" t="str">
            <v>Pipa PVC RR dia 150 mm</v>
          </cell>
          <cell r="C432" t="str">
            <v>m'</v>
          </cell>
          <cell r="D432">
            <v>62178.48</v>
          </cell>
          <cell r="E432">
            <v>62178.48</v>
          </cell>
        </row>
        <row r="433">
          <cell r="B433" t="str">
            <v>Pipa PVC RR dia 200 mm</v>
          </cell>
          <cell r="C433" t="str">
            <v>m'</v>
          </cell>
          <cell r="D433">
            <v>181450.71</v>
          </cell>
          <cell r="E433">
            <v>181450.71</v>
          </cell>
        </row>
        <row r="434">
          <cell r="B434" t="str">
            <v>Pipa PVC RR dia 50 mm</v>
          </cell>
          <cell r="C434" t="str">
            <v>m'</v>
          </cell>
          <cell r="D434">
            <v>10168.52</v>
          </cell>
          <cell r="E434">
            <v>10168.52</v>
          </cell>
        </row>
        <row r="435">
          <cell r="B435" t="str">
            <v>Pipa PVC RR dia 75 mm</v>
          </cell>
          <cell r="C435" t="str">
            <v>m'</v>
          </cell>
          <cell r="D435">
            <v>24462.9</v>
          </cell>
          <cell r="E435">
            <v>24462.9</v>
          </cell>
        </row>
        <row r="436">
          <cell r="B436" t="str">
            <v>Pipa PVC Wavin dia 1" x 4 m</v>
          </cell>
          <cell r="C436" t="str">
            <v>m'</v>
          </cell>
          <cell r="D436">
            <v>7969.5</v>
          </cell>
          <cell r="E436">
            <v>7969.5</v>
          </cell>
        </row>
        <row r="437">
          <cell r="B437" t="str">
            <v>Pipa PVC Wavin dia 2" x 4 m</v>
          </cell>
          <cell r="C437" t="str">
            <v>m'</v>
          </cell>
          <cell r="D437">
            <v>16537.5</v>
          </cell>
          <cell r="E437">
            <v>16537.5</v>
          </cell>
        </row>
        <row r="438">
          <cell r="B438" t="str">
            <v>Pipa PVC Wavin dia 3" x 4 m</v>
          </cell>
          <cell r="C438" t="str">
            <v>m'</v>
          </cell>
          <cell r="D438">
            <v>30712.5</v>
          </cell>
          <cell r="E438">
            <v>30712.5</v>
          </cell>
        </row>
        <row r="439">
          <cell r="B439" t="str">
            <v>Pipa PVC Wavin Lucky LG dia 4" x 4 m</v>
          </cell>
          <cell r="C439" t="str">
            <v>m'</v>
          </cell>
          <cell r="D439">
            <v>46068.75</v>
          </cell>
          <cell r="E439">
            <v>46068.75</v>
          </cell>
        </row>
        <row r="440">
          <cell r="B440" t="str">
            <v>Pipa PVC ø 1(inch) AW, panjang 4 m</v>
          </cell>
          <cell r="C440" t="str">
            <v>m'</v>
          </cell>
          <cell r="D440">
            <v>12700</v>
          </cell>
          <cell r="E440">
            <v>12700</v>
          </cell>
        </row>
        <row r="441">
          <cell r="B441" t="str">
            <v>Pipa PVC ø 1,5 (inch) AW, panjang 4 m</v>
          </cell>
          <cell r="C441" t="str">
            <v>m'</v>
          </cell>
          <cell r="D441">
            <v>22100</v>
          </cell>
          <cell r="E441">
            <v>22100</v>
          </cell>
        </row>
        <row r="442">
          <cell r="B442" t="str">
            <v xml:space="preserve">Pipa PVC ø 1/2 (inch) AW, panjang 4 m </v>
          </cell>
          <cell r="C442" t="str">
            <v>m'</v>
          </cell>
          <cell r="D442">
            <v>7200</v>
          </cell>
          <cell r="E442">
            <v>7200</v>
          </cell>
        </row>
        <row r="443">
          <cell r="B443" t="str">
            <v>Pipa PVC ø 3 (inch) AW, panjang 4 m</v>
          </cell>
          <cell r="C443" t="str">
            <v>m'</v>
          </cell>
          <cell r="D443">
            <v>56500</v>
          </cell>
          <cell r="E443">
            <v>56500</v>
          </cell>
        </row>
        <row r="444">
          <cell r="B444" t="str">
            <v>Pipa PVC ø 3/4 (inch) AW, panjang 4 m</v>
          </cell>
          <cell r="C444" t="str">
            <v>m'</v>
          </cell>
          <cell r="D444">
            <v>9500</v>
          </cell>
          <cell r="E444">
            <v>9500</v>
          </cell>
        </row>
        <row r="445">
          <cell r="B445" t="str">
            <v>Pipa PVC ø 4 - 6 (inch) AW, panjang 4 m</v>
          </cell>
          <cell r="C445" t="str">
            <v>m'</v>
          </cell>
          <cell r="D445">
            <v>92700</v>
          </cell>
          <cell r="E445">
            <v>92700</v>
          </cell>
        </row>
        <row r="446">
          <cell r="B446" t="str">
            <v>Pipa Gip dia 13 mm</v>
          </cell>
          <cell r="C446" t="str">
            <v>m'</v>
          </cell>
          <cell r="D446">
            <v>2833.87</v>
          </cell>
          <cell r="E446">
            <v>2833.87</v>
          </cell>
        </row>
        <row r="447">
          <cell r="B447" t="str">
            <v>Pipa Gip dia 3/4 mm</v>
          </cell>
          <cell r="C447" t="str">
            <v>m;</v>
          </cell>
          <cell r="D447">
            <v>40229.78</v>
          </cell>
          <cell r="E447">
            <v>40229.78</v>
          </cell>
        </row>
        <row r="448">
          <cell r="B448" t="str">
            <v>Plamuer</v>
          </cell>
          <cell r="C448" t="str">
            <v>kg</v>
          </cell>
          <cell r="D448">
            <v>19400</v>
          </cell>
          <cell r="E448">
            <v>19400</v>
          </cell>
        </row>
        <row r="449">
          <cell r="B449" t="str">
            <v>Plint keramik 10 x 15 cm</v>
          </cell>
          <cell r="C449" t="str">
            <v>buah</v>
          </cell>
          <cell r="D449">
            <v>1800</v>
          </cell>
          <cell r="E449">
            <v>1800</v>
          </cell>
        </row>
        <row r="450">
          <cell r="B450" t="str">
            <v>Plint keramik 10 x 20 cm</v>
          </cell>
          <cell r="C450" t="str">
            <v>buah</v>
          </cell>
          <cell r="D450">
            <v>2600</v>
          </cell>
          <cell r="E450">
            <v>2600</v>
          </cell>
        </row>
        <row r="451">
          <cell r="B451" t="str">
            <v>Plint keramik 10 x 40 cm</v>
          </cell>
          <cell r="C451" t="str">
            <v>buah</v>
          </cell>
          <cell r="D451">
            <v>3500</v>
          </cell>
          <cell r="E451">
            <v>3500</v>
          </cell>
        </row>
        <row r="452">
          <cell r="B452" t="str">
            <v>Plint ubin abu-abu 15 x 20 (cm)</v>
          </cell>
          <cell r="C452" t="str">
            <v>buah</v>
          </cell>
          <cell r="D452">
            <v>8300</v>
          </cell>
          <cell r="E452">
            <v>8300</v>
          </cell>
        </row>
        <row r="453">
          <cell r="B453" t="str">
            <v>Plint ubin granito 10 x 30 cm</v>
          </cell>
          <cell r="C453" t="str">
            <v>buah</v>
          </cell>
          <cell r="D453">
            <v>8800</v>
          </cell>
          <cell r="E453">
            <v>8800</v>
          </cell>
        </row>
        <row r="454">
          <cell r="B454" t="str">
            <v>Plint ubin granito 10 x 40 cm</v>
          </cell>
          <cell r="C454" t="str">
            <v>buah</v>
          </cell>
          <cell r="D454">
            <v>10600</v>
          </cell>
          <cell r="E454">
            <v>10600</v>
          </cell>
        </row>
        <row r="455">
          <cell r="B455" t="str">
            <v>Plywood uk. 0,30 x 0,60 (m), tebal 4mm</v>
          </cell>
          <cell r="C455" t="str">
            <v>lembar</v>
          </cell>
          <cell r="D455">
            <v>73200</v>
          </cell>
          <cell r="E455">
            <v>73200</v>
          </cell>
        </row>
        <row r="456">
          <cell r="B456" t="str">
            <v>Plywood uk. 0,30 x 0,60 (m), tebal 6mm</v>
          </cell>
          <cell r="C456" t="str">
            <v>lembar</v>
          </cell>
          <cell r="D456">
            <v>79400</v>
          </cell>
          <cell r="E456">
            <v>79400</v>
          </cell>
        </row>
        <row r="457">
          <cell r="B457" t="str">
            <v>Plywood uk. 0,60 x 1,20 (m), tebal 4mm</v>
          </cell>
          <cell r="C457" t="str">
            <v>lembar</v>
          </cell>
          <cell r="D457">
            <v>77700</v>
          </cell>
          <cell r="E457">
            <v>77700</v>
          </cell>
        </row>
        <row r="458">
          <cell r="B458" t="str">
            <v>Plywood uk. 0,60 x 1,20 (m), tebal 6mm</v>
          </cell>
          <cell r="C458" t="str">
            <v>lembar</v>
          </cell>
          <cell r="D458">
            <v>114700</v>
          </cell>
          <cell r="E458">
            <v>114700</v>
          </cell>
        </row>
        <row r="459">
          <cell r="B459" t="str">
            <v>Plywood uk. 1,22 x 2,44 (m), tebal 4 mm</v>
          </cell>
          <cell r="C459" t="str">
            <v>lembar</v>
          </cell>
          <cell r="D459">
            <v>121800</v>
          </cell>
          <cell r="E459">
            <v>121800</v>
          </cell>
        </row>
        <row r="460">
          <cell r="B460" t="str">
            <v>Plywood uk. 1,22 x 2,44 (m), tebal 9 mm</v>
          </cell>
          <cell r="C460" t="str">
            <v>lembar</v>
          </cell>
          <cell r="D460">
            <v>130600</v>
          </cell>
          <cell r="E460">
            <v>130600</v>
          </cell>
        </row>
        <row r="461">
          <cell r="B461" t="str">
            <v>Politur</v>
          </cell>
          <cell r="C461" t="str">
            <v>liter</v>
          </cell>
          <cell r="D461">
            <v>59700</v>
          </cell>
          <cell r="E461">
            <v>59700</v>
          </cell>
        </row>
        <row r="462">
          <cell r="B462" t="str">
            <v>Politur jadi</v>
          </cell>
          <cell r="C462" t="str">
            <v>liter</v>
          </cell>
          <cell r="D462">
            <v>98300</v>
          </cell>
          <cell r="E462">
            <v>98300</v>
          </cell>
        </row>
        <row r="463">
          <cell r="B463" t="str">
            <v>Porcelaint uk. 11 cm x 11 cm</v>
          </cell>
          <cell r="C463" t="str">
            <v>buah</v>
          </cell>
          <cell r="D463">
            <v>1600</v>
          </cell>
          <cell r="E463">
            <v>1600</v>
          </cell>
        </row>
        <row r="464">
          <cell r="B464" t="str">
            <v>Profil aluminium T</v>
          </cell>
          <cell r="C464" t="str">
            <v>m'</v>
          </cell>
          <cell r="D464">
            <v>45900</v>
          </cell>
          <cell r="E464">
            <v>45900</v>
          </cell>
        </row>
        <row r="465">
          <cell r="B465" t="str">
            <v>Pengadaan Water meter dia 13 mm</v>
          </cell>
          <cell r="C465" t="str">
            <v>unit</v>
          </cell>
          <cell r="D465">
            <v>441000</v>
          </cell>
          <cell r="E465">
            <v>441000</v>
          </cell>
        </row>
        <row r="466">
          <cell r="B466" t="str">
            <v>Railing tangga stainless steel pipa dia. 2" dan 1"</v>
          </cell>
          <cell r="C466" t="str">
            <v>m'</v>
          </cell>
          <cell r="D466">
            <v>1152500</v>
          </cell>
          <cell r="E466">
            <v>1152500</v>
          </cell>
        </row>
        <row r="467">
          <cell r="B467" t="str">
            <v>Rangka / frame accoustic board - cross tee</v>
          </cell>
          <cell r="C467" t="str">
            <v>m'</v>
          </cell>
          <cell r="D467">
            <v>45900</v>
          </cell>
          <cell r="E467">
            <v>45900</v>
          </cell>
        </row>
        <row r="468">
          <cell r="B468" t="str">
            <v>Rangka / frame accoustic board - main tee</v>
          </cell>
          <cell r="C468" t="str">
            <v>m'</v>
          </cell>
          <cell r="D468">
            <v>55600</v>
          </cell>
          <cell r="E468">
            <v>55600</v>
          </cell>
        </row>
        <row r="469">
          <cell r="B469" t="str">
            <v>Rangka / frame accoustic board - rod / adjustable dia. 4 mm</v>
          </cell>
          <cell r="C469" t="str">
            <v>m'</v>
          </cell>
          <cell r="D469">
            <v>26500</v>
          </cell>
          <cell r="E469">
            <v>26500</v>
          </cell>
        </row>
        <row r="470">
          <cell r="B470" t="str">
            <v>Rangka / frame accoustic board - wall angle</v>
          </cell>
          <cell r="C470" t="str">
            <v>m'</v>
          </cell>
          <cell r="D470">
            <v>61800</v>
          </cell>
          <cell r="E470">
            <v>61800</v>
          </cell>
        </row>
        <row r="471">
          <cell r="B471" t="str">
            <v>Rangka atap baja ringan type limas</v>
          </cell>
          <cell r="C471" t="str">
            <v>m²</v>
          </cell>
          <cell r="D471">
            <v>349500</v>
          </cell>
          <cell r="E471">
            <v>349500</v>
          </cell>
        </row>
        <row r="472">
          <cell r="B472" t="str">
            <v>Rangka atap baja ringan type pelana</v>
          </cell>
          <cell r="C472" t="str">
            <v>m²</v>
          </cell>
          <cell r="D472">
            <v>325600</v>
          </cell>
          <cell r="E472">
            <v>325600</v>
          </cell>
        </row>
        <row r="473">
          <cell r="B473" t="str">
            <v>Rapidrant</v>
          </cell>
          <cell r="C473" t="str">
            <v>kg</v>
          </cell>
          <cell r="D473">
            <v>3400</v>
          </cell>
          <cell r="E473">
            <v>3400</v>
          </cell>
        </row>
        <row r="474">
          <cell r="B474" t="str">
            <v>Reducer PVC dari 1/2 (inch) ke 1 (inch)</v>
          </cell>
          <cell r="C474" t="str">
            <v>buah</v>
          </cell>
          <cell r="D474">
            <v>10100</v>
          </cell>
          <cell r="E474">
            <v>10100</v>
          </cell>
        </row>
        <row r="475">
          <cell r="B475" t="str">
            <v>Reducer PVC dari 1/2 (inch) ke 3/4 (inch)</v>
          </cell>
          <cell r="C475" t="str">
            <v>buah</v>
          </cell>
          <cell r="D475">
            <v>14000</v>
          </cell>
          <cell r="E475">
            <v>14000</v>
          </cell>
        </row>
        <row r="476">
          <cell r="B476" t="str">
            <v>Reducer PVC dari 3/4 (inch) ke 1 (inch)</v>
          </cell>
          <cell r="C476" t="str">
            <v>buah</v>
          </cell>
          <cell r="D476">
            <v>12100</v>
          </cell>
          <cell r="E476">
            <v>12100</v>
          </cell>
        </row>
        <row r="477">
          <cell r="B477" t="str">
            <v>Reducer C1 dia 200 mm x80 mm</v>
          </cell>
          <cell r="C477" t="str">
            <v>unit</v>
          </cell>
          <cell r="D477">
            <v>821737.79</v>
          </cell>
          <cell r="E477">
            <v>821737.79</v>
          </cell>
        </row>
        <row r="478">
          <cell r="B478" t="str">
            <v>Reducer PVC 150 x 100</v>
          </cell>
          <cell r="C478" t="str">
            <v>unit</v>
          </cell>
          <cell r="D478">
            <v>1330085.01</v>
          </cell>
          <cell r="E478">
            <v>1330085.01</v>
          </cell>
        </row>
        <row r="479">
          <cell r="B479" t="str">
            <v>Reducer Pvc 200 x 150</v>
          </cell>
          <cell r="C479" t="str">
            <v>unit</v>
          </cell>
          <cell r="D479">
            <v>1450942.73</v>
          </cell>
          <cell r="E479">
            <v>1450942.73</v>
          </cell>
        </row>
        <row r="480">
          <cell r="B480" t="str">
            <v>Rel pintu dorong</v>
          </cell>
          <cell r="C480" t="str">
            <v>buah</v>
          </cell>
          <cell r="D480">
            <v>220600</v>
          </cell>
          <cell r="E480">
            <v>220600</v>
          </cell>
        </row>
        <row r="481">
          <cell r="B481" t="str">
            <v>Residu</v>
          </cell>
          <cell r="C481" t="str">
            <v>liter</v>
          </cell>
          <cell r="D481">
            <v>18500</v>
          </cell>
          <cell r="E481">
            <v>18500</v>
          </cell>
        </row>
        <row r="482">
          <cell r="B482" t="str">
            <v>Rolling door</v>
          </cell>
          <cell r="C482" t="str">
            <v>m2</v>
          </cell>
          <cell r="D482">
            <v>463137.05</v>
          </cell>
          <cell r="E482">
            <v>463137.05</v>
          </cell>
        </row>
        <row r="483">
          <cell r="B483" t="str">
            <v>Rolling dor - alumunium tebal</v>
          </cell>
          <cell r="C483" t="str">
            <v>m²</v>
          </cell>
          <cell r="D483">
            <v>503000</v>
          </cell>
          <cell r="E483">
            <v>503000</v>
          </cell>
        </row>
        <row r="484">
          <cell r="B484" t="str">
            <v>Rolling dor - alumunium tipis</v>
          </cell>
          <cell r="C484" t="str">
            <v>m²</v>
          </cell>
          <cell r="D484">
            <v>414800</v>
          </cell>
          <cell r="E484">
            <v>414800</v>
          </cell>
        </row>
        <row r="485">
          <cell r="B485" t="str">
            <v>Rooflight fibreglass uk. 1,8 x 0,9 (m)</v>
          </cell>
          <cell r="C485" t="str">
            <v>lembar</v>
          </cell>
          <cell r="D485">
            <v>123600</v>
          </cell>
          <cell r="E485">
            <v>123600</v>
          </cell>
        </row>
        <row r="486">
          <cell r="B486" t="str">
            <v>Rooster block uk. 12 x 11 x 24 (cm)</v>
          </cell>
          <cell r="C486" t="str">
            <v>buah</v>
          </cell>
          <cell r="D486">
            <v>10200</v>
          </cell>
          <cell r="E486">
            <v>10200</v>
          </cell>
        </row>
        <row r="487">
          <cell r="B487" t="str">
            <v>Rooster block uk. 20 x 20 (cm)</v>
          </cell>
          <cell r="C487" t="str">
            <v>buah</v>
          </cell>
          <cell r="D487">
            <v>5775</v>
          </cell>
          <cell r="E487">
            <v>5775</v>
          </cell>
        </row>
        <row r="488">
          <cell r="B488" t="str">
            <v>Sabun</v>
          </cell>
          <cell r="C488" t="str">
            <v>kg</v>
          </cell>
          <cell r="D488">
            <v>9300</v>
          </cell>
          <cell r="E488">
            <v>9300</v>
          </cell>
        </row>
        <row r="489">
          <cell r="B489" t="str">
            <v>Saklar</v>
          </cell>
          <cell r="C489" t="str">
            <v>buah</v>
          </cell>
          <cell r="D489">
            <v>18900</v>
          </cell>
          <cell r="E489">
            <v>18900</v>
          </cell>
        </row>
        <row r="490">
          <cell r="B490" t="str">
            <v>Saklar dobel</v>
          </cell>
          <cell r="C490" t="str">
            <v>buah</v>
          </cell>
          <cell r="D490">
            <v>31400</v>
          </cell>
          <cell r="E490">
            <v>31400</v>
          </cell>
        </row>
        <row r="491">
          <cell r="B491" t="str">
            <v>Sealent</v>
          </cell>
          <cell r="C491" t="str">
            <v>kg</v>
          </cell>
          <cell r="D491">
            <v>61800</v>
          </cell>
          <cell r="E491">
            <v>61800</v>
          </cell>
        </row>
        <row r="492">
          <cell r="B492" t="str">
            <v>Semen PC @ 50 kg</v>
          </cell>
          <cell r="C492" t="str">
            <v>kg</v>
          </cell>
          <cell r="D492">
            <v>1398</v>
          </cell>
          <cell r="E492">
            <v>1398</v>
          </cell>
        </row>
        <row r="493">
          <cell r="B493" t="str">
            <v>Semen Batu Raja</v>
          </cell>
          <cell r="C493" t="str">
            <v>kg</v>
          </cell>
          <cell r="D493">
            <v>1432.8</v>
          </cell>
          <cell r="E493">
            <v>1432.8</v>
          </cell>
        </row>
        <row r="494">
          <cell r="B494" t="str">
            <v>Semen Kujang</v>
          </cell>
          <cell r="C494" t="str">
            <v>kg</v>
          </cell>
          <cell r="D494">
            <v>1432.8</v>
          </cell>
          <cell r="E494">
            <v>1432.8</v>
          </cell>
        </row>
        <row r="495">
          <cell r="B495" t="str">
            <v>Semen Padang</v>
          </cell>
          <cell r="C495" t="str">
            <v>kg</v>
          </cell>
          <cell r="D495">
            <v>1432.8</v>
          </cell>
          <cell r="E495">
            <v>1432.8</v>
          </cell>
        </row>
        <row r="496">
          <cell r="B496" t="str">
            <v>Semen Tiga Roda</v>
          </cell>
          <cell r="C496" t="str">
            <v>kg</v>
          </cell>
          <cell r="D496">
            <v>1432.8</v>
          </cell>
          <cell r="E496">
            <v>1432.8</v>
          </cell>
        </row>
        <row r="497">
          <cell r="B497" t="str">
            <v>Semen putih</v>
          </cell>
          <cell r="C497" t="str">
            <v>kg</v>
          </cell>
          <cell r="D497">
            <v>1958.73</v>
          </cell>
          <cell r="E497">
            <v>1958.73</v>
          </cell>
        </row>
        <row r="498">
          <cell r="B498" t="str">
            <v>Tanah puru dari luar lokasi proyek</v>
          </cell>
          <cell r="C498" t="str">
            <v>m3</v>
          </cell>
          <cell r="D498">
            <v>77380</v>
          </cell>
          <cell r="E498">
            <v>77380</v>
          </cell>
        </row>
        <row r="499">
          <cell r="B499" t="str">
            <v>Tanah puru di lokasi proyek</v>
          </cell>
          <cell r="C499" t="str">
            <v>m3</v>
          </cell>
          <cell r="D499">
            <v>68620</v>
          </cell>
          <cell r="E499">
            <v>68620</v>
          </cell>
        </row>
        <row r="500">
          <cell r="B500" t="str">
            <v>Semen warna</v>
          </cell>
          <cell r="C500" t="str">
            <v>kg</v>
          </cell>
          <cell r="D500">
            <v>16200</v>
          </cell>
          <cell r="E500">
            <v>16200</v>
          </cell>
        </row>
        <row r="501">
          <cell r="B501" t="str">
            <v>Seng plat BJLS 27 uk. 0.3 x 1.83 (m)</v>
          </cell>
          <cell r="C501" t="str">
            <v>lembar</v>
          </cell>
          <cell r="D501">
            <v>56500</v>
          </cell>
          <cell r="E501">
            <v>56500</v>
          </cell>
        </row>
        <row r="502">
          <cell r="B502" t="str">
            <v>Seng plat BJLS 27 uk. 0.9  x 1.83 (m)</v>
          </cell>
          <cell r="C502" t="str">
            <v>lembar</v>
          </cell>
          <cell r="D502">
            <v>70600</v>
          </cell>
          <cell r="E502">
            <v>70600</v>
          </cell>
        </row>
        <row r="503">
          <cell r="B503" t="str">
            <v>Seng gelombang Bjls 20</v>
          </cell>
          <cell r="C503" t="str">
            <v>m2</v>
          </cell>
          <cell r="D503">
            <v>59503.5</v>
          </cell>
          <cell r="E503">
            <v>59503.5</v>
          </cell>
        </row>
        <row r="504">
          <cell r="B504" t="str">
            <v>Seng plat uk. 1,00 x 2,00 cm Bjls 30</v>
          </cell>
          <cell r="C504" t="str">
            <v>Kp</v>
          </cell>
          <cell r="D504">
            <v>73347.12</v>
          </cell>
          <cell r="E504">
            <v>73347.12</v>
          </cell>
        </row>
        <row r="505">
          <cell r="B505" t="str">
            <v>Sherra block</v>
          </cell>
          <cell r="C505" t="str">
            <v>buah</v>
          </cell>
          <cell r="D505">
            <v>2600</v>
          </cell>
          <cell r="E505">
            <v>2600</v>
          </cell>
        </row>
        <row r="506">
          <cell r="B506" t="str">
            <v>Sirtu</v>
          </cell>
          <cell r="C506" t="str">
            <v>m³</v>
          </cell>
          <cell r="D506">
            <v>70600</v>
          </cell>
          <cell r="E506">
            <v>70600</v>
          </cell>
        </row>
        <row r="507">
          <cell r="B507" t="str">
            <v>Slot jendela</v>
          </cell>
          <cell r="C507" t="str">
            <v>buah</v>
          </cell>
          <cell r="D507">
            <v>14100</v>
          </cell>
          <cell r="E507">
            <v>14100</v>
          </cell>
        </row>
        <row r="508">
          <cell r="B508" t="str">
            <v>Slot pintu</v>
          </cell>
          <cell r="C508" t="str">
            <v>buah</v>
          </cell>
          <cell r="D508">
            <v>15900</v>
          </cell>
          <cell r="E508">
            <v>15900</v>
          </cell>
        </row>
        <row r="509">
          <cell r="B509" t="str">
            <v>Slot ventilasi / bouwvenlight</v>
          </cell>
          <cell r="C509" t="str">
            <v>buah</v>
          </cell>
          <cell r="D509">
            <v>15000</v>
          </cell>
          <cell r="E509">
            <v>15000</v>
          </cell>
        </row>
        <row r="510">
          <cell r="B510" t="str">
            <v xml:space="preserve">Socket PVC ø 1 (inch) </v>
          </cell>
          <cell r="C510" t="str">
            <v>buah</v>
          </cell>
          <cell r="D510">
            <v>10600</v>
          </cell>
          <cell r="E510">
            <v>10600</v>
          </cell>
        </row>
        <row r="511">
          <cell r="B511" t="str">
            <v xml:space="preserve">Socket PVC ø 1/2 (inch) </v>
          </cell>
          <cell r="C511" t="str">
            <v>buah</v>
          </cell>
          <cell r="D511">
            <v>12100</v>
          </cell>
          <cell r="E511">
            <v>12100</v>
          </cell>
        </row>
        <row r="512">
          <cell r="B512" t="str">
            <v xml:space="preserve">Socket PVC ø 3/4 (inch) </v>
          </cell>
          <cell r="C512" t="str">
            <v>buah</v>
          </cell>
          <cell r="D512">
            <v>8800</v>
          </cell>
          <cell r="E512">
            <v>8800</v>
          </cell>
        </row>
        <row r="513">
          <cell r="B513" t="str">
            <v>Soda api</v>
          </cell>
          <cell r="C513" t="str">
            <v>kg</v>
          </cell>
          <cell r="D513">
            <v>38800</v>
          </cell>
          <cell r="E513">
            <v>38800</v>
          </cell>
        </row>
        <row r="514">
          <cell r="B514" t="str">
            <v>Softboard uk. 1,20 x 2,40 (m), tebal 4 mm</v>
          </cell>
          <cell r="C514" t="str">
            <v>lembar</v>
          </cell>
          <cell r="D514">
            <v>61800</v>
          </cell>
          <cell r="E514">
            <v>61800</v>
          </cell>
        </row>
        <row r="515">
          <cell r="B515" t="str">
            <v>Stone Coating</v>
          </cell>
          <cell r="C515" t="str">
            <v>kg</v>
          </cell>
          <cell r="D515">
            <v>41300</v>
          </cell>
          <cell r="E515">
            <v>41300</v>
          </cell>
        </row>
        <row r="516">
          <cell r="B516" t="str">
            <v>Stop kontak + instalasi</v>
          </cell>
          <cell r="C516" t="str">
            <v>titik</v>
          </cell>
          <cell r="D516">
            <v>46620</v>
          </cell>
          <cell r="E516">
            <v>46620</v>
          </cell>
        </row>
        <row r="517">
          <cell r="B517" t="str">
            <v>Stop kran dia 13 mm</v>
          </cell>
          <cell r="C517" t="str">
            <v>bh</v>
          </cell>
          <cell r="D517">
            <v>25803.18</v>
          </cell>
          <cell r="E517">
            <v>25803.18</v>
          </cell>
        </row>
        <row r="518">
          <cell r="B518" t="str">
            <v>Streorox - 100</v>
          </cell>
          <cell r="C518" t="str">
            <v>kg</v>
          </cell>
          <cell r="D518">
            <v>5300</v>
          </cell>
          <cell r="E518">
            <v>5300</v>
          </cell>
        </row>
        <row r="519">
          <cell r="B519" t="str">
            <v>Sunscreen alumunium</v>
          </cell>
          <cell r="C519" t="str">
            <v>m²</v>
          </cell>
          <cell r="D519">
            <v>79400</v>
          </cell>
          <cell r="E519">
            <v>79400</v>
          </cell>
        </row>
        <row r="520">
          <cell r="B520" t="str">
            <v>Tangki air / hydrant umum fiberglass 1.000 liter</v>
          </cell>
          <cell r="C520" t="str">
            <v>buah</v>
          </cell>
          <cell r="D520">
            <v>3208800</v>
          </cell>
          <cell r="E520">
            <v>3208800</v>
          </cell>
        </row>
        <row r="521">
          <cell r="B521" t="str">
            <v>Tangki air / hydrant umum fiberglass 2.000 liter</v>
          </cell>
          <cell r="C521" t="str">
            <v>buah</v>
          </cell>
          <cell r="D521">
            <v>2643630.2400000002</v>
          </cell>
          <cell r="E521">
            <v>2643630.2400000002</v>
          </cell>
        </row>
        <row r="522">
          <cell r="B522" t="str">
            <v>Tangki air / hydrant umum fiberglass 3.000 liter</v>
          </cell>
          <cell r="C522" t="str">
            <v>buah</v>
          </cell>
          <cell r="D522">
            <v>9712800</v>
          </cell>
          <cell r="E522">
            <v>9712800</v>
          </cell>
        </row>
        <row r="523">
          <cell r="B523" t="str">
            <v>Tangki air / hydrant umum fiberglass 6.000 liter (horizontal)</v>
          </cell>
          <cell r="C523" t="str">
            <v>buah</v>
          </cell>
          <cell r="D523">
            <v>29564600</v>
          </cell>
          <cell r="E523">
            <v>29564600</v>
          </cell>
        </row>
        <row r="524">
          <cell r="B524" t="str">
            <v>Tangki air / hydrant umum polyethylene 1.000 liter</v>
          </cell>
          <cell r="C524" t="str">
            <v>buah</v>
          </cell>
          <cell r="D524">
            <v>2797500</v>
          </cell>
          <cell r="E524">
            <v>2797500</v>
          </cell>
        </row>
        <row r="525">
          <cell r="B525" t="str">
            <v>Tangki air / hydrant umum polyethylene 2.000 liter</v>
          </cell>
          <cell r="C525" t="str">
            <v>buah</v>
          </cell>
          <cell r="D525">
            <v>6354000</v>
          </cell>
          <cell r="E525">
            <v>6354000</v>
          </cell>
        </row>
        <row r="526">
          <cell r="B526" t="str">
            <v>Tangki air / hydrant umum polyethylene 3.000 liter</v>
          </cell>
          <cell r="C526" t="str">
            <v>buah</v>
          </cell>
          <cell r="D526">
            <v>8454400</v>
          </cell>
          <cell r="E526">
            <v>8454400</v>
          </cell>
        </row>
        <row r="527">
          <cell r="B527" t="str">
            <v>Tangki air / hydrant umum polyethylene 4.000 liter</v>
          </cell>
          <cell r="C527" t="str">
            <v>buah</v>
          </cell>
          <cell r="D527">
            <v>10801800</v>
          </cell>
          <cell r="E527">
            <v>10801800</v>
          </cell>
        </row>
        <row r="528">
          <cell r="B528" t="str">
            <v>Tangki air / hydrant umum polyethylene 5.000 liter</v>
          </cell>
          <cell r="C528" t="str">
            <v>buah</v>
          </cell>
          <cell r="D528">
            <v>12628600</v>
          </cell>
          <cell r="E528">
            <v>12628600</v>
          </cell>
        </row>
        <row r="529">
          <cell r="B529" t="str">
            <v xml:space="preserve">Tangki air / hydrant umum polyethylene 500 liter </v>
          </cell>
          <cell r="C529" t="str">
            <v>buah</v>
          </cell>
          <cell r="D529">
            <v>1200200</v>
          </cell>
          <cell r="E529">
            <v>1200200</v>
          </cell>
        </row>
        <row r="530">
          <cell r="B530" t="str">
            <v>Tangki air fiberglass (oranye) 1.000 liter</v>
          </cell>
          <cell r="C530" t="str">
            <v>buah</v>
          </cell>
          <cell r="D530">
            <v>2647500</v>
          </cell>
          <cell r="E530">
            <v>2647500</v>
          </cell>
        </row>
        <row r="531">
          <cell r="B531" t="str">
            <v>Tangki air fiberglass (oranye) 2.000 liter</v>
          </cell>
          <cell r="C531" t="str">
            <v>buah</v>
          </cell>
          <cell r="D531">
            <v>5295000</v>
          </cell>
          <cell r="E531">
            <v>5295000</v>
          </cell>
        </row>
        <row r="532">
          <cell r="B532" t="str">
            <v>Tangki air fiberglass (oranye) 3.000 liter</v>
          </cell>
          <cell r="C532" t="str">
            <v>buah</v>
          </cell>
          <cell r="D532">
            <v>9712800</v>
          </cell>
          <cell r="E532">
            <v>9712800</v>
          </cell>
        </row>
        <row r="533">
          <cell r="B533" t="str">
            <v>Tangki air fiberglass (oranye) 500 liter</v>
          </cell>
          <cell r="C533" t="str">
            <v>buah</v>
          </cell>
          <cell r="D533">
            <v>970800</v>
          </cell>
          <cell r="E533">
            <v>970800</v>
          </cell>
        </row>
        <row r="534">
          <cell r="B534" t="str">
            <v>Teak wood 0,30 x 0,60 (m), tebal 4 mm</v>
          </cell>
          <cell r="C534" t="str">
            <v>lembar</v>
          </cell>
          <cell r="D534">
            <v>113400</v>
          </cell>
          <cell r="E534">
            <v>113400</v>
          </cell>
        </row>
        <row r="535">
          <cell r="B535" t="str">
            <v>Teak wood 0,90 x 2,10 (m), tebal 4 mm</v>
          </cell>
          <cell r="C535" t="str">
            <v>lembar</v>
          </cell>
          <cell r="D535">
            <v>144700</v>
          </cell>
          <cell r="E535">
            <v>144700</v>
          </cell>
        </row>
        <row r="536">
          <cell r="B536" t="str">
            <v>Teak wood 1,20 x 2,40 (m), tebal 4 mm</v>
          </cell>
          <cell r="C536" t="str">
            <v>lembar</v>
          </cell>
          <cell r="D536">
            <v>220600</v>
          </cell>
          <cell r="E536">
            <v>220600</v>
          </cell>
        </row>
        <row r="537">
          <cell r="B537" t="str">
            <v>Teak wood 1,20 x 2,40 (m), tebal 4 mm</v>
          </cell>
          <cell r="C537" t="str">
            <v>m2</v>
          </cell>
          <cell r="D537">
            <v>67500</v>
          </cell>
          <cell r="E537">
            <v>67500</v>
          </cell>
        </row>
        <row r="538">
          <cell r="B538" t="str">
            <v>Tee C1 dia 200 x 200 mm ff</v>
          </cell>
          <cell r="C538" t="str">
            <v>unit</v>
          </cell>
          <cell r="D538">
            <v>2626206.9700000002</v>
          </cell>
          <cell r="E538">
            <v>2626206.9700000002</v>
          </cell>
        </row>
        <row r="539">
          <cell r="B539" t="str">
            <v>Tee Gip dia 13 mm</v>
          </cell>
          <cell r="C539" t="str">
            <v>bh</v>
          </cell>
          <cell r="D539">
            <v>3780</v>
          </cell>
          <cell r="E539">
            <v>3780</v>
          </cell>
        </row>
        <row r="540">
          <cell r="B540" t="str">
            <v>Tee all socket PVC ø 100 x 50 (mm)</v>
          </cell>
          <cell r="C540" t="str">
            <v>unit</v>
          </cell>
          <cell r="D540">
            <v>829015.83</v>
          </cell>
          <cell r="E540">
            <v>829015.83</v>
          </cell>
        </row>
        <row r="541">
          <cell r="B541" t="str">
            <v>Tee PVC 150 x 100 mm</v>
          </cell>
          <cell r="C541" t="str">
            <v>unit</v>
          </cell>
          <cell r="D541">
            <v>1330085.01</v>
          </cell>
          <cell r="E541">
            <v>1330085.01</v>
          </cell>
        </row>
        <row r="542">
          <cell r="B542" t="str">
            <v>Tee PVC 150 x 150 mm</v>
          </cell>
          <cell r="C542" t="str">
            <v>unit</v>
          </cell>
          <cell r="D542">
            <v>1450060.89</v>
          </cell>
          <cell r="E542">
            <v>1450060.89</v>
          </cell>
        </row>
        <row r="543">
          <cell r="B543" t="str">
            <v>Tee PVC 150 x 40 mm</v>
          </cell>
          <cell r="C543" t="str">
            <v>unit</v>
          </cell>
          <cell r="D543">
            <v>1209008.92</v>
          </cell>
          <cell r="E543">
            <v>1209008.92</v>
          </cell>
        </row>
        <row r="544">
          <cell r="B544" t="str">
            <v>Tee PVC 200 x 200 mm</v>
          </cell>
          <cell r="C544" t="str">
            <v>unit</v>
          </cell>
          <cell r="D544">
            <v>1934590.3</v>
          </cell>
          <cell r="E544">
            <v>1934590.3</v>
          </cell>
        </row>
        <row r="545">
          <cell r="B545" t="str">
            <v>Tee all socket PVC ø 225 x 100 (mm)</v>
          </cell>
          <cell r="C545" t="str">
            <v>unit</v>
          </cell>
          <cell r="D545">
            <v>626600</v>
          </cell>
          <cell r="E545">
            <v>626600</v>
          </cell>
        </row>
        <row r="546">
          <cell r="B546" t="str">
            <v>Tee all socket PVC ø 50 x 50 (mm)</v>
          </cell>
          <cell r="C546" t="str">
            <v>unit</v>
          </cell>
          <cell r="D546">
            <v>317700</v>
          </cell>
          <cell r="E546">
            <v>317700</v>
          </cell>
        </row>
        <row r="547">
          <cell r="B547" t="str">
            <v>Tee all socket PVC ø 80 x 50 (mm)</v>
          </cell>
          <cell r="C547" t="str">
            <v>unit</v>
          </cell>
          <cell r="D547">
            <v>604503.63</v>
          </cell>
          <cell r="E547">
            <v>604503.63</v>
          </cell>
        </row>
        <row r="548">
          <cell r="B548" t="str">
            <v>Tee Pvc 80 x 80 mm</v>
          </cell>
          <cell r="C548" t="str">
            <v>unit</v>
          </cell>
          <cell r="D548">
            <v>829015.83</v>
          </cell>
          <cell r="E548">
            <v>829015.83</v>
          </cell>
        </row>
        <row r="549">
          <cell r="B549" t="str">
            <v>Tutup Manhole uk. 60 x 60 cm</v>
          </cell>
          <cell r="C549" t="str">
            <v>unit</v>
          </cell>
          <cell r="D549">
            <v>365568.84</v>
          </cell>
          <cell r="E549">
            <v>365568.84</v>
          </cell>
        </row>
        <row r="550">
          <cell r="B550" t="str">
            <v>Tempat sabun keramik</v>
          </cell>
          <cell r="C550" t="str">
            <v>buah</v>
          </cell>
          <cell r="D550">
            <v>64400</v>
          </cell>
          <cell r="E550">
            <v>64400</v>
          </cell>
        </row>
        <row r="551">
          <cell r="B551" t="str">
            <v>Ter</v>
          </cell>
          <cell r="C551" t="str">
            <v>kg</v>
          </cell>
          <cell r="D551">
            <v>8977.5</v>
          </cell>
          <cell r="E551">
            <v>8977.5</v>
          </cell>
        </row>
        <row r="552">
          <cell r="B552" t="str">
            <v>Timbunan biasa</v>
          </cell>
          <cell r="C552" t="str">
            <v>m³</v>
          </cell>
          <cell r="D552">
            <v>70600</v>
          </cell>
          <cell r="E552">
            <v>70600</v>
          </cell>
        </row>
        <row r="553">
          <cell r="B553" t="str">
            <v>Timbunan pilihan / tanah puru</v>
          </cell>
          <cell r="C553" t="str">
            <v>m³</v>
          </cell>
          <cell r="D553">
            <v>114700</v>
          </cell>
          <cell r="E553">
            <v>114700</v>
          </cell>
        </row>
        <row r="554">
          <cell r="B554" t="str">
            <v>Triplek tebal 2.5 mm uk. 1.22 x 2.44 (m)</v>
          </cell>
          <cell r="C554" t="str">
            <v>lembar</v>
          </cell>
          <cell r="D554">
            <v>74800</v>
          </cell>
          <cell r="E554">
            <v>74800</v>
          </cell>
        </row>
        <row r="555">
          <cell r="B555" t="str">
            <v>Triplek tebal 4 mm uk. 1.22 x 2.44 (m)</v>
          </cell>
          <cell r="C555" t="str">
            <v>lembar</v>
          </cell>
          <cell r="D555">
            <v>79380</v>
          </cell>
          <cell r="E555">
            <v>79380</v>
          </cell>
        </row>
        <row r="556">
          <cell r="B556" t="str">
            <v>Triplek 2,2 mm uk. ( 4' x 8' )</v>
          </cell>
          <cell r="C556" t="str">
            <v>m2</v>
          </cell>
          <cell r="D556">
            <v>49350</v>
          </cell>
          <cell r="E556">
            <v>49350</v>
          </cell>
        </row>
        <row r="557">
          <cell r="B557" t="str">
            <v>Triplek 3,0 mm uk. ( 4' x 8' )</v>
          </cell>
          <cell r="C557" t="str">
            <v>m2</v>
          </cell>
          <cell r="D557">
            <v>58716</v>
          </cell>
          <cell r="E557">
            <v>58716</v>
          </cell>
        </row>
        <row r="558">
          <cell r="B558" t="str">
            <v>Triplek 4,0 mm uk. ( 4' x 8' )</v>
          </cell>
          <cell r="C558" t="str">
            <v>m2</v>
          </cell>
          <cell r="D558">
            <v>79380</v>
          </cell>
          <cell r="E558">
            <v>79380</v>
          </cell>
        </row>
        <row r="559">
          <cell r="B559" t="str">
            <v>Triplek 6,0 mm uk. ( 4' x 8' )</v>
          </cell>
          <cell r="C559" t="str">
            <v>m2</v>
          </cell>
          <cell r="D559">
            <v>102375</v>
          </cell>
          <cell r="E559">
            <v>102375</v>
          </cell>
        </row>
        <row r="560">
          <cell r="B560" t="str">
            <v>Ubin abu-abu 20 x 20 (cm)</v>
          </cell>
          <cell r="C560" t="str">
            <v>buah</v>
          </cell>
          <cell r="D560">
            <v>5300</v>
          </cell>
          <cell r="E560">
            <v>5300</v>
          </cell>
        </row>
        <row r="561">
          <cell r="B561" t="str">
            <v>Ubin berwarna 20 x 20 (cm)</v>
          </cell>
          <cell r="C561" t="str">
            <v>buah</v>
          </cell>
          <cell r="D561">
            <v>6200</v>
          </cell>
          <cell r="E561">
            <v>6200</v>
          </cell>
        </row>
        <row r="562">
          <cell r="B562" t="str">
            <v>Ubin granito 30 x 30 cm</v>
          </cell>
          <cell r="C562" t="str">
            <v>m²</v>
          </cell>
          <cell r="D562">
            <v>0</v>
          </cell>
        </row>
        <row r="563">
          <cell r="B563" t="str">
            <v>Ubin granito 40 x 40 cm</v>
          </cell>
          <cell r="C563" t="str">
            <v>m²</v>
          </cell>
          <cell r="D563">
            <v>0</v>
          </cell>
        </row>
        <row r="564">
          <cell r="B564" t="str">
            <v>Ubin motif (mozaik)</v>
          </cell>
          <cell r="C564" t="str">
            <v>m²</v>
          </cell>
          <cell r="D564">
            <v>185300</v>
          </cell>
          <cell r="E564">
            <v>185300</v>
          </cell>
        </row>
        <row r="565">
          <cell r="B565" t="str">
            <v xml:space="preserve">Ubin wafel </v>
          </cell>
          <cell r="C565" t="str">
            <v>buah</v>
          </cell>
          <cell r="D565">
            <v>5100</v>
          </cell>
          <cell r="E565">
            <v>5100</v>
          </cell>
        </row>
        <row r="566">
          <cell r="B566" t="str">
            <v xml:space="preserve">Urinoir terasso </v>
          </cell>
          <cell r="C566" t="str">
            <v>Unit</v>
          </cell>
          <cell r="D566">
            <v>825300</v>
          </cell>
          <cell r="E566">
            <v>825300</v>
          </cell>
        </row>
        <row r="567">
          <cell r="B567" t="str">
            <v>Ventilasi dia 80 mm</v>
          </cell>
          <cell r="C567" t="str">
            <v>unit</v>
          </cell>
          <cell r="D567">
            <v>365568.84</v>
          </cell>
          <cell r="E567">
            <v>365568.84</v>
          </cell>
        </row>
        <row r="568">
          <cell r="B568" t="str">
            <v>Venetion blinds</v>
          </cell>
          <cell r="C568" t="str">
            <v>m²</v>
          </cell>
          <cell r="D568">
            <v>67500</v>
          </cell>
          <cell r="E568">
            <v>67500</v>
          </cell>
        </row>
        <row r="569">
          <cell r="B569" t="str">
            <v>Vertical blinds</v>
          </cell>
          <cell r="C569" t="str">
            <v>m²</v>
          </cell>
          <cell r="D569">
            <v>5250</v>
          </cell>
          <cell r="E569">
            <v>5250</v>
          </cell>
        </row>
        <row r="570">
          <cell r="B570" t="str">
            <v>Wallpaper bermotif</v>
          </cell>
          <cell r="C570" t="str">
            <v>m²</v>
          </cell>
          <cell r="D570">
            <v>240900</v>
          </cell>
          <cell r="E570">
            <v>240900</v>
          </cell>
        </row>
        <row r="571">
          <cell r="B571" t="str">
            <v>Wallpaper polos</v>
          </cell>
          <cell r="C571" t="str">
            <v>m²</v>
          </cell>
          <cell r="D571">
            <v>96000</v>
          </cell>
          <cell r="E571">
            <v>96000</v>
          </cell>
        </row>
        <row r="572">
          <cell r="B572" t="str">
            <v>Wallcast dia 200 mm</v>
          </cell>
          <cell r="C572" t="str">
            <v>unit</v>
          </cell>
          <cell r="D572">
            <v>1279073.8799999999</v>
          </cell>
          <cell r="E572">
            <v>1279073.8799999999</v>
          </cell>
        </row>
        <row r="573">
          <cell r="B573" t="str">
            <v>Wastapel keramik uk.besar</v>
          </cell>
          <cell r="C573" t="str">
            <v>bh</v>
          </cell>
          <cell r="D573">
            <v>661500</v>
          </cell>
          <cell r="E573">
            <v>661500</v>
          </cell>
        </row>
        <row r="574">
          <cell r="B574" t="str">
            <v>Wastapel keramik uk.kecil</v>
          </cell>
          <cell r="C574" t="str">
            <v>bh</v>
          </cell>
          <cell r="D574">
            <v>437850</v>
          </cell>
          <cell r="E574">
            <v>437850</v>
          </cell>
        </row>
        <row r="575">
          <cell r="B575" t="str">
            <v xml:space="preserve">Wastafel </v>
          </cell>
          <cell r="C575" t="str">
            <v>buah</v>
          </cell>
          <cell r="D575">
            <v>467700</v>
          </cell>
          <cell r="E575">
            <v>467700</v>
          </cell>
        </row>
        <row r="576">
          <cell r="B576" t="str">
            <v>Water meter ø 1 (inch) + pipa GIP</v>
          </cell>
          <cell r="C576" t="str">
            <v>unit</v>
          </cell>
          <cell r="D576">
            <v>856000</v>
          </cell>
          <cell r="E576">
            <v>856000</v>
          </cell>
        </row>
        <row r="577">
          <cell r="B577" t="str">
            <v xml:space="preserve">Water stop </v>
          </cell>
          <cell r="C577" t="str">
            <v>m'</v>
          </cell>
          <cell r="D577">
            <v>107100</v>
          </cell>
          <cell r="E577">
            <v>107100</v>
          </cell>
        </row>
        <row r="578">
          <cell r="B578" t="str">
            <v>Zinc alum</v>
          </cell>
          <cell r="C578" t="str">
            <v>m2</v>
          </cell>
          <cell r="D578">
            <v>69300</v>
          </cell>
          <cell r="E578">
            <v>69300</v>
          </cell>
        </row>
        <row r="579">
          <cell r="D579">
            <v>0</v>
          </cell>
        </row>
        <row r="580">
          <cell r="B580" t="str">
            <v>PERALATAN (BIAYA PEMILIKAN DAN OPERASI)</v>
          </cell>
          <cell r="D580">
            <v>0</v>
          </cell>
        </row>
        <row r="581">
          <cell r="D581">
            <v>0</v>
          </cell>
        </row>
        <row r="582">
          <cell r="B582" t="str">
            <v>Bulldozer</v>
          </cell>
          <cell r="C582" t="str">
            <v>jam</v>
          </cell>
          <cell r="D582">
            <v>420000</v>
          </cell>
          <cell r="E582">
            <v>420000</v>
          </cell>
        </row>
        <row r="583">
          <cell r="B583" t="str">
            <v>Stone Crusher</v>
          </cell>
          <cell r="C583" t="str">
            <v>jam</v>
          </cell>
          <cell r="D583">
            <v>400000</v>
          </cell>
          <cell r="E583">
            <v>400000</v>
          </cell>
        </row>
        <row r="584">
          <cell r="B584" t="str">
            <v>Motor grader</v>
          </cell>
          <cell r="C584" t="str">
            <v>jam</v>
          </cell>
          <cell r="D584">
            <v>334000</v>
          </cell>
          <cell r="E584">
            <v>334000</v>
          </cell>
        </row>
        <row r="585">
          <cell r="B585" t="str">
            <v>Pemecah batu</v>
          </cell>
          <cell r="C585" t="str">
            <v>jam</v>
          </cell>
          <cell r="D585">
            <v>702000</v>
          </cell>
          <cell r="E585">
            <v>702000</v>
          </cell>
        </row>
        <row r="586">
          <cell r="B586" t="str">
            <v>Mesin penyaring</v>
          </cell>
          <cell r="C586" t="str">
            <v>jam</v>
          </cell>
          <cell r="D586">
            <v>278300</v>
          </cell>
          <cell r="E586">
            <v>278300</v>
          </cell>
        </row>
        <row r="587">
          <cell r="B587" t="str">
            <v>Wheel loader</v>
          </cell>
          <cell r="C587" t="str">
            <v>jam</v>
          </cell>
          <cell r="D587">
            <v>318600</v>
          </cell>
          <cell r="E587">
            <v>318600</v>
          </cell>
        </row>
        <row r="588">
          <cell r="B588" t="str">
            <v>Wheel tractor</v>
          </cell>
          <cell r="C588" t="str">
            <v>jam</v>
          </cell>
          <cell r="D588">
            <v>124200</v>
          </cell>
          <cell r="E588">
            <v>124200</v>
          </cell>
        </row>
        <row r="589">
          <cell r="B589" t="str">
            <v>Track Loader</v>
          </cell>
          <cell r="C589" t="str">
            <v>jam</v>
          </cell>
          <cell r="D589">
            <v>300000</v>
          </cell>
          <cell r="E589">
            <v>300000</v>
          </cell>
        </row>
        <row r="590">
          <cell r="B590" t="str">
            <v>Mesin gilas roda tiga 8 - 10 ton</v>
          </cell>
          <cell r="C590" t="str">
            <v>jam</v>
          </cell>
          <cell r="D590">
            <v>135600</v>
          </cell>
          <cell r="E590">
            <v>135600</v>
          </cell>
        </row>
        <row r="591">
          <cell r="B591" t="str">
            <v>Mesin gilas tandem 6 - 10 ton</v>
          </cell>
          <cell r="C591" t="str">
            <v>jam</v>
          </cell>
          <cell r="D591">
            <v>210900</v>
          </cell>
          <cell r="E591">
            <v>210900</v>
          </cell>
        </row>
        <row r="592">
          <cell r="B592" t="str">
            <v>Mesin gilas bergetar 10 ton</v>
          </cell>
          <cell r="C592" t="str">
            <v>jam</v>
          </cell>
          <cell r="D592">
            <v>254900</v>
          </cell>
          <cell r="E592">
            <v>254900</v>
          </cell>
        </row>
        <row r="593">
          <cell r="B593" t="str">
            <v>Mesin gilas bergetar 8 - 15 ton</v>
          </cell>
          <cell r="C593" t="str">
            <v>jam</v>
          </cell>
          <cell r="D593">
            <v>277200</v>
          </cell>
          <cell r="E593">
            <v>277200</v>
          </cell>
        </row>
        <row r="594">
          <cell r="B594" t="str">
            <v>Mesin gilas bergetar 1 ton</v>
          </cell>
          <cell r="C594" t="str">
            <v>jam</v>
          </cell>
          <cell r="D594">
            <v>61000</v>
          </cell>
          <cell r="E594">
            <v>61000</v>
          </cell>
        </row>
        <row r="595">
          <cell r="B595" t="str">
            <v>Tamper / handy compactor</v>
          </cell>
          <cell r="C595" t="str">
            <v>jam</v>
          </cell>
          <cell r="D595">
            <v>10600</v>
          </cell>
          <cell r="E595">
            <v>10600</v>
          </cell>
        </row>
        <row r="596">
          <cell r="B596" t="str">
            <v>Alat penggetar beton</v>
          </cell>
          <cell r="C596" t="str">
            <v>jam</v>
          </cell>
          <cell r="D596">
            <v>8100</v>
          </cell>
          <cell r="E596">
            <v>8100</v>
          </cell>
        </row>
        <row r="597">
          <cell r="B597" t="str">
            <v>Mesin penyemprot aspal 1.000 liter</v>
          </cell>
          <cell r="C597" t="str">
            <v>jam</v>
          </cell>
          <cell r="D597">
            <v>98900</v>
          </cell>
          <cell r="E597">
            <v>98900</v>
          </cell>
        </row>
        <row r="598">
          <cell r="B598" t="str">
            <v>Mesin penyemprot aspal 400 liter</v>
          </cell>
          <cell r="C598" t="str">
            <v>jam</v>
          </cell>
          <cell r="D598">
            <v>28500</v>
          </cell>
          <cell r="E598">
            <v>28500</v>
          </cell>
        </row>
        <row r="599">
          <cell r="B599" t="str">
            <v>Mesin penyampur aspal 30 T / J + generator</v>
          </cell>
          <cell r="C599" t="str">
            <v>jam</v>
          </cell>
          <cell r="D599">
            <v>1139300</v>
          </cell>
          <cell r="E599">
            <v>1139300</v>
          </cell>
        </row>
        <row r="600">
          <cell r="B600" t="str">
            <v>Mesin penghampar aspal</v>
          </cell>
          <cell r="C600" t="str">
            <v>jam</v>
          </cell>
          <cell r="D600">
            <v>165100</v>
          </cell>
          <cell r="E600">
            <v>165100</v>
          </cell>
        </row>
        <row r="601">
          <cell r="B601" t="str">
            <v>Truk tangki air</v>
          </cell>
          <cell r="C601" t="str">
            <v>jam</v>
          </cell>
          <cell r="D601">
            <v>122800</v>
          </cell>
          <cell r="E601">
            <v>122800</v>
          </cell>
        </row>
        <row r="602">
          <cell r="B602" t="str">
            <v>Trailer 1 Ton</v>
          </cell>
          <cell r="C602" t="str">
            <v>jam</v>
          </cell>
          <cell r="D602">
            <v>13200</v>
          </cell>
          <cell r="E602">
            <v>13200</v>
          </cell>
        </row>
        <row r="603">
          <cell r="B603" t="str">
            <v>Concrete Vibratur</v>
          </cell>
          <cell r="C603" t="str">
            <v>jam</v>
          </cell>
          <cell r="D603">
            <v>101000</v>
          </cell>
          <cell r="E603">
            <v>101000</v>
          </cell>
        </row>
        <row r="604">
          <cell r="B604" t="str">
            <v>Concrete Mixer</v>
          </cell>
          <cell r="C604" t="str">
            <v>jam</v>
          </cell>
          <cell r="D604">
            <v>101400</v>
          </cell>
          <cell r="E604">
            <v>101400</v>
          </cell>
        </row>
        <row r="605">
          <cell r="B605" t="str">
            <v>Vibrator Roller</v>
          </cell>
          <cell r="C605" t="str">
            <v>jam</v>
          </cell>
          <cell r="D605">
            <v>139200</v>
          </cell>
          <cell r="E605">
            <v>139200</v>
          </cell>
        </row>
        <row r="606">
          <cell r="B606" t="str">
            <v>Dump Truck 3-4 m3</v>
          </cell>
          <cell r="C606" t="str">
            <v>jam</v>
          </cell>
          <cell r="D606">
            <v>113200</v>
          </cell>
          <cell r="E606">
            <v>113200</v>
          </cell>
        </row>
        <row r="607">
          <cell r="B607" t="str">
            <v>Drump Truck</v>
          </cell>
          <cell r="C607" t="str">
            <v>jam</v>
          </cell>
          <cell r="D607">
            <v>181400</v>
          </cell>
          <cell r="E607">
            <v>181400</v>
          </cell>
        </row>
        <row r="608">
          <cell r="B608" t="str">
            <v>Excavator</v>
          </cell>
          <cell r="C608" t="str">
            <v>jam</v>
          </cell>
          <cell r="D608">
            <v>313000</v>
          </cell>
          <cell r="E608">
            <v>313000</v>
          </cell>
        </row>
        <row r="609">
          <cell r="B609" t="str">
            <v>Pulvi Mixer</v>
          </cell>
          <cell r="C609" t="str">
            <v>jam</v>
          </cell>
          <cell r="D609">
            <v>262750</v>
          </cell>
          <cell r="E609">
            <v>262750</v>
          </cell>
        </row>
        <row r="610">
          <cell r="B610" t="str">
            <v>Generator set</v>
          </cell>
          <cell r="C610" t="str">
            <v>jam</v>
          </cell>
          <cell r="D610">
            <v>155600</v>
          </cell>
          <cell r="E610">
            <v>155600</v>
          </cell>
        </row>
        <row r="611">
          <cell r="B611" t="str">
            <v>Water Pump 70-100 mm</v>
          </cell>
          <cell r="C611" t="str">
            <v>jam</v>
          </cell>
          <cell r="D611">
            <v>38800</v>
          </cell>
          <cell r="E611">
            <v>38800</v>
          </cell>
        </row>
        <row r="612">
          <cell r="B612" t="str">
            <v xml:space="preserve">Tamper  </v>
          </cell>
          <cell r="C612" t="str">
            <v>jam</v>
          </cell>
          <cell r="D612">
            <v>41250</v>
          </cell>
          <cell r="E612">
            <v>41250</v>
          </cell>
        </row>
        <row r="613">
          <cell r="B613" t="str">
            <v>Jack Hammer</v>
          </cell>
          <cell r="C613" t="str">
            <v>jam</v>
          </cell>
          <cell r="D613">
            <v>100000</v>
          </cell>
          <cell r="E613">
            <v>100000</v>
          </cell>
        </row>
        <row r="614">
          <cell r="B614" t="str">
            <v>Pedestrian Roller</v>
          </cell>
          <cell r="C614" t="str">
            <v>jam</v>
          </cell>
          <cell r="D614">
            <v>230000</v>
          </cell>
          <cell r="E614">
            <v>230000</v>
          </cell>
        </row>
        <row r="615">
          <cell r="B615" t="str">
            <v>Crane 10-15 ton</v>
          </cell>
          <cell r="C615" t="str">
            <v>jam</v>
          </cell>
          <cell r="D615">
            <v>1125000</v>
          </cell>
          <cell r="E615">
            <v>1125000</v>
          </cell>
        </row>
        <row r="616">
          <cell r="B616" t="str">
            <v>Dump truck 3,5 Ton</v>
          </cell>
          <cell r="C616" t="str">
            <v>jam</v>
          </cell>
          <cell r="D616">
            <v>173200</v>
          </cell>
          <cell r="E616">
            <v>173200</v>
          </cell>
        </row>
        <row r="617">
          <cell r="B617" t="str">
            <v>Dump truck 5,0 Ton</v>
          </cell>
          <cell r="C617" t="str">
            <v>jam</v>
          </cell>
          <cell r="D617">
            <v>217300</v>
          </cell>
          <cell r="E617">
            <v>217300</v>
          </cell>
        </row>
        <row r="618">
          <cell r="B618" t="str">
            <v>Truk bak terbuka 3,5 Ton</v>
          </cell>
          <cell r="C618" t="str">
            <v>jam</v>
          </cell>
          <cell r="D618">
            <v>156700</v>
          </cell>
          <cell r="E618">
            <v>156700</v>
          </cell>
        </row>
        <row r="619">
          <cell r="B619" t="str">
            <v>Flat Bed Truck</v>
          </cell>
          <cell r="C619" t="str">
            <v>jam</v>
          </cell>
          <cell r="D619">
            <v>124800</v>
          </cell>
          <cell r="E619">
            <v>124800</v>
          </cell>
        </row>
        <row r="620">
          <cell r="B620" t="str">
            <v>Tree Wheel Roller 6-8 ton</v>
          </cell>
          <cell r="C620" t="str">
            <v>jam</v>
          </cell>
          <cell r="D620">
            <v>249000</v>
          </cell>
          <cell r="E620">
            <v>249000</v>
          </cell>
        </row>
        <row r="621">
          <cell r="B621" t="str">
            <v>Mesin pengaduk beton 125 liter</v>
          </cell>
          <cell r="C621" t="str">
            <v>jam</v>
          </cell>
          <cell r="D621">
            <v>11900</v>
          </cell>
          <cell r="E621">
            <v>11900</v>
          </cell>
        </row>
        <row r="622">
          <cell r="B622" t="str">
            <v>Mesin pengaduk beton 250 liter</v>
          </cell>
          <cell r="C622" t="str">
            <v>jam</v>
          </cell>
          <cell r="D622">
            <v>39500</v>
          </cell>
          <cell r="E622">
            <v>39500</v>
          </cell>
        </row>
        <row r="623">
          <cell r="B623" t="str">
            <v>Mesin pengaduk beton 500 liter</v>
          </cell>
          <cell r="C623" t="str">
            <v>jam</v>
          </cell>
          <cell r="D623">
            <v>79100</v>
          </cell>
          <cell r="E623">
            <v>79100</v>
          </cell>
        </row>
        <row r="624">
          <cell r="B624" t="str">
            <v>Compressor 210 m3 / jam</v>
          </cell>
          <cell r="C624" t="str">
            <v>jam</v>
          </cell>
          <cell r="D624">
            <v>73000</v>
          </cell>
          <cell r="E624">
            <v>73000</v>
          </cell>
        </row>
        <row r="625">
          <cell r="B625" t="str">
            <v>Pompa air 5 cm, 30 m3 / jam</v>
          </cell>
          <cell r="C625" t="str">
            <v>jam</v>
          </cell>
          <cell r="D625">
            <v>9800</v>
          </cell>
          <cell r="E625">
            <v>9800</v>
          </cell>
        </row>
        <row r="626">
          <cell r="B626" t="str">
            <v>Peralatan traktor</v>
          </cell>
          <cell r="C626" t="str">
            <v>jam</v>
          </cell>
          <cell r="D626">
            <v>57000</v>
          </cell>
          <cell r="E626">
            <v>57000</v>
          </cell>
        </row>
        <row r="627">
          <cell r="B627" t="str">
            <v>Asphalt Finisher</v>
          </cell>
          <cell r="C627" t="str">
            <v>jam</v>
          </cell>
          <cell r="D627">
            <v>340600</v>
          </cell>
          <cell r="E627">
            <v>340600</v>
          </cell>
        </row>
        <row r="628">
          <cell r="B628" t="str">
            <v>asphalt Mixing Plant</v>
          </cell>
          <cell r="C628" t="str">
            <v>jam</v>
          </cell>
          <cell r="D628">
            <v>2142800</v>
          </cell>
          <cell r="E628">
            <v>2142800</v>
          </cell>
        </row>
        <row r="629">
          <cell r="B629" t="str">
            <v>Tandem Roller</v>
          </cell>
          <cell r="C629" t="str">
            <v>jam</v>
          </cell>
          <cell r="D629">
            <v>191800</v>
          </cell>
          <cell r="E629">
            <v>191800</v>
          </cell>
        </row>
        <row r="630">
          <cell r="B630" t="str">
            <v>Pneumanic Tire Roller</v>
          </cell>
          <cell r="C630" t="str">
            <v>jam</v>
          </cell>
          <cell r="D630">
            <v>200000</v>
          </cell>
          <cell r="E630">
            <v>200000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K"/>
      <sheetName val="Rekap Tahap-1"/>
      <sheetName val="RAB_VER_BOQ"/>
      <sheetName val="RAB_VER_REAL"/>
      <sheetName val="HS"/>
      <sheetName val="ANS"/>
      <sheetName val="SCD"/>
      <sheetName val="sub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M3">
            <v>2</v>
          </cell>
        </row>
        <row r="4">
          <cell r="M4">
            <v>5</v>
          </cell>
        </row>
        <row r="5">
          <cell r="M5">
            <v>6</v>
          </cell>
        </row>
        <row r="9">
          <cell r="B9" t="str">
            <v>B.1</v>
          </cell>
          <cell r="C9" t="str">
            <v>Kayu Bekesting</v>
          </cell>
          <cell r="F9" t="str">
            <v>m3</v>
          </cell>
          <cell r="G9">
            <v>2350000</v>
          </cell>
        </row>
        <row r="10">
          <cell r="B10" t="str">
            <v>B.2</v>
          </cell>
          <cell r="C10" t="str">
            <v>Paku kayu</v>
          </cell>
          <cell r="F10" t="str">
            <v>Kg</v>
          </cell>
          <cell r="G10">
            <v>8320</v>
          </cell>
        </row>
        <row r="11">
          <cell r="B11" t="str">
            <v>B.3</v>
          </cell>
          <cell r="C11" t="str">
            <v>Paku Seng</v>
          </cell>
          <cell r="F11" t="str">
            <v>Kg</v>
          </cell>
          <cell r="G11">
            <v>12000</v>
          </cell>
        </row>
        <row r="12">
          <cell r="B12" t="str">
            <v>B.4</v>
          </cell>
          <cell r="C12" t="str">
            <v>Pasir Urug</v>
          </cell>
          <cell r="F12" t="str">
            <v>m3</v>
          </cell>
          <cell r="G12">
            <v>90000</v>
          </cell>
        </row>
        <row r="13">
          <cell r="B13" t="str">
            <v>B.5</v>
          </cell>
          <cell r="C13" t="str">
            <v>Pasir Pasang</v>
          </cell>
          <cell r="F13" t="str">
            <v>m3</v>
          </cell>
          <cell r="G13">
            <v>110000</v>
          </cell>
        </row>
        <row r="14">
          <cell r="B14" t="str">
            <v>B.6</v>
          </cell>
          <cell r="C14" t="str">
            <v>Kerikil</v>
          </cell>
          <cell r="F14" t="str">
            <v>m3</v>
          </cell>
          <cell r="G14">
            <v>100000</v>
          </cell>
        </row>
        <row r="15">
          <cell r="B15" t="str">
            <v>B.7</v>
          </cell>
          <cell r="C15" t="str">
            <v>Semen</v>
          </cell>
          <cell r="F15" t="str">
            <v>Kg</v>
          </cell>
          <cell r="G15">
            <v>870</v>
          </cell>
        </row>
        <row r="16">
          <cell r="B16" t="str">
            <v>B.8</v>
          </cell>
          <cell r="C16" t="str">
            <v>Batu Bata</v>
          </cell>
          <cell r="F16" t="str">
            <v>bh</v>
          </cell>
          <cell r="G16">
            <v>580</v>
          </cell>
        </row>
        <row r="17">
          <cell r="B17" t="str">
            <v>B.9</v>
          </cell>
          <cell r="C17" t="str">
            <v>Ready mix K.275</v>
          </cell>
          <cell r="F17" t="str">
            <v>m3</v>
          </cell>
          <cell r="G17">
            <v>660000</v>
          </cell>
        </row>
        <row r="18">
          <cell r="B18" t="str">
            <v>B.10</v>
          </cell>
          <cell r="C18" t="str">
            <v>T. Pancang 32x32x32 cm</v>
          </cell>
          <cell r="F18" t="str">
            <v>m</v>
          </cell>
          <cell r="G18">
            <v>185900</v>
          </cell>
        </row>
        <row r="19">
          <cell r="B19" t="str">
            <v>B.11</v>
          </cell>
          <cell r="C19" t="str">
            <v>Besi Beton</v>
          </cell>
          <cell r="F19" t="str">
            <v>Kg</v>
          </cell>
          <cell r="G19">
            <v>5800</v>
          </cell>
        </row>
        <row r="20">
          <cell r="B20" t="str">
            <v>B.12</v>
          </cell>
          <cell r="C20" t="str">
            <v>Kawat Beton</v>
          </cell>
          <cell r="F20" t="str">
            <v>Kg</v>
          </cell>
          <cell r="G20">
            <v>8000</v>
          </cell>
        </row>
        <row r="21">
          <cell r="B21" t="str">
            <v>B.13</v>
          </cell>
          <cell r="C21" t="str">
            <v>Batu kali</v>
          </cell>
          <cell r="F21" t="str">
            <v>m3</v>
          </cell>
          <cell r="G21">
            <v>100000</v>
          </cell>
        </row>
        <row r="22">
          <cell r="B22" t="str">
            <v>B.14</v>
          </cell>
          <cell r="C22" t="str">
            <v>Tanah Timbun</v>
          </cell>
          <cell r="F22" t="str">
            <v>m3</v>
          </cell>
          <cell r="G22">
            <v>45000</v>
          </cell>
        </row>
        <row r="23">
          <cell r="B23" t="str">
            <v>B.15</v>
          </cell>
          <cell r="C23" t="str">
            <v>Multiplek 9 mm Film</v>
          </cell>
          <cell r="F23" t="str">
            <v>Lbr</v>
          </cell>
          <cell r="G23">
            <v>135000</v>
          </cell>
        </row>
        <row r="24">
          <cell r="B24" t="str">
            <v>B.16</v>
          </cell>
          <cell r="C24" t="str">
            <v xml:space="preserve">Multiplek 9 mm </v>
          </cell>
          <cell r="F24" t="str">
            <v>Lbr</v>
          </cell>
          <cell r="G24">
            <v>125000</v>
          </cell>
        </row>
        <row r="25">
          <cell r="B25" t="str">
            <v>B.17</v>
          </cell>
          <cell r="C25" t="str">
            <v>Waterproofing Membrane</v>
          </cell>
          <cell r="F25" t="str">
            <v>m2</v>
          </cell>
          <cell r="G25">
            <v>75000</v>
          </cell>
        </row>
        <row r="26">
          <cell r="B26" t="str">
            <v>B.18</v>
          </cell>
          <cell r="C26" t="str">
            <v xml:space="preserve">Kuda2 Baja Ringan </v>
          </cell>
          <cell r="F26" t="str">
            <v>m2</v>
          </cell>
          <cell r="G26">
            <v>208000</v>
          </cell>
        </row>
        <row r="27">
          <cell r="B27" t="str">
            <v>B.19</v>
          </cell>
          <cell r="C27" t="str">
            <v xml:space="preserve">Penutup atap genteng metal </v>
          </cell>
          <cell r="F27" t="str">
            <v>m2</v>
          </cell>
          <cell r="G27">
            <v>67500</v>
          </cell>
        </row>
        <row r="28">
          <cell r="B28" t="str">
            <v>B.20</v>
          </cell>
          <cell r="C28" t="str">
            <v>Bubungan atap metal</v>
          </cell>
          <cell r="F28" t="str">
            <v>m'</v>
          </cell>
          <cell r="G28">
            <v>42500</v>
          </cell>
        </row>
        <row r="29">
          <cell r="B29" t="str">
            <v>B.21</v>
          </cell>
          <cell r="C29" t="str">
            <v>Ready mix K.300</v>
          </cell>
          <cell r="F29" t="str">
            <v>m3</v>
          </cell>
          <cell r="G29">
            <v>700000</v>
          </cell>
        </row>
        <row r="30">
          <cell r="B30" t="str">
            <v>B.22</v>
          </cell>
          <cell r="C30" t="str">
            <v>Ready mix K.125</v>
          </cell>
          <cell r="F30" t="str">
            <v>m3</v>
          </cell>
          <cell r="G30">
            <v>520000</v>
          </cell>
        </row>
        <row r="31">
          <cell r="B31" t="str">
            <v>B.23</v>
          </cell>
          <cell r="C31" t="str">
            <v>Additive</v>
          </cell>
          <cell r="F31" t="str">
            <v>Ls</v>
          </cell>
          <cell r="G31">
            <v>15500</v>
          </cell>
        </row>
        <row r="32">
          <cell r="B32" t="str">
            <v>B.24</v>
          </cell>
          <cell r="C32" t="str">
            <v>Curring Compound</v>
          </cell>
          <cell r="F32" t="str">
            <v>Ls</v>
          </cell>
          <cell r="G32">
            <v>12000</v>
          </cell>
        </row>
        <row r="33">
          <cell r="B33" t="str">
            <v>B.25</v>
          </cell>
        </row>
        <row r="34">
          <cell r="B34" t="str">
            <v>B.26</v>
          </cell>
        </row>
        <row r="35">
          <cell r="B35" t="str">
            <v>B.27</v>
          </cell>
        </row>
        <row r="38">
          <cell r="B38" t="str">
            <v>HARGA SATUAN DASAR UPAH</v>
          </cell>
        </row>
        <row r="39">
          <cell r="B39" t="str">
            <v>PEMBANGUNAN GEDUNG KEUANGAN NEGARA BANDA ACEH</v>
          </cell>
        </row>
        <row r="40">
          <cell r="B40" t="str">
            <v>TAHAP - I (PERTAMA)</v>
          </cell>
        </row>
        <row r="42">
          <cell r="B42" t="str">
            <v>NO.</v>
          </cell>
          <cell r="C42" t="str">
            <v>URAIAN</v>
          </cell>
          <cell r="F42" t="str">
            <v>SAT</v>
          </cell>
          <cell r="G42" t="str">
            <v>HARGA SATUAN (Rp.)</v>
          </cell>
          <cell r="H42" t="str">
            <v>KET.</v>
          </cell>
        </row>
        <row r="44">
          <cell r="C44" t="str">
            <v>UPAH</v>
          </cell>
        </row>
        <row r="45">
          <cell r="B45" t="str">
            <v>U.1</v>
          </cell>
          <cell r="C45" t="str">
            <v>Mandor</v>
          </cell>
          <cell r="F45" t="str">
            <v>hari</v>
          </cell>
          <cell r="G45">
            <v>65000</v>
          </cell>
        </row>
        <row r="46">
          <cell r="B46" t="str">
            <v>U.2</v>
          </cell>
          <cell r="C46" t="str">
            <v>Tukang</v>
          </cell>
          <cell r="F46" t="str">
            <v>hari</v>
          </cell>
          <cell r="G46">
            <v>60000</v>
          </cell>
        </row>
        <row r="47">
          <cell r="B47" t="str">
            <v>U.3</v>
          </cell>
          <cell r="C47" t="str">
            <v>Pekerja</v>
          </cell>
          <cell r="F47" t="str">
            <v>hari</v>
          </cell>
          <cell r="G47">
            <v>45000</v>
          </cell>
        </row>
        <row r="48">
          <cell r="B48" t="str">
            <v>U.4</v>
          </cell>
          <cell r="C48" t="str">
            <v>Upah Galian manual</v>
          </cell>
          <cell r="F48" t="str">
            <v>m3</v>
          </cell>
          <cell r="G48">
            <v>18000</v>
          </cell>
        </row>
        <row r="49">
          <cell r="B49" t="str">
            <v>U.5</v>
          </cell>
          <cell r="C49" t="str">
            <v>Upah Urug Pasir</v>
          </cell>
          <cell r="F49" t="str">
            <v>m3</v>
          </cell>
          <cell r="G49">
            <v>20000</v>
          </cell>
        </row>
        <row r="50">
          <cell r="B50" t="str">
            <v>U.6</v>
          </cell>
          <cell r="C50" t="str">
            <v>Upah Lantai Kerja</v>
          </cell>
          <cell r="F50" t="str">
            <v>m3</v>
          </cell>
          <cell r="G50">
            <v>30000</v>
          </cell>
        </row>
        <row r="51">
          <cell r="B51" t="str">
            <v>U.7</v>
          </cell>
          <cell r="C51" t="str">
            <v>Upah Pas. Bata</v>
          </cell>
          <cell r="F51" t="str">
            <v>m2</v>
          </cell>
          <cell r="G51">
            <v>15000</v>
          </cell>
        </row>
        <row r="52">
          <cell r="B52" t="str">
            <v>U.8</v>
          </cell>
          <cell r="C52" t="str">
            <v>Pemancangan T.Pancang</v>
          </cell>
          <cell r="F52" t="str">
            <v>m</v>
          </cell>
          <cell r="G52">
            <v>85000</v>
          </cell>
        </row>
        <row r="53">
          <cell r="B53" t="str">
            <v>U.9</v>
          </cell>
          <cell r="C53" t="str">
            <v>Upah Pembesian</v>
          </cell>
          <cell r="F53" t="str">
            <v>Kg</v>
          </cell>
          <cell r="G53">
            <v>600</v>
          </cell>
        </row>
        <row r="54">
          <cell r="B54" t="str">
            <v>U.10</v>
          </cell>
          <cell r="C54" t="str">
            <v>Upah Cor u. Pondasi</v>
          </cell>
          <cell r="F54" t="str">
            <v>m3</v>
          </cell>
          <cell r="G54">
            <v>35000</v>
          </cell>
        </row>
        <row r="55">
          <cell r="B55" t="str">
            <v>U.11</v>
          </cell>
          <cell r="C55" t="str">
            <v>Upah Urug Kembali</v>
          </cell>
          <cell r="F55" t="str">
            <v>m3</v>
          </cell>
          <cell r="G55">
            <v>10000</v>
          </cell>
        </row>
        <row r="56">
          <cell r="B56" t="str">
            <v>U.12</v>
          </cell>
          <cell r="C56" t="str">
            <v>Pemotongan T.Pancang</v>
          </cell>
          <cell r="F56" t="str">
            <v>Ttk</v>
          </cell>
          <cell r="G56">
            <v>30000</v>
          </cell>
        </row>
        <row r="57">
          <cell r="B57" t="str">
            <v>U.13</v>
          </cell>
          <cell r="C57" t="str">
            <v>Pasang Batu kali</v>
          </cell>
          <cell r="F57" t="str">
            <v>m3</v>
          </cell>
          <cell r="G57">
            <v>40000</v>
          </cell>
        </row>
        <row r="58">
          <cell r="B58" t="str">
            <v>U.14</v>
          </cell>
          <cell r="C58" t="str">
            <v>Upah Timbun &amp; Pemadatan</v>
          </cell>
          <cell r="F58" t="str">
            <v>m3</v>
          </cell>
          <cell r="G58">
            <v>10000</v>
          </cell>
        </row>
        <row r="59">
          <cell r="B59" t="str">
            <v>U.15</v>
          </cell>
          <cell r="C59" t="str">
            <v>Upah Bekesting Kolom</v>
          </cell>
          <cell r="F59" t="str">
            <v>m2</v>
          </cell>
          <cell r="G59">
            <v>30000</v>
          </cell>
        </row>
        <row r="60">
          <cell r="B60" t="str">
            <v>U.16</v>
          </cell>
          <cell r="C60" t="str">
            <v>Upah Cor Kolom</v>
          </cell>
          <cell r="F60" t="str">
            <v>m3</v>
          </cell>
          <cell r="G60">
            <v>60000</v>
          </cell>
        </row>
        <row r="61">
          <cell r="B61" t="str">
            <v>U.17</v>
          </cell>
          <cell r="C61" t="str">
            <v>Upah Pembesian KP/RBP</v>
          </cell>
          <cell r="F61" t="str">
            <v>m'</v>
          </cell>
          <cell r="G61">
            <v>2500</v>
          </cell>
        </row>
        <row r="62">
          <cell r="B62" t="str">
            <v>U.18</v>
          </cell>
          <cell r="C62" t="str">
            <v>Upah Bekesting KP/RBP</v>
          </cell>
          <cell r="F62" t="str">
            <v>m2</v>
          </cell>
          <cell r="G62">
            <v>20000</v>
          </cell>
        </row>
        <row r="63">
          <cell r="B63" t="str">
            <v>U.19</v>
          </cell>
          <cell r="C63" t="str">
            <v>Upah Cor KP/RBP</v>
          </cell>
          <cell r="F63" t="str">
            <v>m3</v>
          </cell>
          <cell r="G63">
            <v>35000</v>
          </cell>
        </row>
        <row r="64">
          <cell r="B64" t="str">
            <v>U.20</v>
          </cell>
          <cell r="C64" t="str">
            <v>Upah Pas. Water proofing</v>
          </cell>
          <cell r="F64" t="str">
            <v>m2</v>
          </cell>
          <cell r="G64">
            <v>5000</v>
          </cell>
        </row>
        <row r="65">
          <cell r="B65" t="str">
            <v>U.21</v>
          </cell>
          <cell r="C65" t="str">
            <v>Upah Pas. Screed</v>
          </cell>
          <cell r="F65" t="str">
            <v>m2</v>
          </cell>
          <cell r="G65">
            <v>10000</v>
          </cell>
        </row>
        <row r="66">
          <cell r="B66" t="str">
            <v>U.22</v>
          </cell>
          <cell r="C66" t="str">
            <v>Upah Bekesting Balok/Plat</v>
          </cell>
          <cell r="F66" t="str">
            <v>m2</v>
          </cell>
          <cell r="G66">
            <v>25000</v>
          </cell>
        </row>
        <row r="67">
          <cell r="B67" t="str">
            <v>U.23</v>
          </cell>
          <cell r="C67" t="str">
            <v>Upah Cor Balok/Plat</v>
          </cell>
          <cell r="F67" t="str">
            <v>m3</v>
          </cell>
          <cell r="G67">
            <v>25000</v>
          </cell>
        </row>
        <row r="68">
          <cell r="B68" t="str">
            <v>U.24</v>
          </cell>
          <cell r="C68" t="str">
            <v>Upah Bekesting Tangga</v>
          </cell>
          <cell r="F68" t="str">
            <v>m2</v>
          </cell>
          <cell r="G68">
            <v>25000</v>
          </cell>
        </row>
        <row r="69">
          <cell r="B69" t="str">
            <v>U.25</v>
          </cell>
          <cell r="C69" t="str">
            <v>Upah Cor Tangga</v>
          </cell>
          <cell r="F69" t="str">
            <v>m3</v>
          </cell>
          <cell r="G69">
            <v>30000</v>
          </cell>
        </row>
        <row r="70">
          <cell r="B70" t="str">
            <v>U.26</v>
          </cell>
          <cell r="C70" t="str">
            <v>Upah Pasang Batu Bata</v>
          </cell>
          <cell r="F70" t="str">
            <v>m2</v>
          </cell>
          <cell r="G70">
            <v>15000</v>
          </cell>
        </row>
        <row r="71">
          <cell r="B71" t="str">
            <v>U.27</v>
          </cell>
          <cell r="C71" t="str">
            <v>Upah Plesteran</v>
          </cell>
          <cell r="F71" t="str">
            <v>m2</v>
          </cell>
          <cell r="G71">
            <v>14500</v>
          </cell>
        </row>
        <row r="72">
          <cell r="B72" t="str">
            <v>U.28</v>
          </cell>
          <cell r="C72" t="str">
            <v xml:space="preserve">Upah Acian </v>
          </cell>
          <cell r="F72" t="str">
            <v>m2</v>
          </cell>
          <cell r="G72">
            <v>10000</v>
          </cell>
        </row>
        <row r="73">
          <cell r="B73" t="str">
            <v>U.29</v>
          </cell>
          <cell r="C73" t="str">
            <v>Upah Bekesting Pondasi Tapak</v>
          </cell>
          <cell r="F73" t="str">
            <v>m2</v>
          </cell>
          <cell r="G73">
            <v>10000</v>
          </cell>
        </row>
        <row r="74">
          <cell r="B74" t="str">
            <v>U.30</v>
          </cell>
          <cell r="C74" t="str">
            <v>Upah Bekesting Diding Vertikal</v>
          </cell>
          <cell r="F74" t="str">
            <v>m2</v>
          </cell>
          <cell r="G74">
            <v>30000</v>
          </cell>
        </row>
        <row r="75">
          <cell r="B75" t="str">
            <v>U.31</v>
          </cell>
          <cell r="C75" t="str">
            <v>Upah Cor Dinding Vertikal</v>
          </cell>
          <cell r="F75" t="str">
            <v>m3</v>
          </cell>
          <cell r="G75">
            <v>50000</v>
          </cell>
        </row>
        <row r="81">
          <cell r="B81" t="str">
            <v>HARGA SATUAN SEWA PERALATAN</v>
          </cell>
        </row>
        <row r="82">
          <cell r="B82" t="str">
            <v>PEMBANGUNAN GEDUNG KEUANGAN NEGARA BANDA ACEH</v>
          </cell>
        </row>
        <row r="83">
          <cell r="B83" t="str">
            <v>TAHAP - I (PERTAMA)</v>
          </cell>
        </row>
        <row r="85">
          <cell r="B85" t="str">
            <v>NO.</v>
          </cell>
          <cell r="C85" t="str">
            <v>URAIAN</v>
          </cell>
          <cell r="F85" t="str">
            <v>SAT</v>
          </cell>
          <cell r="G85" t="str">
            <v>HARGA SATUAN (Rp.)</v>
          </cell>
          <cell r="H85" t="str">
            <v>KET.</v>
          </cell>
        </row>
        <row r="87">
          <cell r="C87" t="str">
            <v>PERALATAN</v>
          </cell>
        </row>
        <row r="88">
          <cell r="B88" t="str">
            <v>A.2</v>
          </cell>
          <cell r="C88" t="str">
            <v>Stamper</v>
          </cell>
          <cell r="F88" t="str">
            <v>Jam</v>
          </cell>
          <cell r="G88">
            <v>25000</v>
          </cell>
          <cell r="H88">
            <v>25000</v>
          </cell>
        </row>
        <row r="89">
          <cell r="B89" t="str">
            <v>A.3</v>
          </cell>
          <cell r="C89" t="str">
            <v>Beton Molen</v>
          </cell>
          <cell r="F89" t="str">
            <v>Jam</v>
          </cell>
          <cell r="G89">
            <v>12500</v>
          </cell>
          <cell r="H89">
            <v>12500</v>
          </cell>
        </row>
        <row r="90">
          <cell r="B90" t="str">
            <v>A.4</v>
          </cell>
          <cell r="C90" t="str">
            <v>Concrete Vibrator</v>
          </cell>
          <cell r="F90" t="str">
            <v>Jam</v>
          </cell>
          <cell r="G90">
            <v>20000</v>
          </cell>
          <cell r="H90">
            <v>20000</v>
          </cell>
        </row>
        <row r="91">
          <cell r="B91" t="str">
            <v>A.5</v>
          </cell>
          <cell r="C91" t="str">
            <v>Pipe Support u. Kolom Bang.A</v>
          </cell>
          <cell r="F91" t="str">
            <v>Ls</v>
          </cell>
          <cell r="G91">
            <v>6810</v>
          </cell>
          <cell r="H91">
            <v>6810</v>
          </cell>
        </row>
        <row r="92">
          <cell r="B92" t="str">
            <v>A.6</v>
          </cell>
          <cell r="C92" t="str">
            <v>Pipe Support u. Kolom Bang.B/C</v>
          </cell>
          <cell r="F92" t="str">
            <v>Ls</v>
          </cell>
          <cell r="G92">
            <v>7499.9999999999991</v>
          </cell>
          <cell r="H92">
            <v>7500</v>
          </cell>
        </row>
        <row r="93">
          <cell r="B93" t="str">
            <v>A.7</v>
          </cell>
          <cell r="C93" t="str">
            <v>Scafolding u. Balok Bang.A</v>
          </cell>
          <cell r="F93" t="str">
            <v>Ls</v>
          </cell>
          <cell r="G93">
            <v>33050</v>
          </cell>
          <cell r="H93">
            <v>33050</v>
          </cell>
        </row>
        <row r="94">
          <cell r="B94" t="str">
            <v>A.8</v>
          </cell>
          <cell r="C94" t="str">
            <v>P.Support &gt;14 Hari u.Balok Bang.A</v>
          </cell>
          <cell r="F94" t="str">
            <v>Ls</v>
          </cell>
          <cell r="G94">
            <v>8425.9752733460937</v>
          </cell>
          <cell r="H94">
            <v>8425.9752733460937</v>
          </cell>
        </row>
        <row r="95">
          <cell r="B95" t="str">
            <v>A.9</v>
          </cell>
          <cell r="C95" t="str">
            <v>Scafolding u. Balok Bang.B/C</v>
          </cell>
          <cell r="F95" t="str">
            <v>Ls</v>
          </cell>
          <cell r="G95">
            <v>25814.69639899741</v>
          </cell>
          <cell r="H95">
            <v>25814.69639899741</v>
          </cell>
        </row>
        <row r="96">
          <cell r="B96" t="str">
            <v>A.10</v>
          </cell>
          <cell r="C96" t="str">
            <v>P.Support &gt;14 Hari u.Balok Bang.B/C</v>
          </cell>
          <cell r="F96" t="str">
            <v>Ls</v>
          </cell>
          <cell r="G96">
            <v>7879.2687203730056</v>
          </cell>
          <cell r="H96">
            <v>7879.2687203730056</v>
          </cell>
        </row>
        <row r="97">
          <cell r="B97" t="str">
            <v>A.11</v>
          </cell>
          <cell r="C97" t="str">
            <v>Concrete Pump</v>
          </cell>
          <cell r="F97" t="str">
            <v>m3</v>
          </cell>
          <cell r="G97">
            <v>50000</v>
          </cell>
          <cell r="H97">
            <v>45000</v>
          </cell>
        </row>
        <row r="98">
          <cell r="B98" t="str">
            <v>A.12</v>
          </cell>
          <cell r="C98" t="str">
            <v>Scafolding u. Plat Bang.A</v>
          </cell>
          <cell r="F98" t="str">
            <v>Ls</v>
          </cell>
          <cell r="G98">
            <v>12095.50577541466</v>
          </cell>
          <cell r="H98">
            <v>12095.50577541466</v>
          </cell>
        </row>
        <row r="99">
          <cell r="B99" t="str">
            <v>A.13</v>
          </cell>
          <cell r="C99" t="str">
            <v>P.Support &gt;14 Hari u.Plat Bang.A</v>
          </cell>
          <cell r="F99" t="str">
            <v>Ls</v>
          </cell>
          <cell r="G99">
            <v>9983.5920685962265</v>
          </cell>
          <cell r="H99">
            <v>9983.5920685962265</v>
          </cell>
        </row>
        <row r="100">
          <cell r="B100" t="str">
            <v>A.14</v>
          </cell>
          <cell r="C100" t="str">
            <v>Scafolding u. Plat Bang.B/C</v>
          </cell>
          <cell r="F100" t="str">
            <v>Ls</v>
          </cell>
          <cell r="G100">
            <v>10204.376366284283</v>
          </cell>
          <cell r="H100">
            <v>10204.376366284283</v>
          </cell>
        </row>
        <row r="101">
          <cell r="B101" t="str">
            <v>A.15</v>
          </cell>
          <cell r="C101" t="str">
            <v>P.Support &gt;14 Hari u.Plat Bang.B/C</v>
          </cell>
          <cell r="F101" t="str">
            <v>Ls</v>
          </cell>
          <cell r="G101">
            <v>13382.147841243683</v>
          </cell>
          <cell r="H101">
            <v>13382.147841243683</v>
          </cell>
        </row>
        <row r="102">
          <cell r="B102" t="str">
            <v>A.16</v>
          </cell>
          <cell r="C102" t="str">
            <v>Support u. Beton Tangga</v>
          </cell>
          <cell r="F102" t="str">
            <v>Ls</v>
          </cell>
          <cell r="G102">
            <v>20000</v>
          </cell>
          <cell r="H102">
            <v>20000</v>
          </cell>
        </row>
        <row r="103">
          <cell r="B103" t="str">
            <v>A.17</v>
          </cell>
          <cell r="C103" t="str">
            <v>Excavator</v>
          </cell>
          <cell r="F103" t="str">
            <v>Jam</v>
          </cell>
          <cell r="G103">
            <v>417500</v>
          </cell>
          <cell r="H103">
            <v>417500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HAN"/>
      <sheetName val="Hrg Sat Pek"/>
      <sheetName val="Hrg"/>
      <sheetName val="REKAP"/>
      <sheetName val="RAB-II"/>
      <sheetName val="ans"/>
      <sheetName val="Bobot1"/>
      <sheetName val="Bobot(2)"/>
      <sheetName val="Bobot(3)"/>
      <sheetName val="Bobot(4)"/>
      <sheetName val="Bobot(5)"/>
      <sheetName val="Bobot(6)"/>
      <sheetName val="Bobot(7)"/>
      <sheetName val="Bobot(8)"/>
      <sheetName val="Bobot(9)"/>
      <sheetName val="Bobot(10)"/>
      <sheetName val="Bobot(11)"/>
      <sheetName val="Bobot(12)"/>
      <sheetName val="Bobot(13)"/>
      <sheetName val="Bobot(14)"/>
      <sheetName val="Bobot(15)"/>
      <sheetName val="Bobot(16)"/>
      <sheetName val="SCHD (3)"/>
      <sheetName val="Bobot(17)"/>
      <sheetName val="Bobot(18)"/>
      <sheetName val="Bobot(19)"/>
      <sheetName val="Bobot(20)"/>
      <sheetName val="Bobot(21)"/>
      <sheetName val="Bobot(22)"/>
      <sheetName val="Bobot(23)"/>
      <sheetName val="Bobot(24)"/>
      <sheetName val="Bobot(25)"/>
      <sheetName val="Bobot(26)"/>
      <sheetName val="Bobot(27)"/>
      <sheetName val="Bobot(28)"/>
      <sheetName val="Bobot(29)"/>
      <sheetName val="Bobot(30)"/>
      <sheetName val="Bobot(31)"/>
      <sheetName val="Bobot(3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MAJOR"/>
      <sheetName val="%"/>
      <sheetName val="Rekap"/>
      <sheetName val="Peta Quarry"/>
      <sheetName val="Mobilisasi"/>
      <sheetName val="Perhitungan Mobilisasi Alat"/>
      <sheetName val="Lalu Lintas"/>
      <sheetName val="Jembatan Sementara"/>
      <sheetName val="Informasi"/>
      <sheetName val="BOQ"/>
      <sheetName val="4-Basic Price"/>
      <sheetName val="4-Analisa Quarry"/>
      <sheetName val="4-formulir harga bahan"/>
      <sheetName val="5-ALAT(1)"/>
      <sheetName val="5-ALAT (2)"/>
      <sheetName val="Agg Halus &amp; Kasar"/>
      <sheetName val="Agg A"/>
      <sheetName val="Agg B"/>
      <sheetName val="Agg C"/>
      <sheetName val="D2"/>
      <sheetName val="D3"/>
      <sheetName val="D4"/>
      <sheetName val="D5"/>
      <sheetName val="D6"/>
      <sheetName val="D6 ASBT"/>
      <sheetName val="D7(1)"/>
      <sheetName val="D7(2)"/>
      <sheetName val="D7(3)"/>
      <sheetName val="D8(1)"/>
      <sheetName val="D8(2)"/>
      <sheetName val="D9"/>
      <sheetName val="D10 LS-Rutin"/>
      <sheetName val="D10 Kuantitas"/>
      <sheetName val="D10 Analisa HSP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>
        <row r="8">
          <cell r="F8">
            <v>5000</v>
          </cell>
        </row>
        <row r="9">
          <cell r="F9">
            <v>8571.4285714285706</v>
          </cell>
        </row>
        <row r="10">
          <cell r="F10">
            <v>8714.2857142857138</v>
          </cell>
        </row>
        <row r="53">
          <cell r="F53">
            <v>313780.95962414716</v>
          </cell>
        </row>
        <row r="54">
          <cell r="F54">
            <v>313780.95962414716</v>
          </cell>
        </row>
        <row r="60">
          <cell r="F60">
            <v>10159.878000000001</v>
          </cell>
        </row>
        <row r="62">
          <cell r="F62">
            <v>6600</v>
          </cell>
        </row>
        <row r="63">
          <cell r="F63">
            <v>62800</v>
          </cell>
        </row>
        <row r="68">
          <cell r="F68">
            <v>201800</v>
          </cell>
        </row>
        <row r="71">
          <cell r="F71">
            <v>10000</v>
          </cell>
        </row>
        <row r="72">
          <cell r="F72">
            <v>1250000</v>
          </cell>
        </row>
        <row r="79">
          <cell r="F79">
            <v>289197.36378100881</v>
          </cell>
        </row>
        <row r="80">
          <cell r="F80">
            <v>271868.66119518824</v>
          </cell>
        </row>
        <row r="92">
          <cell r="F92">
            <v>1436287.5086616194</v>
          </cell>
        </row>
        <row r="93">
          <cell r="F93">
            <v>12500</v>
          </cell>
        </row>
        <row r="100">
          <cell r="F100">
            <v>129900</v>
          </cell>
        </row>
        <row r="103">
          <cell r="F103">
            <v>1014307.7645066389</v>
          </cell>
        </row>
        <row r="104">
          <cell r="F104">
            <v>11000</v>
          </cell>
        </row>
      </sheetData>
      <sheetData sheetId="12" refreshError="1"/>
      <sheetData sheetId="13" refreshError="1"/>
      <sheetData sheetId="14">
        <row r="9">
          <cell r="AW9">
            <v>300787.08352182875</v>
          </cell>
        </row>
        <row r="12">
          <cell r="AW12">
            <v>144312.9850191994</v>
          </cell>
        </row>
        <row r="13">
          <cell r="AW13">
            <v>85403.799999999988</v>
          </cell>
        </row>
        <row r="14">
          <cell r="AW14">
            <v>445959.3265606974</v>
          </cell>
        </row>
        <row r="15">
          <cell r="AW15">
            <v>234488.10456187683</v>
          </cell>
        </row>
        <row r="16">
          <cell r="AW16">
            <v>401635.43087512313</v>
          </cell>
        </row>
        <row r="17">
          <cell r="AW17">
            <v>384163.03410029551</v>
          </cell>
        </row>
        <row r="18">
          <cell r="AW18">
            <v>382428.92723472411</v>
          </cell>
        </row>
        <row r="20">
          <cell r="AW20">
            <v>401108.56608175358</v>
          </cell>
        </row>
        <row r="22">
          <cell r="AW22">
            <v>347470.30373142357</v>
          </cell>
        </row>
        <row r="23">
          <cell r="AW23">
            <v>176108.85500413002</v>
          </cell>
        </row>
        <row r="24">
          <cell r="AW24">
            <v>244962.44703251612</v>
          </cell>
        </row>
        <row r="26">
          <cell r="AW26">
            <v>259627.17745912666</v>
          </cell>
        </row>
        <row r="29">
          <cell r="AW29">
            <v>39156.107186016401</v>
          </cell>
        </row>
        <row r="30">
          <cell r="AW30">
            <v>225494.94168084295</v>
          </cell>
        </row>
        <row r="34">
          <cell r="AW34">
            <v>821698.04815772467</v>
          </cell>
        </row>
        <row r="36">
          <cell r="AW36">
            <v>398258.50574747165</v>
          </cell>
        </row>
        <row r="38">
          <cell r="AW38">
            <v>445609.03544891451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Kelengkapan"/>
      <sheetName val="Penawaran"/>
      <sheetName val="Jadwal Pelaksanaan"/>
      <sheetName val="Jadwal Alat"/>
      <sheetName val="Rekapitulasi"/>
      <sheetName val="Kuantitas &amp; Harga"/>
      <sheetName val="Anl. Tehnis"/>
      <sheetName val="Analisa"/>
      <sheetName val="Harga Satuan"/>
      <sheetName val="Anl. Mobilisasi"/>
      <sheetName val="Anl Pem Rutin"/>
      <sheetName val="Kap.Pemecah Batu"/>
      <sheetName val="Kapasitas AMP"/>
      <sheetName val="MP. Utama"/>
      <sheetName val="Peralatan"/>
      <sheetName val="Subkon"/>
      <sheetName val="Staf Inti"/>
      <sheetName val="Metode Bgn"/>
      <sheetName val="Metode Jln"/>
      <sheetName val="Mat On Site"/>
      <sheetName val="Kulit"/>
      <sheetName val="Hrg"/>
      <sheetName val="N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>
        <row r="48">
          <cell r="I48">
            <v>869343111</v>
          </cell>
        </row>
        <row r="59">
          <cell r="I59">
            <v>117035320.5</v>
          </cell>
        </row>
        <row r="69">
          <cell r="I69">
            <v>1809934778.925</v>
          </cell>
        </row>
        <row r="82">
          <cell r="I82">
            <v>597983634</v>
          </cell>
        </row>
        <row r="106">
          <cell r="I106">
            <v>329588793.71899998</v>
          </cell>
        </row>
        <row r="138">
          <cell r="I138">
            <v>29856040.600000001</v>
          </cell>
        </row>
        <row r="176">
          <cell r="I176">
            <v>0</v>
          </cell>
        </row>
      </sheetData>
      <sheetData sheetId="7" refreshError="1"/>
      <sheetData sheetId="8" refreshError="1"/>
      <sheetData sheetId="9" refreshError="1"/>
      <sheetData sheetId="10" refreshError="1">
        <row r="57">
          <cell r="K57">
            <v>97800000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MBAHAN"/>
      <sheetName val="DISAIN RDS"/>
      <sheetName val="KOEFESIEN"/>
      <sheetName val="Rekap Biaya"/>
      <sheetName val="Kuantitas &amp; Harga"/>
      <sheetName val="Pekerjaan Utama"/>
      <sheetName val="%"/>
      <sheetName val="Informasi"/>
      <sheetName val="Peta Quarry"/>
      <sheetName val="Mobilisasi"/>
      <sheetName val="Perhitungan Mobilisasi Alat"/>
      <sheetName val="Lalu Lintas"/>
      <sheetName val="Jembatan Sementara"/>
      <sheetName val="Additional"/>
      <sheetName val="3-DIV2"/>
      <sheetName val="3-DIV3"/>
      <sheetName val="3-DIV3 (2)"/>
      <sheetName val="3-DIV3 (3)"/>
      <sheetName val="3-DIV3 (4)"/>
      <sheetName val="3-DIV4"/>
      <sheetName val="3-DIV5"/>
      <sheetName val="3-DIV5-LPAS"/>
      <sheetName val="Lean Concr"/>
      <sheetName val="Sand-Bedding"/>
      <sheetName val="3-DIV6"/>
      <sheetName val="3-DIV6 Lasbutag"/>
      <sheetName val="3-DIV7"/>
      <sheetName val="3-DIV7.1"/>
      <sheetName val="3-DIV8"/>
      <sheetName val="3-DIV9"/>
      <sheetName val="3-DIV10 LS-Rutin"/>
      <sheetName val="3-DIV10 Kuantitas"/>
      <sheetName val="3-DIV10 Analisa HSP"/>
      <sheetName val="SPESIFIKASI"/>
      <sheetName val="4-Basic Price"/>
      <sheetName val="4-formulir harga bahan"/>
      <sheetName val="4-Analisa Quarry"/>
      <sheetName val="5-Peralatan"/>
      <sheetName val="5-Peralatan (2)"/>
      <sheetName val="6-Agregat Halus &amp; Kasar"/>
      <sheetName val="6-Agregat Kelas A"/>
      <sheetName val="6-Agregat Kelas B"/>
      <sheetName val="6-Agregat Kelas 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3">
          <cell r="AW13">
            <v>47472.058636363639</v>
          </cell>
        </row>
        <row r="16">
          <cell r="AW16">
            <v>70230.073977639215</v>
          </cell>
        </row>
        <row r="24">
          <cell r="AW24">
            <v>293927.19306224468</v>
          </cell>
        </row>
      </sheetData>
      <sheetData sheetId="38"/>
      <sheetData sheetId="39"/>
      <sheetData sheetId="40"/>
      <sheetData sheetId="41"/>
      <sheetData sheetId="42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 (2)"/>
      <sheetName val="SAT-DAS"/>
      <sheetName val="Ur-Anl (ok punya)"/>
      <sheetName val="Analisa (ok punya)"/>
      <sheetName val="Kuan&amp;Harga(BQ)"/>
      <sheetName val="Rekap"/>
      <sheetName val="Anl-Alt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</sheetNames>
    <sheetDataSet>
      <sheetData sheetId="0"/>
      <sheetData sheetId="1"/>
      <sheetData sheetId="2"/>
      <sheetData sheetId="3"/>
      <sheetData sheetId="4">
        <row r="46">
          <cell r="J46">
            <v>275428.96000000002</v>
          </cell>
        </row>
        <row r="54">
          <cell r="J54">
            <v>130693.91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Alat"/>
      <sheetName val="Sheet1"/>
      <sheetName val="Harga &amp; Bahan "/>
      <sheetName val="An. Alat"/>
      <sheetName val="NP"/>
      <sheetName val="Analisa"/>
      <sheetName val="Rab"/>
      <sheetName val="rEKAP"/>
      <sheetName val="Sekedul pak lah"/>
      <sheetName val="Pak Lah Anas tek"/>
      <sheetName val="Anas Tek"/>
      <sheetName val="jadwal"/>
      <sheetName val="Anal.Teknik"/>
    </sheetNames>
    <sheetDataSet>
      <sheetData sheetId="0"/>
      <sheetData sheetId="1"/>
      <sheetData sheetId="2"/>
      <sheetData sheetId="3">
        <row r="238">
          <cell r="A238" t="str">
            <v>URAIAN ANALISA ALAT</v>
          </cell>
        </row>
        <row r="241">
          <cell r="A241" t="str">
            <v>No.</v>
          </cell>
          <cell r="C241" t="str">
            <v>U R A I A N</v>
          </cell>
          <cell r="G241" t="str">
            <v>KODE</v>
          </cell>
          <cell r="H241" t="str">
            <v>KOEF.</v>
          </cell>
          <cell r="I241" t="str">
            <v>SATUAN</v>
          </cell>
          <cell r="J241" t="str">
            <v>KET.</v>
          </cell>
        </row>
        <row r="244">
          <cell r="A244" t="str">
            <v>A.</v>
          </cell>
          <cell r="C244" t="str">
            <v>URAIAN PERALATAN</v>
          </cell>
        </row>
        <row r="245">
          <cell r="A245" t="str">
            <v xml:space="preserve">       1.</v>
          </cell>
          <cell r="C245" t="str">
            <v>Jenis Peralatan</v>
          </cell>
          <cell r="G245" t="str">
            <v>GENERATOR SET</v>
          </cell>
          <cell r="J245" t="str">
            <v>E12</v>
          </cell>
        </row>
        <row r="246">
          <cell r="A246" t="str">
            <v xml:space="preserve">       2.</v>
          </cell>
          <cell r="C246" t="str">
            <v>Tenaga</v>
          </cell>
          <cell r="G246" t="str">
            <v>Pw</v>
          </cell>
          <cell r="H246">
            <v>175</v>
          </cell>
          <cell r="I246" t="str">
            <v>HP</v>
          </cell>
        </row>
        <row r="247">
          <cell r="A247" t="str">
            <v xml:space="preserve">       3.</v>
          </cell>
          <cell r="C247" t="str">
            <v>Kapasitas</v>
          </cell>
          <cell r="G247" t="str">
            <v>Cp</v>
          </cell>
          <cell r="H247">
            <v>125</v>
          </cell>
          <cell r="I247" t="str">
            <v>KVA</v>
          </cell>
        </row>
        <row r="248">
          <cell r="A248" t="str">
            <v xml:space="preserve">       4.</v>
          </cell>
          <cell r="C248" t="str">
            <v>Alat Baru                :</v>
          </cell>
          <cell r="D248" t="str">
            <v xml:space="preserve">  a.  Umur Ekonomis</v>
          </cell>
          <cell r="G248" t="str">
            <v>A</v>
          </cell>
          <cell r="H248">
            <v>5</v>
          </cell>
          <cell r="I248" t="str">
            <v>Tahun</v>
          </cell>
        </row>
        <row r="249">
          <cell r="D249" t="str">
            <v xml:space="preserve">  b.  Jam Kerja Dalam 1 Tahun</v>
          </cell>
          <cell r="G249" t="str">
            <v>W</v>
          </cell>
          <cell r="H249">
            <v>2000</v>
          </cell>
          <cell r="I249" t="str">
            <v>Jam</v>
          </cell>
        </row>
        <row r="250">
          <cell r="D250" t="str">
            <v xml:space="preserve">  c.  Harga Alat</v>
          </cell>
          <cell r="G250" t="str">
            <v>B</v>
          </cell>
          <cell r="H250">
            <v>128000000</v>
          </cell>
          <cell r="I250" t="str">
            <v>Rupiah</v>
          </cell>
        </row>
        <row r="251">
          <cell r="A251" t="str">
            <v xml:space="preserve">       5.</v>
          </cell>
          <cell r="C251" t="str">
            <v>Alat Yang Dipakai  :</v>
          </cell>
          <cell r="D251" t="str">
            <v xml:space="preserve">  a.  Umur Ekonomis</v>
          </cell>
          <cell r="G251" t="str">
            <v>A'</v>
          </cell>
          <cell r="H251">
            <v>5</v>
          </cell>
          <cell r="I251" t="str">
            <v>Tahun</v>
          </cell>
          <cell r="J251" t="str">
            <v xml:space="preserve"> Alat Baru</v>
          </cell>
        </row>
        <row r="252">
          <cell r="D252" t="str">
            <v xml:space="preserve">  b.  Jam Kerja Dalam 1 Tahun </v>
          </cell>
          <cell r="G252" t="str">
            <v>W'</v>
          </cell>
          <cell r="H252">
            <v>2000</v>
          </cell>
          <cell r="I252" t="str">
            <v>Jam</v>
          </cell>
          <cell r="J252" t="str">
            <v xml:space="preserve"> Alat Baru</v>
          </cell>
        </row>
        <row r="253">
          <cell r="D253" t="str">
            <v xml:space="preserve">  c.  Harga Alat   (*)</v>
          </cell>
          <cell r="G253" t="str">
            <v>B'</v>
          </cell>
          <cell r="H253">
            <v>128000000</v>
          </cell>
          <cell r="I253" t="str">
            <v>Rupiah</v>
          </cell>
          <cell r="J253" t="str">
            <v xml:space="preserve"> Alat Baru</v>
          </cell>
        </row>
        <row r="255">
          <cell r="A255" t="str">
            <v>B.</v>
          </cell>
          <cell r="C255" t="str">
            <v>BIAYA PASTI PER JAM KERJA</v>
          </cell>
        </row>
        <row r="256">
          <cell r="A256" t="str">
            <v xml:space="preserve">       1.</v>
          </cell>
          <cell r="C256" t="str">
            <v>Nilai Sisa Alat</v>
          </cell>
          <cell r="D256" t="str">
            <v>=  10 % x B</v>
          </cell>
          <cell r="G256" t="str">
            <v>C</v>
          </cell>
          <cell r="H256">
            <v>12800000</v>
          </cell>
          <cell r="I256" t="str">
            <v>Rupiah</v>
          </cell>
        </row>
        <row r="258">
          <cell r="A258" t="str">
            <v xml:space="preserve">       2.</v>
          </cell>
          <cell r="C258" t="str">
            <v>Faktor Angsuran Modal    =</v>
          </cell>
          <cell r="E258" t="str">
            <v>i x (1 + i)^A'</v>
          </cell>
          <cell r="G258" t="str">
            <v>D</v>
          </cell>
          <cell r="H258">
            <v>0.33437970328961514</v>
          </cell>
          <cell r="I258" t="str">
            <v>-</v>
          </cell>
        </row>
        <row r="259">
          <cell r="E259" t="str">
            <v>(1 + i)^A' - 1</v>
          </cell>
        </row>
        <row r="260">
          <cell r="A260" t="str">
            <v xml:space="preserve">       3.</v>
          </cell>
          <cell r="C260" t="str">
            <v>Biaya Pasti per Jam  :</v>
          </cell>
        </row>
        <row r="261">
          <cell r="C261" t="str">
            <v>a.  Biaya Pengembalian Modal  =</v>
          </cell>
          <cell r="E261" t="str">
            <v>( B' - C ) x D</v>
          </cell>
          <cell r="G261" t="str">
            <v>E</v>
          </cell>
          <cell r="H261">
            <v>19260.270909481831</v>
          </cell>
          <cell r="I261" t="str">
            <v>Rupiah</v>
          </cell>
        </row>
        <row r="262">
          <cell r="E262" t="str">
            <v>W'</v>
          </cell>
        </row>
        <row r="264">
          <cell r="C264" t="str">
            <v>b.  Asuransi, dll =</v>
          </cell>
          <cell r="D264">
            <v>2E-3</v>
          </cell>
          <cell r="E264" t="str">
            <v xml:space="preserve">  x   B'</v>
          </cell>
          <cell r="G264" t="str">
            <v>F</v>
          </cell>
          <cell r="H264">
            <v>128</v>
          </cell>
          <cell r="I264" t="str">
            <v>Rupiah</v>
          </cell>
        </row>
        <row r="265">
          <cell r="E265" t="str">
            <v>W'</v>
          </cell>
        </row>
        <row r="267">
          <cell r="C267" t="str">
            <v>Biaya Pasti per Jam             =</v>
          </cell>
          <cell r="E267" t="str">
            <v>( E + F )</v>
          </cell>
          <cell r="G267" t="str">
            <v>G</v>
          </cell>
          <cell r="H267">
            <v>19388.270909481831</v>
          </cell>
          <cell r="I267" t="str">
            <v>Rupiah</v>
          </cell>
        </row>
        <row r="269">
          <cell r="A269" t="str">
            <v>C.</v>
          </cell>
          <cell r="C269" t="str">
            <v>BIAYA OPERASI PER JAM KERJA</v>
          </cell>
        </row>
        <row r="271">
          <cell r="A271" t="str">
            <v xml:space="preserve">       1.</v>
          </cell>
          <cell r="C271" t="str">
            <v xml:space="preserve">Bahan Bakar  =  (0.125-0.175 Ltr/HP/Jam)   x Pw x Ms </v>
          </cell>
          <cell r="G271" t="str">
            <v>H</v>
          </cell>
          <cell r="H271">
            <v>90781.25</v>
          </cell>
          <cell r="I271" t="str">
            <v>Rupiah</v>
          </cell>
        </row>
        <row r="273">
          <cell r="A273" t="str">
            <v xml:space="preserve">       2.</v>
          </cell>
          <cell r="C273" t="str">
            <v>Pelumas         =  (0.01-0.02 Ltr/HP/Jam) x Pw x Mp</v>
          </cell>
          <cell r="G273" t="str">
            <v>I</v>
          </cell>
          <cell r="H273">
            <v>52500</v>
          </cell>
          <cell r="I273" t="str">
            <v>Rupiah</v>
          </cell>
        </row>
        <row r="275">
          <cell r="A275" t="str">
            <v xml:space="preserve">       3.</v>
          </cell>
          <cell r="C275" t="str">
            <v>Perawatan dan</v>
          </cell>
          <cell r="D275" t="str">
            <v>(12,5 % - 17,5 %)  x  B'</v>
          </cell>
          <cell r="G275" t="str">
            <v>K</v>
          </cell>
          <cell r="H275">
            <v>8000</v>
          </cell>
          <cell r="I275" t="str">
            <v>Rupiah</v>
          </cell>
        </row>
        <row r="276">
          <cell r="C276" t="str">
            <v xml:space="preserve">        perbaikan    =</v>
          </cell>
          <cell r="D276" t="str">
            <v>W'</v>
          </cell>
        </row>
        <row r="278">
          <cell r="A278" t="str">
            <v xml:space="preserve">       4.</v>
          </cell>
          <cell r="C278" t="str">
            <v>Operator</v>
          </cell>
          <cell r="D278" t="str">
            <v>=   ( 1  Orang / Jam )  x  U1</v>
          </cell>
          <cell r="G278" t="str">
            <v>L</v>
          </cell>
          <cell r="H278">
            <v>10714.285714285714</v>
          </cell>
          <cell r="I278" t="str">
            <v>Rupiah</v>
          </cell>
        </row>
        <row r="279">
          <cell r="A279" t="str">
            <v xml:space="preserve">       5.</v>
          </cell>
          <cell r="C279" t="str">
            <v>Pembantu Operator</v>
          </cell>
          <cell r="D279" t="str">
            <v>=   ( 1  Orang / Jam )  x  U2</v>
          </cell>
          <cell r="G279" t="str">
            <v>M</v>
          </cell>
          <cell r="H279">
            <v>4000</v>
          </cell>
          <cell r="I279" t="str">
            <v>Rupiah</v>
          </cell>
        </row>
        <row r="281">
          <cell r="C281" t="str">
            <v>Biaya Operasi per Jam        =</v>
          </cell>
          <cell r="E281" t="str">
            <v>(H+I+K+L+M)</v>
          </cell>
          <cell r="G281" t="str">
            <v>P</v>
          </cell>
          <cell r="H281">
            <v>165995.53571428571</v>
          </cell>
          <cell r="I281" t="str">
            <v>Rupiah</v>
          </cell>
        </row>
        <row r="283">
          <cell r="A283" t="str">
            <v>D.</v>
          </cell>
          <cell r="C283" t="str">
            <v>TOTAL BIAYA SEWA ALAT / JAM   =   ( G + P )</v>
          </cell>
          <cell r="G283" t="str">
            <v>S</v>
          </cell>
          <cell r="H283">
            <v>185383.80662376754</v>
          </cell>
          <cell r="I283" t="str">
            <v>Rupiah</v>
          </cell>
        </row>
        <row r="286">
          <cell r="A286" t="str">
            <v>E.</v>
          </cell>
          <cell r="C286" t="str">
            <v>LAIN - LAIN</v>
          </cell>
        </row>
        <row r="287">
          <cell r="A287" t="str">
            <v xml:space="preserve">       1.</v>
          </cell>
          <cell r="C287" t="str">
            <v>Tingkat Suku Bunga</v>
          </cell>
          <cell r="G287" t="str">
            <v>i</v>
          </cell>
          <cell r="H287">
            <v>20</v>
          </cell>
          <cell r="I287" t="str">
            <v>% / Tahun</v>
          </cell>
        </row>
        <row r="288">
          <cell r="A288" t="str">
            <v xml:space="preserve">       2.</v>
          </cell>
          <cell r="C288" t="str">
            <v>Upah Operator / Sopir</v>
          </cell>
          <cell r="G288" t="str">
            <v>U1</v>
          </cell>
          <cell r="H288">
            <v>10714.285714285714</v>
          </cell>
          <cell r="I288" t="str">
            <v>Rp./Jam</v>
          </cell>
        </row>
        <row r="289">
          <cell r="A289" t="str">
            <v xml:space="preserve">       3.</v>
          </cell>
          <cell r="C289" t="str">
            <v>Upah Pembantu Operator / Pmb.Sopir</v>
          </cell>
          <cell r="G289" t="str">
            <v>U2</v>
          </cell>
          <cell r="H289">
            <v>4000</v>
          </cell>
          <cell r="I289" t="str">
            <v>Rp./Jam</v>
          </cell>
        </row>
        <row r="290">
          <cell r="A290" t="str">
            <v xml:space="preserve">       4.</v>
          </cell>
          <cell r="C290" t="str">
            <v>Bahan Bakar Bensin</v>
          </cell>
          <cell r="G290" t="str">
            <v>Mb</v>
          </cell>
          <cell r="H290">
            <v>4500</v>
          </cell>
          <cell r="I290" t="str">
            <v>Liter</v>
          </cell>
        </row>
        <row r="291">
          <cell r="A291" t="str">
            <v xml:space="preserve">       5.</v>
          </cell>
          <cell r="C291" t="str">
            <v>Bahan Bakar Solar</v>
          </cell>
          <cell r="G291" t="str">
            <v>Ms</v>
          </cell>
          <cell r="H291">
            <v>4400</v>
          </cell>
          <cell r="I291" t="str">
            <v>Liter</v>
          </cell>
        </row>
        <row r="292">
          <cell r="A292" t="str">
            <v xml:space="preserve">       6.</v>
          </cell>
          <cell r="C292" t="str">
            <v>Minyak Pelumas</v>
          </cell>
          <cell r="G292" t="str">
            <v>Mp</v>
          </cell>
          <cell r="H292">
            <v>30000</v>
          </cell>
          <cell r="I292" t="str">
            <v>Liter</v>
          </cell>
        </row>
        <row r="293">
          <cell r="A293" t="str">
            <v xml:space="preserve">       7.</v>
          </cell>
          <cell r="C293" t="str">
            <v>PPN diperhitungkan pada lembar Rekapitulasi</v>
          </cell>
        </row>
        <row r="294">
          <cell r="C294" t="str">
            <v>Biaya Pekerjaan</v>
          </cell>
        </row>
        <row r="297">
          <cell r="A297" t="str">
            <v>URAIAN ANALISA ALAT</v>
          </cell>
        </row>
        <row r="300">
          <cell r="A300" t="str">
            <v>No.</v>
          </cell>
          <cell r="C300" t="str">
            <v>U R A I A N</v>
          </cell>
          <cell r="G300" t="str">
            <v>KODE</v>
          </cell>
          <cell r="H300" t="str">
            <v>KOEF.</v>
          </cell>
          <cell r="I300" t="str">
            <v>SATUAN</v>
          </cell>
          <cell r="J300" t="str">
            <v>KET.</v>
          </cell>
        </row>
        <row r="303">
          <cell r="A303" t="str">
            <v>A.</v>
          </cell>
          <cell r="C303" t="str">
            <v>URAIAN PERALATAN</v>
          </cell>
        </row>
        <row r="304">
          <cell r="A304" t="str">
            <v xml:space="preserve">       1.</v>
          </cell>
          <cell r="C304" t="str">
            <v>Jenis Peralatan</v>
          </cell>
          <cell r="G304" t="str">
            <v>TRACK LOADER 75-100 HP</v>
          </cell>
          <cell r="J304" t="str">
            <v>E14</v>
          </cell>
        </row>
        <row r="305">
          <cell r="A305" t="str">
            <v xml:space="preserve">       2.</v>
          </cell>
          <cell r="C305" t="str">
            <v>Tenaga</v>
          </cell>
          <cell r="G305" t="str">
            <v>Pw</v>
          </cell>
          <cell r="H305">
            <v>90</v>
          </cell>
          <cell r="I305" t="str">
            <v>HP</v>
          </cell>
        </row>
        <row r="306">
          <cell r="A306" t="str">
            <v xml:space="preserve">       3.</v>
          </cell>
          <cell r="C306" t="str">
            <v>Kapasitas</v>
          </cell>
          <cell r="G306" t="str">
            <v>Cp</v>
          </cell>
          <cell r="H306">
            <v>1.6</v>
          </cell>
          <cell r="I306" t="str">
            <v>M3</v>
          </cell>
        </row>
        <row r="307">
          <cell r="A307" t="str">
            <v xml:space="preserve">       4.</v>
          </cell>
          <cell r="C307" t="str">
            <v>Alat Baru                :</v>
          </cell>
          <cell r="D307" t="str">
            <v xml:space="preserve">  a.  Umur Ekonomis</v>
          </cell>
          <cell r="G307" t="str">
            <v>A</v>
          </cell>
          <cell r="H307">
            <v>5</v>
          </cell>
          <cell r="I307" t="str">
            <v>Tahun</v>
          </cell>
        </row>
        <row r="308">
          <cell r="D308" t="str">
            <v xml:space="preserve">  b.  Jam Kerja Dalam 1 Tahun</v>
          </cell>
          <cell r="G308" t="str">
            <v>W</v>
          </cell>
          <cell r="H308">
            <v>2000</v>
          </cell>
          <cell r="I308" t="str">
            <v>Jam</v>
          </cell>
        </row>
        <row r="309">
          <cell r="D309" t="str">
            <v xml:space="preserve">  c.  Harga Alat</v>
          </cell>
          <cell r="G309" t="str">
            <v>B</v>
          </cell>
          <cell r="H309">
            <v>567000000</v>
          </cell>
          <cell r="I309" t="str">
            <v>Rupiah</v>
          </cell>
        </row>
        <row r="310">
          <cell r="A310" t="str">
            <v xml:space="preserve">       5.</v>
          </cell>
          <cell r="C310" t="str">
            <v>Alat Yang Dipakai  :</v>
          </cell>
          <cell r="D310" t="str">
            <v xml:space="preserve">  a.  Umur Ekonomis</v>
          </cell>
          <cell r="G310" t="str">
            <v>A'</v>
          </cell>
          <cell r="H310">
            <v>5</v>
          </cell>
          <cell r="I310" t="str">
            <v>Tahun</v>
          </cell>
          <cell r="J310" t="str">
            <v xml:space="preserve"> Alat Baru</v>
          </cell>
        </row>
        <row r="311">
          <cell r="D311" t="str">
            <v xml:space="preserve">  b.  Jam Kerja Dalam 1 Tahun </v>
          </cell>
          <cell r="G311" t="str">
            <v>W'</v>
          </cell>
          <cell r="H311">
            <v>2000</v>
          </cell>
          <cell r="I311" t="str">
            <v>Jam</v>
          </cell>
          <cell r="J311" t="str">
            <v xml:space="preserve"> Alat Baru</v>
          </cell>
        </row>
        <row r="312">
          <cell r="D312" t="str">
            <v xml:space="preserve">  c.  Harga Alat   (*)</v>
          </cell>
          <cell r="G312" t="str">
            <v>B'</v>
          </cell>
          <cell r="H312">
            <v>567000000</v>
          </cell>
          <cell r="I312" t="str">
            <v>Rupiah</v>
          </cell>
          <cell r="J312" t="str">
            <v xml:space="preserve"> Alat Baru</v>
          </cell>
        </row>
        <row r="314">
          <cell r="A314" t="str">
            <v>B.</v>
          </cell>
          <cell r="C314" t="str">
            <v>BIAYA PASTI PER JAM KERJA</v>
          </cell>
        </row>
        <row r="315">
          <cell r="A315" t="str">
            <v xml:space="preserve">       1.</v>
          </cell>
          <cell r="C315" t="str">
            <v>Nilai Sisa Alat</v>
          </cell>
          <cell r="D315" t="str">
            <v>=  10 % x B</v>
          </cell>
          <cell r="G315" t="str">
            <v>C</v>
          </cell>
          <cell r="H315">
            <v>56700000</v>
          </cell>
          <cell r="I315" t="str">
            <v>Rupiah</v>
          </cell>
        </row>
        <row r="317">
          <cell r="A317" t="str">
            <v xml:space="preserve">       2.</v>
          </cell>
          <cell r="C317" t="str">
            <v>Faktor Angsuran Modal    =</v>
          </cell>
          <cell r="E317" t="str">
            <v>i x (1 + i)^A'</v>
          </cell>
          <cell r="G317" t="str">
            <v>D</v>
          </cell>
          <cell r="H317">
            <v>0.33437970328961514</v>
          </cell>
          <cell r="I317" t="str">
            <v>-</v>
          </cell>
        </row>
        <row r="318">
          <cell r="E318" t="str">
            <v>(1 + i)^A' - 1</v>
          </cell>
        </row>
        <row r="319">
          <cell r="A319" t="str">
            <v xml:space="preserve">       3.</v>
          </cell>
          <cell r="C319" t="str">
            <v>Biaya Pasti per Jam  :</v>
          </cell>
        </row>
        <row r="320">
          <cell r="C320" t="str">
            <v>a.  Biaya Pengembalian Modal  =</v>
          </cell>
          <cell r="E320" t="str">
            <v>( B' - C ) x D</v>
          </cell>
          <cell r="G320" t="str">
            <v>E</v>
          </cell>
          <cell r="H320">
            <v>85316.9812943453</v>
          </cell>
          <cell r="I320" t="str">
            <v>Rupiah</v>
          </cell>
        </row>
        <row r="321">
          <cell r="E321" t="str">
            <v>W'</v>
          </cell>
        </row>
        <row r="323">
          <cell r="C323" t="str">
            <v>b.  Asuransi, dll =</v>
          </cell>
          <cell r="D323">
            <v>2E-3</v>
          </cell>
          <cell r="E323" t="str">
            <v xml:space="preserve">  x   B'</v>
          </cell>
          <cell r="G323" t="str">
            <v>F</v>
          </cell>
          <cell r="H323">
            <v>567</v>
          </cell>
          <cell r="I323" t="str">
            <v>Rupiah</v>
          </cell>
        </row>
        <row r="324">
          <cell r="E324" t="str">
            <v>W'</v>
          </cell>
        </row>
        <row r="326">
          <cell r="C326" t="str">
            <v>Biaya Pasti per Jam             =</v>
          </cell>
          <cell r="E326" t="str">
            <v>( E + F )</v>
          </cell>
          <cell r="G326" t="str">
            <v>G</v>
          </cell>
          <cell r="H326">
            <v>85883.9812943453</v>
          </cell>
          <cell r="I326" t="str">
            <v>Rupiah</v>
          </cell>
        </row>
        <row r="328">
          <cell r="A328" t="str">
            <v>C.</v>
          </cell>
          <cell r="C328" t="str">
            <v>BIAYA OPERASI PER JAM KERJA</v>
          </cell>
        </row>
        <row r="330">
          <cell r="A330" t="str">
            <v xml:space="preserve">       1.</v>
          </cell>
          <cell r="C330" t="str">
            <v xml:space="preserve">Bahan Bakar  =  (0.125-0.175 Ltr/HP/Jam)   x Pw x Ms </v>
          </cell>
          <cell r="G330" t="str">
            <v>H</v>
          </cell>
          <cell r="H330">
            <v>24750</v>
          </cell>
          <cell r="I330" t="str">
            <v>Rupiah</v>
          </cell>
        </row>
        <row r="332">
          <cell r="A332" t="str">
            <v xml:space="preserve">       2.</v>
          </cell>
          <cell r="C332" t="str">
            <v>Pelumas         =  (0.01-0.02 Ltr/HP/Jam) x Pw x Mp</v>
          </cell>
          <cell r="G332" t="str">
            <v>I</v>
          </cell>
          <cell r="H332">
            <v>27000</v>
          </cell>
          <cell r="I332" t="str">
            <v>Rupiah</v>
          </cell>
        </row>
        <row r="334">
          <cell r="A334" t="str">
            <v xml:space="preserve">       3.</v>
          </cell>
          <cell r="C334" t="str">
            <v>Perawatan dan</v>
          </cell>
          <cell r="D334" t="str">
            <v>(12,5 % - 17,5 %)  x  B'</v>
          </cell>
          <cell r="G334" t="str">
            <v>K</v>
          </cell>
          <cell r="H334">
            <v>35437.5</v>
          </cell>
          <cell r="I334" t="str">
            <v>Rupiah</v>
          </cell>
        </row>
        <row r="335">
          <cell r="C335" t="str">
            <v xml:space="preserve">        perbaikan    =</v>
          </cell>
          <cell r="D335" t="str">
            <v>W'</v>
          </cell>
        </row>
        <row r="337">
          <cell r="A337" t="str">
            <v xml:space="preserve">       4.</v>
          </cell>
          <cell r="C337" t="str">
            <v>Operator</v>
          </cell>
          <cell r="D337" t="str">
            <v>=   ( 1  Orang / Jam )  x  U1</v>
          </cell>
          <cell r="G337" t="str">
            <v>L</v>
          </cell>
          <cell r="H337">
            <v>10714.285714285714</v>
          </cell>
          <cell r="I337" t="str">
            <v>Rupiah</v>
          </cell>
        </row>
        <row r="338">
          <cell r="A338" t="str">
            <v xml:space="preserve">       5.</v>
          </cell>
          <cell r="C338" t="str">
            <v>Pembantu Operator</v>
          </cell>
          <cell r="D338" t="str">
            <v>=   ( 1  Orang / Jam )  x  U2</v>
          </cell>
          <cell r="G338" t="str">
            <v>M</v>
          </cell>
          <cell r="H338">
            <v>4000</v>
          </cell>
          <cell r="I338" t="str">
            <v>Rupiah</v>
          </cell>
        </row>
        <row r="340">
          <cell r="C340" t="str">
            <v>Biaya Operasi per Jam        =</v>
          </cell>
          <cell r="E340" t="str">
            <v>(H+I+K+L+M)</v>
          </cell>
          <cell r="G340" t="str">
            <v>P</v>
          </cell>
          <cell r="H340">
            <v>101901.78571428571</v>
          </cell>
          <cell r="I340" t="str">
            <v>Rupiah</v>
          </cell>
        </row>
        <row r="342">
          <cell r="A342" t="str">
            <v>D.</v>
          </cell>
          <cell r="C342" t="str">
            <v>TOTAL BIAYA SEWA ALAT / JAM   =   ( G + P )</v>
          </cell>
          <cell r="G342" t="str">
            <v>S</v>
          </cell>
          <cell r="H342">
            <v>187785.76700863102</v>
          </cell>
          <cell r="I342" t="str">
            <v>Rupiah</v>
          </cell>
        </row>
        <row r="345">
          <cell r="A345" t="str">
            <v>E.</v>
          </cell>
          <cell r="C345" t="str">
            <v>LAIN - LAIN</v>
          </cell>
        </row>
        <row r="346">
          <cell r="A346" t="str">
            <v xml:space="preserve">       1.</v>
          </cell>
          <cell r="C346" t="str">
            <v>Tingkat Suku Bunga</v>
          </cell>
          <cell r="G346" t="str">
            <v>i</v>
          </cell>
          <cell r="H346">
            <v>20</v>
          </cell>
          <cell r="I346" t="str">
            <v>% / Tahun</v>
          </cell>
        </row>
        <row r="347">
          <cell r="A347" t="str">
            <v xml:space="preserve">       2.</v>
          </cell>
          <cell r="C347" t="str">
            <v>Upah Operator / Sopir</v>
          </cell>
          <cell r="G347" t="str">
            <v>U1</v>
          </cell>
          <cell r="H347">
            <v>10714.285714285714</v>
          </cell>
          <cell r="I347" t="str">
            <v>Rp./Jam</v>
          </cell>
        </row>
        <row r="348">
          <cell r="A348" t="str">
            <v xml:space="preserve">       3.</v>
          </cell>
          <cell r="C348" t="str">
            <v>Upah Pembantu Operator / Pmb.Sopir</v>
          </cell>
          <cell r="G348" t="str">
            <v>U2</v>
          </cell>
          <cell r="H348">
            <v>4000</v>
          </cell>
          <cell r="I348" t="str">
            <v>Rp./Jam</v>
          </cell>
        </row>
        <row r="349">
          <cell r="A349" t="str">
            <v xml:space="preserve">       4.</v>
          </cell>
          <cell r="C349" t="str">
            <v>Bahan Bakar Bensin</v>
          </cell>
          <cell r="G349" t="str">
            <v>Mb</v>
          </cell>
          <cell r="H349">
            <v>4500</v>
          </cell>
          <cell r="I349" t="str">
            <v>Liter</v>
          </cell>
        </row>
        <row r="350">
          <cell r="A350" t="str">
            <v xml:space="preserve">       5.</v>
          </cell>
          <cell r="C350" t="str">
            <v>Bahan Bakar Solar</v>
          </cell>
          <cell r="G350" t="str">
            <v>Ms</v>
          </cell>
          <cell r="H350">
            <v>4400</v>
          </cell>
          <cell r="I350" t="str">
            <v>Liter</v>
          </cell>
        </row>
        <row r="351">
          <cell r="A351" t="str">
            <v xml:space="preserve">       6.</v>
          </cell>
          <cell r="C351" t="str">
            <v>Minyak Pelumas</v>
          </cell>
          <cell r="G351" t="str">
            <v>Mp</v>
          </cell>
          <cell r="H351">
            <v>30000</v>
          </cell>
          <cell r="I351" t="str">
            <v>Liter</v>
          </cell>
        </row>
        <row r="352">
          <cell r="A352" t="str">
            <v xml:space="preserve">       7.</v>
          </cell>
          <cell r="C352" t="str">
            <v>PPN diperhitungkan pada lembar Rekapitulasi</v>
          </cell>
        </row>
        <row r="353">
          <cell r="C353" t="str">
            <v>Biaya Pekerjaan</v>
          </cell>
        </row>
        <row r="356">
          <cell r="A356" t="str">
            <v>URAIAN ANALISA ALAT</v>
          </cell>
        </row>
        <row r="359">
          <cell r="A359" t="str">
            <v>No.</v>
          </cell>
          <cell r="C359" t="str">
            <v>U R A I A N</v>
          </cell>
          <cell r="G359" t="str">
            <v>KODE</v>
          </cell>
          <cell r="H359" t="str">
            <v>KOEF.</v>
          </cell>
          <cell r="I359" t="str">
            <v>SATUAN</v>
          </cell>
          <cell r="J359" t="str">
            <v>KET.</v>
          </cell>
        </row>
        <row r="362">
          <cell r="A362" t="str">
            <v>A.</v>
          </cell>
          <cell r="C362" t="str">
            <v>URAIAN PERALATAN</v>
          </cell>
        </row>
        <row r="363">
          <cell r="A363" t="str">
            <v xml:space="preserve">       1.</v>
          </cell>
          <cell r="C363" t="str">
            <v>Jenis Peralatan</v>
          </cell>
          <cell r="G363" t="str">
            <v>WHEEL LOADER 1.0-1.6 M3</v>
          </cell>
          <cell r="J363" t="str">
            <v>E15</v>
          </cell>
        </row>
        <row r="364">
          <cell r="A364" t="str">
            <v xml:space="preserve">       2.</v>
          </cell>
          <cell r="C364" t="str">
            <v>Tenaga</v>
          </cell>
          <cell r="G364" t="str">
            <v>Pw</v>
          </cell>
          <cell r="H364">
            <v>105</v>
          </cell>
          <cell r="I364" t="str">
            <v>HP</v>
          </cell>
        </row>
        <row r="365">
          <cell r="A365" t="str">
            <v xml:space="preserve">       3.</v>
          </cell>
          <cell r="C365" t="str">
            <v>Kapasitas</v>
          </cell>
          <cell r="G365" t="str">
            <v>Cp</v>
          </cell>
          <cell r="H365">
            <v>1.5</v>
          </cell>
          <cell r="I365" t="str">
            <v>M3</v>
          </cell>
        </row>
        <row r="366">
          <cell r="A366" t="str">
            <v xml:space="preserve">       4.</v>
          </cell>
          <cell r="C366" t="str">
            <v>Alat Baru                :</v>
          </cell>
          <cell r="D366" t="str">
            <v xml:space="preserve">  a.  Umur Ekonomis</v>
          </cell>
          <cell r="G366" t="str">
            <v>A</v>
          </cell>
          <cell r="H366">
            <v>5</v>
          </cell>
          <cell r="I366" t="str">
            <v>Tahun</v>
          </cell>
        </row>
        <row r="367">
          <cell r="D367" t="str">
            <v xml:space="preserve">  b.  Jam Kerja Dalam 1 Tahun</v>
          </cell>
          <cell r="G367" t="str">
            <v>W</v>
          </cell>
          <cell r="H367">
            <v>2000</v>
          </cell>
          <cell r="I367" t="str">
            <v>Jam</v>
          </cell>
        </row>
        <row r="368">
          <cell r="D368" t="str">
            <v xml:space="preserve">  c.  Harga Alat</v>
          </cell>
          <cell r="G368" t="str">
            <v>B</v>
          </cell>
          <cell r="H368">
            <v>650000000</v>
          </cell>
          <cell r="I368" t="str">
            <v>Rupiah</v>
          </cell>
        </row>
        <row r="369">
          <cell r="A369" t="str">
            <v xml:space="preserve">       5.</v>
          </cell>
          <cell r="C369" t="str">
            <v>Alat Yang Dipakai  :</v>
          </cell>
          <cell r="D369" t="str">
            <v xml:space="preserve">  a.  Umur Ekonomis</v>
          </cell>
          <cell r="G369" t="str">
            <v>A'</v>
          </cell>
          <cell r="H369">
            <v>5</v>
          </cell>
          <cell r="I369" t="str">
            <v>Tahun</v>
          </cell>
          <cell r="J369" t="str">
            <v xml:space="preserve"> Alat Baru</v>
          </cell>
        </row>
        <row r="370">
          <cell r="D370" t="str">
            <v xml:space="preserve">  b.  Jam Kerja Dalam 1 Tahun </v>
          </cell>
          <cell r="G370" t="str">
            <v>W'</v>
          </cell>
          <cell r="H370">
            <v>2000</v>
          </cell>
          <cell r="I370" t="str">
            <v>Jam</v>
          </cell>
          <cell r="J370" t="str">
            <v xml:space="preserve"> Alat Baru</v>
          </cell>
        </row>
        <row r="371">
          <cell r="D371" t="str">
            <v xml:space="preserve">  c.  Harga Alat   (*)</v>
          </cell>
          <cell r="G371" t="str">
            <v>B'</v>
          </cell>
          <cell r="H371">
            <v>650000000</v>
          </cell>
          <cell r="I371" t="str">
            <v>Rupiah</v>
          </cell>
          <cell r="J371" t="str">
            <v xml:space="preserve"> Alat Baru</v>
          </cell>
        </row>
        <row r="373">
          <cell r="A373" t="str">
            <v>B.</v>
          </cell>
          <cell r="C373" t="str">
            <v>BIAYA PASTI PER JAM KERJA</v>
          </cell>
        </row>
        <row r="374">
          <cell r="A374" t="str">
            <v xml:space="preserve">       1.</v>
          </cell>
          <cell r="C374" t="str">
            <v>Nilai Sisa Alat</v>
          </cell>
          <cell r="D374" t="str">
            <v>=  10 % x B</v>
          </cell>
          <cell r="G374" t="str">
            <v>C</v>
          </cell>
          <cell r="H374">
            <v>65000000</v>
          </cell>
          <cell r="I374" t="str">
            <v>Rupiah</v>
          </cell>
        </row>
        <row r="376">
          <cell r="A376" t="str">
            <v xml:space="preserve">       2.</v>
          </cell>
          <cell r="C376" t="str">
            <v>Faktor Angsuran Modal    =</v>
          </cell>
          <cell r="E376" t="str">
            <v>i x (1 + i)^A'</v>
          </cell>
          <cell r="G376" t="str">
            <v>D</v>
          </cell>
          <cell r="H376">
            <v>0.33437970328961514</v>
          </cell>
          <cell r="I376" t="str">
            <v>-</v>
          </cell>
        </row>
        <row r="377">
          <cell r="E377" t="str">
            <v>(1 + i)^A' - 1</v>
          </cell>
        </row>
        <row r="378">
          <cell r="A378" t="str">
            <v xml:space="preserve">       3.</v>
          </cell>
          <cell r="C378" t="str">
            <v>Biaya Pasti per Jam  :</v>
          </cell>
        </row>
        <row r="379">
          <cell r="C379" t="str">
            <v>a.  Biaya Pengembalian Modal  =</v>
          </cell>
          <cell r="E379" t="str">
            <v>( B' - C ) x D</v>
          </cell>
          <cell r="G379" t="str">
            <v>E</v>
          </cell>
          <cell r="H379">
            <v>97806.063212212423</v>
          </cell>
          <cell r="I379" t="str">
            <v>Rupiah</v>
          </cell>
        </row>
        <row r="380">
          <cell r="E380" t="str">
            <v>W'</v>
          </cell>
        </row>
        <row r="382">
          <cell r="C382" t="str">
            <v>b.  Asuransi, dll =</v>
          </cell>
          <cell r="D382">
            <v>2E-3</v>
          </cell>
          <cell r="E382" t="str">
            <v xml:space="preserve">  x   B'</v>
          </cell>
          <cell r="G382" t="str">
            <v>F</v>
          </cell>
          <cell r="H382">
            <v>650</v>
          </cell>
          <cell r="I382" t="str">
            <v>Rupiah</v>
          </cell>
        </row>
        <row r="383">
          <cell r="E383" t="str">
            <v>W'</v>
          </cell>
        </row>
        <row r="385">
          <cell r="C385" t="str">
            <v>Biaya Pasti per Jam             =</v>
          </cell>
          <cell r="E385" t="str">
            <v>( E + F )</v>
          </cell>
          <cell r="G385" t="str">
            <v>G</v>
          </cell>
          <cell r="H385">
            <v>98456.063212212423</v>
          </cell>
          <cell r="I385" t="str">
            <v>Rupiah</v>
          </cell>
        </row>
        <row r="387">
          <cell r="A387" t="str">
            <v>C.</v>
          </cell>
          <cell r="C387" t="str">
            <v>BIAYA OPERASI PER JAM KERJA</v>
          </cell>
        </row>
        <row r="389">
          <cell r="A389" t="str">
            <v xml:space="preserve">       1.</v>
          </cell>
          <cell r="C389" t="str">
            <v xml:space="preserve">Bahan Bakar  =  (0.125-0.175 Ltr/HP/Jam)   x Pw x Ms </v>
          </cell>
          <cell r="G389" t="str">
            <v>H</v>
          </cell>
          <cell r="H389">
            <v>54468.75</v>
          </cell>
          <cell r="I389" t="str">
            <v>Rupiah</v>
          </cell>
        </row>
        <row r="391">
          <cell r="A391" t="str">
            <v xml:space="preserve">       2.</v>
          </cell>
          <cell r="C391" t="str">
            <v>Pelumas         =  (0.01-0.02 Ltr/HP/Jam) x Pw x Mp</v>
          </cell>
          <cell r="G391" t="str">
            <v>I</v>
          </cell>
          <cell r="H391">
            <v>31500</v>
          </cell>
          <cell r="I391" t="str">
            <v>Rupiah</v>
          </cell>
        </row>
        <row r="393">
          <cell r="A393" t="str">
            <v xml:space="preserve">       3.</v>
          </cell>
          <cell r="C393" t="str">
            <v>Perawatan dan</v>
          </cell>
          <cell r="D393" t="str">
            <v>(12,5 % - 17,5 %)  x  B'</v>
          </cell>
          <cell r="G393" t="str">
            <v>K</v>
          </cell>
          <cell r="H393">
            <v>40625</v>
          </cell>
          <cell r="I393" t="str">
            <v>Rupiah</v>
          </cell>
        </row>
        <row r="394">
          <cell r="C394" t="str">
            <v xml:space="preserve">        perbaikan    =</v>
          </cell>
          <cell r="D394" t="str">
            <v>W'</v>
          </cell>
        </row>
        <row r="396">
          <cell r="A396" t="str">
            <v xml:space="preserve">       4.</v>
          </cell>
          <cell r="C396" t="str">
            <v>Operator</v>
          </cell>
          <cell r="D396" t="str">
            <v>=   ( 1  Orang / Jam )  x  U1</v>
          </cell>
          <cell r="G396" t="str">
            <v>L</v>
          </cell>
          <cell r="H396">
            <v>10714.285714285714</v>
          </cell>
          <cell r="I396" t="str">
            <v>Rupiah</v>
          </cell>
        </row>
        <row r="397">
          <cell r="A397" t="str">
            <v xml:space="preserve">       5.</v>
          </cell>
          <cell r="C397" t="str">
            <v>Pembantu Operator</v>
          </cell>
          <cell r="D397" t="str">
            <v>=   ( 1  Orang / Jam )  x  U2</v>
          </cell>
          <cell r="G397" t="str">
            <v>M</v>
          </cell>
          <cell r="H397">
            <v>4000</v>
          </cell>
          <cell r="I397" t="str">
            <v>Rupiah</v>
          </cell>
        </row>
        <row r="399">
          <cell r="C399" t="str">
            <v>Biaya Operasi per Jam        =</v>
          </cell>
          <cell r="E399" t="str">
            <v>(H+I+K+L+M)</v>
          </cell>
          <cell r="G399" t="str">
            <v>P</v>
          </cell>
          <cell r="H399">
            <v>141308.03571428571</v>
          </cell>
          <cell r="I399" t="str">
            <v>Rupiah</v>
          </cell>
        </row>
        <row r="401">
          <cell r="A401" t="str">
            <v>D.</v>
          </cell>
          <cell r="C401" t="str">
            <v>TOTAL BIAYA SEWA ALAT / JAM   =   ( G + P )</v>
          </cell>
          <cell r="G401" t="str">
            <v>S</v>
          </cell>
          <cell r="H401">
            <v>239764.09892649815</v>
          </cell>
          <cell r="I401" t="str">
            <v>Rupiah</v>
          </cell>
        </row>
        <row r="404">
          <cell r="A404" t="str">
            <v>E.</v>
          </cell>
          <cell r="C404" t="str">
            <v>LAIN - LAIN</v>
          </cell>
        </row>
        <row r="405">
          <cell r="A405" t="str">
            <v xml:space="preserve">       1.</v>
          </cell>
          <cell r="C405" t="str">
            <v>Tingkat Suku Bunga</v>
          </cell>
          <cell r="G405" t="str">
            <v>i</v>
          </cell>
          <cell r="H405">
            <v>20</v>
          </cell>
          <cell r="I405" t="str">
            <v>% / Tahun</v>
          </cell>
        </row>
        <row r="406">
          <cell r="A406" t="str">
            <v xml:space="preserve">       2.</v>
          </cell>
          <cell r="C406" t="str">
            <v>Upah Operator / Sopir</v>
          </cell>
          <cell r="G406" t="str">
            <v>U1</v>
          </cell>
          <cell r="H406">
            <v>10714.285714285714</v>
          </cell>
          <cell r="I406" t="str">
            <v>Rp./Jam</v>
          </cell>
        </row>
        <row r="407">
          <cell r="A407" t="str">
            <v xml:space="preserve">       3.</v>
          </cell>
          <cell r="C407" t="str">
            <v>Upah Pembantu Operator / Pmb.Sopir</v>
          </cell>
          <cell r="G407" t="str">
            <v>U2</v>
          </cell>
          <cell r="H407">
            <v>4000</v>
          </cell>
          <cell r="I407" t="str">
            <v>Rp./Jam</v>
          </cell>
        </row>
        <row r="408">
          <cell r="A408" t="str">
            <v xml:space="preserve">       4.</v>
          </cell>
          <cell r="C408" t="str">
            <v>Bahan Bakar Bensin</v>
          </cell>
          <cell r="G408" t="str">
            <v>Mb</v>
          </cell>
          <cell r="H408">
            <v>4500</v>
          </cell>
          <cell r="I408" t="str">
            <v>Liter</v>
          </cell>
        </row>
        <row r="409">
          <cell r="A409" t="str">
            <v xml:space="preserve">       5.</v>
          </cell>
          <cell r="C409" t="str">
            <v>Bahan Bakar Solar</v>
          </cell>
          <cell r="G409" t="str">
            <v>Ms</v>
          </cell>
          <cell r="H409">
            <v>4400</v>
          </cell>
          <cell r="I409" t="str">
            <v>Liter</v>
          </cell>
        </row>
        <row r="410">
          <cell r="A410" t="str">
            <v xml:space="preserve">       6.</v>
          </cell>
          <cell r="C410" t="str">
            <v>Minyak Pelumas</v>
          </cell>
          <cell r="G410" t="str">
            <v>Mp</v>
          </cell>
          <cell r="H410">
            <v>30000</v>
          </cell>
          <cell r="I410" t="str">
            <v>Liter</v>
          </cell>
        </row>
        <row r="411">
          <cell r="A411" t="str">
            <v xml:space="preserve">       7.</v>
          </cell>
          <cell r="C411" t="str">
            <v>PPN diperhitungkan pada lembar Rekapitulasi</v>
          </cell>
        </row>
        <row r="412">
          <cell r="C412" t="str">
            <v>Biaya Pekerjaan</v>
          </cell>
        </row>
        <row r="415">
          <cell r="A415" t="str">
            <v>URAIAN ANALISA ALAT</v>
          </cell>
        </row>
        <row r="418">
          <cell r="A418" t="str">
            <v>No.</v>
          </cell>
          <cell r="C418" t="str">
            <v>U R A I A N</v>
          </cell>
          <cell r="G418" t="str">
            <v>KODE</v>
          </cell>
          <cell r="H418" t="str">
            <v>KOEF.</v>
          </cell>
          <cell r="I418" t="str">
            <v>SATUAN</v>
          </cell>
          <cell r="J418" t="str">
            <v>KET.</v>
          </cell>
        </row>
        <row r="421">
          <cell r="A421" t="str">
            <v>A.</v>
          </cell>
          <cell r="C421" t="str">
            <v>URAIAN PERALATAN</v>
          </cell>
        </row>
        <row r="422">
          <cell r="A422" t="str">
            <v xml:space="preserve">       1.</v>
          </cell>
          <cell r="C422" t="str">
            <v>Jenis Peralatan</v>
          </cell>
          <cell r="G422" t="str">
            <v>VIBRATORY ROLLER 5-8 T.</v>
          </cell>
          <cell r="J422" t="str">
            <v>E19</v>
          </cell>
        </row>
        <row r="423">
          <cell r="A423" t="str">
            <v xml:space="preserve">       2.</v>
          </cell>
          <cell r="C423" t="str">
            <v>Tenaga</v>
          </cell>
          <cell r="G423" t="str">
            <v>Pw</v>
          </cell>
          <cell r="H423">
            <v>75</v>
          </cell>
          <cell r="I423" t="str">
            <v>HP</v>
          </cell>
        </row>
        <row r="424">
          <cell r="A424" t="str">
            <v xml:space="preserve">       3.</v>
          </cell>
          <cell r="C424" t="str">
            <v>Kapasitas</v>
          </cell>
          <cell r="G424" t="str">
            <v>Cp</v>
          </cell>
          <cell r="H424">
            <v>7</v>
          </cell>
          <cell r="I424" t="str">
            <v>Ton</v>
          </cell>
        </row>
        <row r="425">
          <cell r="A425" t="str">
            <v xml:space="preserve">       4.</v>
          </cell>
          <cell r="C425" t="str">
            <v>Alat Baru                :</v>
          </cell>
          <cell r="D425" t="str">
            <v xml:space="preserve">  a.  Umur Ekonomis</v>
          </cell>
          <cell r="G425" t="str">
            <v>A</v>
          </cell>
          <cell r="H425">
            <v>4</v>
          </cell>
          <cell r="I425" t="str">
            <v>Tahun</v>
          </cell>
        </row>
        <row r="426">
          <cell r="D426" t="str">
            <v xml:space="preserve">  b.  Jam Kerja Dalam 1 Tahun</v>
          </cell>
          <cell r="G426" t="str">
            <v>W</v>
          </cell>
          <cell r="H426">
            <v>2000</v>
          </cell>
          <cell r="I426" t="str">
            <v>Jam</v>
          </cell>
        </row>
        <row r="427">
          <cell r="D427" t="str">
            <v xml:space="preserve">  c.  Harga Alat</v>
          </cell>
          <cell r="G427" t="str">
            <v>B</v>
          </cell>
          <cell r="H427">
            <v>392000000</v>
          </cell>
          <cell r="I427" t="str">
            <v>Rupiah</v>
          </cell>
        </row>
        <row r="428">
          <cell r="A428" t="str">
            <v xml:space="preserve">       5.</v>
          </cell>
          <cell r="C428" t="str">
            <v>Alat Yang Dipakai  :</v>
          </cell>
          <cell r="D428" t="str">
            <v xml:space="preserve">  a.  Umur Ekonomis</v>
          </cell>
          <cell r="G428" t="str">
            <v>A'</v>
          </cell>
          <cell r="H428">
            <v>4</v>
          </cell>
          <cell r="I428" t="str">
            <v>Tahun</v>
          </cell>
          <cell r="J428" t="str">
            <v xml:space="preserve"> Alat Baru</v>
          </cell>
        </row>
        <row r="429">
          <cell r="D429" t="str">
            <v xml:space="preserve">  b.  Jam Kerja Dalam 1 Tahun </v>
          </cell>
          <cell r="G429" t="str">
            <v>W'</v>
          </cell>
          <cell r="H429">
            <v>2000</v>
          </cell>
          <cell r="I429" t="str">
            <v>Jam</v>
          </cell>
          <cell r="J429" t="str">
            <v xml:space="preserve"> Alat Baru</v>
          </cell>
        </row>
        <row r="430">
          <cell r="D430" t="str">
            <v xml:space="preserve">  c.  Harga Alat   (*)</v>
          </cell>
          <cell r="G430" t="str">
            <v>B'</v>
          </cell>
          <cell r="H430">
            <v>392000000</v>
          </cell>
          <cell r="I430" t="str">
            <v>Rupiah</v>
          </cell>
          <cell r="J430" t="str">
            <v xml:space="preserve"> Alat Baru</v>
          </cell>
        </row>
        <row r="432">
          <cell r="A432" t="str">
            <v>B.</v>
          </cell>
          <cell r="C432" t="str">
            <v>BIAYA PASTI PER JAM KERJA</v>
          </cell>
          <cell r="H432" t="str">
            <v>RFH</v>
          </cell>
        </row>
        <row r="433">
          <cell r="A433" t="str">
            <v xml:space="preserve">       1.</v>
          </cell>
          <cell r="C433" t="str">
            <v>Nilai Sisa Alat</v>
          </cell>
          <cell r="D433" t="str">
            <v>=  10 % x B</v>
          </cell>
          <cell r="G433" t="str">
            <v>C</v>
          </cell>
          <cell r="H433">
            <v>39200000</v>
          </cell>
          <cell r="I433" t="str">
            <v>Rupiah</v>
          </cell>
        </row>
        <row r="435">
          <cell r="A435" t="str">
            <v xml:space="preserve">       2.</v>
          </cell>
          <cell r="C435" t="str">
            <v>Faktor Angsuran Modal    =</v>
          </cell>
          <cell r="E435" t="str">
            <v>i x (1 + i)^A'</v>
          </cell>
          <cell r="G435" t="str">
            <v>D</v>
          </cell>
          <cell r="H435">
            <v>0.38628912071535026</v>
          </cell>
          <cell r="I435" t="str">
            <v>-</v>
          </cell>
        </row>
        <row r="436">
          <cell r="E436" t="str">
            <v>(1 + i)^A' - 1</v>
          </cell>
        </row>
        <row r="437">
          <cell r="A437" t="str">
            <v xml:space="preserve">       3.</v>
          </cell>
          <cell r="C437" t="str">
            <v>Biaya Pasti per Jam  :</v>
          </cell>
        </row>
        <row r="438">
          <cell r="C438" t="str">
            <v>a.  Biaya Pengembalian Modal  =</v>
          </cell>
          <cell r="E438" t="str">
            <v>( B' - C ) x D</v>
          </cell>
          <cell r="G438" t="str">
            <v>E</v>
          </cell>
          <cell r="H438">
            <v>68141.400894187798</v>
          </cell>
          <cell r="I438" t="str">
            <v>Rupiah</v>
          </cell>
        </row>
        <row r="439">
          <cell r="E439" t="str">
            <v>W'</v>
          </cell>
        </row>
        <row r="441">
          <cell r="C441" t="str">
            <v>b.  Asuransi, dll =</v>
          </cell>
          <cell r="D441">
            <v>2E-3</v>
          </cell>
          <cell r="E441" t="str">
            <v xml:space="preserve">  x   B'</v>
          </cell>
          <cell r="G441" t="str">
            <v>F</v>
          </cell>
          <cell r="H441">
            <v>392</v>
          </cell>
          <cell r="I441" t="str">
            <v>Rupiah</v>
          </cell>
        </row>
        <row r="442">
          <cell r="E442" t="str">
            <v>W'</v>
          </cell>
        </row>
        <row r="444">
          <cell r="C444" t="str">
            <v>Biaya Pasti per Jam             =</v>
          </cell>
          <cell r="E444" t="str">
            <v>( E + F )</v>
          </cell>
          <cell r="G444" t="str">
            <v>G</v>
          </cell>
          <cell r="H444">
            <v>68533.400894187798</v>
          </cell>
          <cell r="I444" t="str">
            <v>Rupiah</v>
          </cell>
        </row>
        <row r="446">
          <cell r="A446" t="str">
            <v>C.</v>
          </cell>
          <cell r="C446" t="str">
            <v>BIAYA OPERASI PER JAM KERJA</v>
          </cell>
        </row>
        <row r="448">
          <cell r="A448" t="str">
            <v xml:space="preserve">       1.</v>
          </cell>
          <cell r="C448" t="str">
            <v xml:space="preserve">Bahan Bakar  =  (0.125-0.175 Ltr/HP/Jam)   x Pw x Ms </v>
          </cell>
          <cell r="G448" t="str">
            <v>H</v>
          </cell>
          <cell r="H448">
            <v>38906.25</v>
          </cell>
          <cell r="I448" t="str">
            <v>Rupiah</v>
          </cell>
        </row>
        <row r="450">
          <cell r="A450" t="str">
            <v xml:space="preserve">       2.</v>
          </cell>
          <cell r="C450" t="str">
            <v>Pelumas         =  (0.01-0.02 Ltr/HP/Jam) x Pw x Mp</v>
          </cell>
          <cell r="G450" t="str">
            <v>I</v>
          </cell>
          <cell r="H450">
            <v>22500</v>
          </cell>
          <cell r="I450" t="str">
            <v>Rupiah</v>
          </cell>
        </row>
        <row r="452">
          <cell r="A452" t="str">
            <v xml:space="preserve">       3.</v>
          </cell>
          <cell r="C452" t="str">
            <v>Perawatan dan</v>
          </cell>
          <cell r="D452" t="str">
            <v>(12,5 % - 17,5 %)  x  B'</v>
          </cell>
          <cell r="G452" t="str">
            <v>K</v>
          </cell>
          <cell r="H452">
            <v>24500</v>
          </cell>
          <cell r="I452" t="str">
            <v>Rupiah</v>
          </cell>
        </row>
        <row r="453">
          <cell r="C453" t="str">
            <v xml:space="preserve">        perbaikan    =</v>
          </cell>
          <cell r="D453" t="str">
            <v>W'</v>
          </cell>
        </row>
        <row r="455">
          <cell r="A455" t="str">
            <v xml:space="preserve">       4.</v>
          </cell>
          <cell r="C455" t="str">
            <v>Operator</v>
          </cell>
          <cell r="D455" t="str">
            <v>=   ( 1  Orang / Jam )  x  U1</v>
          </cell>
          <cell r="G455" t="str">
            <v>L</v>
          </cell>
          <cell r="H455">
            <v>10714.285714285714</v>
          </cell>
          <cell r="I455" t="str">
            <v>Rupiah</v>
          </cell>
        </row>
        <row r="456">
          <cell r="A456" t="str">
            <v xml:space="preserve">       5.</v>
          </cell>
          <cell r="C456" t="str">
            <v>Pembantu Operator</v>
          </cell>
          <cell r="D456" t="str">
            <v>=   ( 1  Orang / Jam )  x  U2</v>
          </cell>
          <cell r="G456" t="str">
            <v>M</v>
          </cell>
          <cell r="H456">
            <v>4000</v>
          </cell>
          <cell r="I456" t="str">
            <v>Rupiah</v>
          </cell>
        </row>
        <row r="458">
          <cell r="C458" t="str">
            <v>Biaya Operasi per Jam        =</v>
          </cell>
          <cell r="E458" t="str">
            <v>(H+I+K+L+M)</v>
          </cell>
          <cell r="G458" t="str">
            <v>P</v>
          </cell>
          <cell r="H458">
            <v>100620.53571428571</v>
          </cell>
          <cell r="I458" t="str">
            <v>Rupiah</v>
          </cell>
        </row>
        <row r="460">
          <cell r="A460" t="str">
            <v>D.</v>
          </cell>
          <cell r="C460" t="str">
            <v>TOTAL BIAYA SEWA ALAT / JAM   =   ( G + P )</v>
          </cell>
          <cell r="G460" t="str">
            <v>S</v>
          </cell>
          <cell r="H460">
            <v>169153.93660847351</v>
          </cell>
          <cell r="I460" t="str">
            <v>Rupiah</v>
          </cell>
        </row>
        <row r="463">
          <cell r="A463" t="str">
            <v>E.</v>
          </cell>
          <cell r="C463" t="str">
            <v>LAIN - LAIN</v>
          </cell>
        </row>
        <row r="464">
          <cell r="A464" t="str">
            <v xml:space="preserve">       1.</v>
          </cell>
          <cell r="C464" t="str">
            <v>Tingkat Suku Bunga</v>
          </cell>
          <cell r="G464" t="str">
            <v>i</v>
          </cell>
          <cell r="H464">
            <v>20</v>
          </cell>
          <cell r="I464" t="str">
            <v>% / Tahun</v>
          </cell>
        </row>
        <row r="465">
          <cell r="A465" t="str">
            <v xml:space="preserve">       2.</v>
          </cell>
          <cell r="C465" t="str">
            <v>Upah Operator / Sopir</v>
          </cell>
          <cell r="G465" t="str">
            <v>U1</v>
          </cell>
          <cell r="H465">
            <v>10714.285714285714</v>
          </cell>
          <cell r="I465" t="str">
            <v>Rp./Jam</v>
          </cell>
        </row>
        <row r="466">
          <cell r="A466" t="str">
            <v xml:space="preserve">       3.</v>
          </cell>
          <cell r="C466" t="str">
            <v>Upah Pembantu Operator / Pmb.Sopir</v>
          </cell>
          <cell r="G466" t="str">
            <v>U2</v>
          </cell>
          <cell r="H466">
            <v>4000</v>
          </cell>
          <cell r="I466" t="str">
            <v>Rp./Jam</v>
          </cell>
        </row>
        <row r="467">
          <cell r="A467" t="str">
            <v xml:space="preserve">       4.</v>
          </cell>
          <cell r="C467" t="str">
            <v>Bahan Bakar Bensin</v>
          </cell>
          <cell r="G467" t="str">
            <v>Mb</v>
          </cell>
          <cell r="H467">
            <v>4500</v>
          </cell>
          <cell r="I467" t="str">
            <v>Liter</v>
          </cell>
        </row>
        <row r="468">
          <cell r="A468" t="str">
            <v xml:space="preserve">       5.</v>
          </cell>
          <cell r="C468" t="str">
            <v>Bahan Bakar Solar</v>
          </cell>
          <cell r="G468" t="str">
            <v>Ms</v>
          </cell>
          <cell r="H468">
            <v>4400</v>
          </cell>
          <cell r="I468" t="str">
            <v>Liter</v>
          </cell>
        </row>
        <row r="469">
          <cell r="A469" t="str">
            <v xml:space="preserve">       6.</v>
          </cell>
          <cell r="C469" t="str">
            <v>Minyak Pelumas</v>
          </cell>
          <cell r="G469" t="str">
            <v>Mp</v>
          </cell>
          <cell r="H469">
            <v>30000</v>
          </cell>
          <cell r="I469" t="str">
            <v>Liter</v>
          </cell>
        </row>
        <row r="470">
          <cell r="A470" t="str">
            <v xml:space="preserve">       7.</v>
          </cell>
          <cell r="C470" t="str">
            <v>PPN diperhitungkan pada lembar Rekapitulasi</v>
          </cell>
        </row>
        <row r="471">
          <cell r="C471" t="str">
            <v>Biaya Pekerjaan</v>
          </cell>
        </row>
        <row r="534">
          <cell r="A534" t="str">
            <v>URAIAN ANALISA ALAT</v>
          </cell>
        </row>
        <row r="537">
          <cell r="A537" t="str">
            <v>No.</v>
          </cell>
          <cell r="C537" t="str">
            <v>U R A I A N</v>
          </cell>
          <cell r="G537" t="str">
            <v>KODE</v>
          </cell>
          <cell r="H537" t="str">
            <v>KOEF.</v>
          </cell>
          <cell r="I537" t="str">
            <v>SATUAN</v>
          </cell>
          <cell r="J537" t="str">
            <v>KET.</v>
          </cell>
        </row>
        <row r="540">
          <cell r="A540" t="str">
            <v>A.</v>
          </cell>
          <cell r="C540" t="str">
            <v>URAIAN PERALATAN</v>
          </cell>
        </row>
        <row r="541">
          <cell r="A541" t="str">
            <v xml:space="preserve">       1.</v>
          </cell>
          <cell r="C541" t="str">
            <v>Jenis Peralatan</v>
          </cell>
          <cell r="G541" t="str">
            <v>WATER PUMP 70-100 mm</v>
          </cell>
          <cell r="J541" t="str">
            <v>E22</v>
          </cell>
        </row>
        <row r="542">
          <cell r="A542" t="str">
            <v xml:space="preserve">       2.</v>
          </cell>
          <cell r="C542" t="str">
            <v>Tenaga</v>
          </cell>
          <cell r="G542" t="str">
            <v>Pw</v>
          </cell>
          <cell r="H542">
            <v>6</v>
          </cell>
          <cell r="I542" t="str">
            <v>HP</v>
          </cell>
        </row>
        <row r="543">
          <cell r="A543" t="str">
            <v xml:space="preserve">       3.</v>
          </cell>
          <cell r="C543" t="str">
            <v>Kapasitas</v>
          </cell>
          <cell r="G543" t="str">
            <v>Cp</v>
          </cell>
          <cell r="H543" t="str">
            <v xml:space="preserve">-  </v>
          </cell>
          <cell r="I543" t="str">
            <v>-</v>
          </cell>
        </row>
        <row r="544">
          <cell r="A544" t="str">
            <v xml:space="preserve">       4.</v>
          </cell>
          <cell r="C544" t="str">
            <v>Alat Baru                :</v>
          </cell>
          <cell r="D544" t="str">
            <v xml:space="preserve">  a.  Umur Ekonomis</v>
          </cell>
          <cell r="G544" t="str">
            <v>A</v>
          </cell>
          <cell r="H544">
            <v>2</v>
          </cell>
          <cell r="I544" t="str">
            <v>Tahun</v>
          </cell>
        </row>
        <row r="545">
          <cell r="D545" t="str">
            <v xml:space="preserve">  b.  Jam Kerja Dalam 1 Tahun</v>
          </cell>
          <cell r="G545" t="str">
            <v>W</v>
          </cell>
          <cell r="H545">
            <v>2000</v>
          </cell>
          <cell r="I545" t="str">
            <v>Jam</v>
          </cell>
        </row>
        <row r="546">
          <cell r="D546" t="str">
            <v xml:space="preserve">  c.  Harga Alat</v>
          </cell>
          <cell r="G546" t="str">
            <v>B</v>
          </cell>
          <cell r="H546">
            <v>18000000</v>
          </cell>
          <cell r="I546" t="str">
            <v>Rupiah</v>
          </cell>
        </row>
        <row r="547">
          <cell r="A547" t="str">
            <v xml:space="preserve">       5.</v>
          </cell>
          <cell r="C547" t="str">
            <v>Alat Yang Dipakai  :</v>
          </cell>
          <cell r="D547" t="str">
            <v xml:space="preserve">  a.  Umur Ekonomis</v>
          </cell>
          <cell r="G547" t="str">
            <v>A'</v>
          </cell>
          <cell r="H547">
            <v>2</v>
          </cell>
          <cell r="I547" t="str">
            <v>Tahun</v>
          </cell>
          <cell r="J547" t="str">
            <v xml:space="preserve"> Alat Baru</v>
          </cell>
        </row>
        <row r="548">
          <cell r="D548" t="str">
            <v xml:space="preserve">  b.  Jam Kerja Dalam 1 Tahun </v>
          </cell>
          <cell r="G548" t="str">
            <v>W'</v>
          </cell>
          <cell r="H548">
            <v>2000</v>
          </cell>
          <cell r="I548" t="str">
            <v>Jam</v>
          </cell>
          <cell r="J548" t="str">
            <v xml:space="preserve"> Alat Baru</v>
          </cell>
        </row>
        <row r="549">
          <cell r="D549" t="str">
            <v xml:space="preserve">  c.  Harga Alat   (*)</v>
          </cell>
          <cell r="G549" t="str">
            <v>B'</v>
          </cell>
          <cell r="H549">
            <v>18000000</v>
          </cell>
          <cell r="I549" t="str">
            <v>Rupiah</v>
          </cell>
          <cell r="J549" t="str">
            <v xml:space="preserve"> Alat Baru</v>
          </cell>
        </row>
        <row r="551">
          <cell r="A551" t="str">
            <v>B.</v>
          </cell>
          <cell r="C551" t="str">
            <v>BIAYA PASTI PER JAM KERJA</v>
          </cell>
        </row>
        <row r="552">
          <cell r="A552" t="str">
            <v xml:space="preserve">       1.</v>
          </cell>
          <cell r="C552" t="str">
            <v>Nilai Sisa Alat</v>
          </cell>
          <cell r="D552" t="str">
            <v>=  10 % x B</v>
          </cell>
          <cell r="G552" t="str">
            <v>C</v>
          </cell>
          <cell r="H552">
            <v>1800000</v>
          </cell>
          <cell r="I552" t="str">
            <v>Rupiah</v>
          </cell>
        </row>
        <row r="554">
          <cell r="A554" t="str">
            <v xml:space="preserve">       2.</v>
          </cell>
          <cell r="C554" t="str">
            <v>Faktor Angsuran Modal    =</v>
          </cell>
          <cell r="E554" t="str">
            <v>i x (1 + i)^A'</v>
          </cell>
          <cell r="G554" t="str">
            <v>D</v>
          </cell>
          <cell r="H554">
            <v>0.65454545454545454</v>
          </cell>
          <cell r="I554" t="str">
            <v>-</v>
          </cell>
        </row>
        <row r="555">
          <cell r="E555" t="str">
            <v>(1 + i)^A' - 1</v>
          </cell>
        </row>
        <row r="556">
          <cell r="A556" t="str">
            <v xml:space="preserve">       3.</v>
          </cell>
          <cell r="C556" t="str">
            <v>Biaya Pasti per Jam  :</v>
          </cell>
        </row>
        <row r="557">
          <cell r="C557" t="str">
            <v>a.  Biaya Pengembalian Modal  =</v>
          </cell>
          <cell r="E557" t="str">
            <v>( B' - C ) x D</v>
          </cell>
          <cell r="G557" t="str">
            <v>E</v>
          </cell>
          <cell r="H557">
            <v>5301.818181818182</v>
          </cell>
          <cell r="I557" t="str">
            <v>Rupiah</v>
          </cell>
        </row>
        <row r="558">
          <cell r="E558" t="str">
            <v>W'</v>
          </cell>
        </row>
        <row r="560">
          <cell r="C560" t="str">
            <v>b.  Asuransi, dll =</v>
          </cell>
          <cell r="D560">
            <v>2E-3</v>
          </cell>
          <cell r="E560" t="str">
            <v xml:space="preserve">  x   B'</v>
          </cell>
          <cell r="G560" t="str">
            <v>F</v>
          </cell>
          <cell r="H560">
            <v>18</v>
          </cell>
          <cell r="I560" t="str">
            <v>Rupiah</v>
          </cell>
        </row>
        <row r="561">
          <cell r="E561" t="str">
            <v>W'</v>
          </cell>
        </row>
        <row r="563">
          <cell r="C563" t="str">
            <v>Biaya Pasti per Jam             =</v>
          </cell>
          <cell r="E563" t="str">
            <v>( E + F )</v>
          </cell>
          <cell r="G563" t="str">
            <v>G</v>
          </cell>
          <cell r="H563">
            <v>5319.818181818182</v>
          </cell>
          <cell r="I563" t="str">
            <v>Rupiah</v>
          </cell>
        </row>
        <row r="565">
          <cell r="A565" t="str">
            <v>C.</v>
          </cell>
          <cell r="C565" t="str">
            <v>BIAYA OPERASI PER JAM KERJA</v>
          </cell>
        </row>
        <row r="567">
          <cell r="A567" t="str">
            <v xml:space="preserve">       1.</v>
          </cell>
          <cell r="C567" t="str">
            <v xml:space="preserve">Bahan Bakar  =  (0.125-0.175 Ltr/HP/Jam)   x Pw x Ms </v>
          </cell>
          <cell r="G567" t="str">
            <v>H</v>
          </cell>
          <cell r="H567">
            <v>3112.5</v>
          </cell>
          <cell r="I567" t="str">
            <v>Rupiah</v>
          </cell>
        </row>
        <row r="569">
          <cell r="A569" t="str">
            <v xml:space="preserve">       2.</v>
          </cell>
          <cell r="C569" t="str">
            <v>Pelumas         =  (0.01-0.02 Ltr/HP/Jam) x Pw x Mp</v>
          </cell>
          <cell r="G569" t="str">
            <v>I</v>
          </cell>
          <cell r="H569">
            <v>1800</v>
          </cell>
          <cell r="I569" t="str">
            <v>Rupiah</v>
          </cell>
        </row>
        <row r="571">
          <cell r="A571" t="str">
            <v xml:space="preserve">       3.</v>
          </cell>
          <cell r="C571" t="str">
            <v>Perawatan dan</v>
          </cell>
          <cell r="D571" t="str">
            <v>(12,5 % - 17,5 %)  x  B'</v>
          </cell>
          <cell r="G571" t="str">
            <v>K</v>
          </cell>
          <cell r="H571">
            <v>1125</v>
          </cell>
          <cell r="I571" t="str">
            <v>Rupiah</v>
          </cell>
        </row>
        <row r="572">
          <cell r="C572" t="str">
            <v xml:space="preserve">        perbaikan    =</v>
          </cell>
          <cell r="D572" t="str">
            <v>W'</v>
          </cell>
        </row>
        <row r="574">
          <cell r="A574" t="str">
            <v xml:space="preserve">       4.</v>
          </cell>
          <cell r="C574" t="str">
            <v>Operator</v>
          </cell>
          <cell r="D574" t="str">
            <v>=   ( 1  Orang / Jam )  x  U1</v>
          </cell>
          <cell r="G574" t="str">
            <v>L</v>
          </cell>
          <cell r="H574">
            <v>10714.285714285714</v>
          </cell>
          <cell r="I574" t="str">
            <v>Rupiah</v>
          </cell>
        </row>
        <row r="575">
          <cell r="A575" t="str">
            <v xml:space="preserve">       5.</v>
          </cell>
          <cell r="C575" t="str">
            <v>Pembantu Operator</v>
          </cell>
          <cell r="D575" t="str">
            <v>=   ( 1  Orang / Jam )  x  U2</v>
          </cell>
          <cell r="G575" t="str">
            <v>M</v>
          </cell>
          <cell r="H575">
            <v>4000</v>
          </cell>
          <cell r="I575" t="str">
            <v>Rupiah</v>
          </cell>
        </row>
        <row r="577">
          <cell r="C577" t="str">
            <v>Biaya Operasi per Jam        =</v>
          </cell>
          <cell r="E577" t="str">
            <v>(H+I+K+L+M)</v>
          </cell>
          <cell r="G577" t="str">
            <v>P</v>
          </cell>
          <cell r="H577">
            <v>20751.785714285714</v>
          </cell>
          <cell r="I577" t="str">
            <v>Rupiah</v>
          </cell>
        </row>
        <row r="579">
          <cell r="A579" t="str">
            <v>D.</v>
          </cell>
          <cell r="C579" t="str">
            <v>TOTAL BIAYA SEWA ALAT / JAM   =   ( G + P )</v>
          </cell>
          <cell r="G579" t="str">
            <v>S</v>
          </cell>
          <cell r="H579">
            <v>26071.603896103894</v>
          </cell>
          <cell r="I579" t="str">
            <v>Rupiah</v>
          </cell>
        </row>
        <row r="582">
          <cell r="A582" t="str">
            <v>E.</v>
          </cell>
          <cell r="C582" t="str">
            <v>LAIN - LAIN</v>
          </cell>
        </row>
        <row r="583">
          <cell r="A583" t="str">
            <v xml:space="preserve">       1.</v>
          </cell>
          <cell r="C583" t="str">
            <v>Tingkat Suku Bunga</v>
          </cell>
          <cell r="G583" t="str">
            <v>i</v>
          </cell>
          <cell r="H583">
            <v>20</v>
          </cell>
          <cell r="I583" t="str">
            <v>% / Tahun</v>
          </cell>
        </row>
        <row r="584">
          <cell r="A584" t="str">
            <v xml:space="preserve">       2.</v>
          </cell>
          <cell r="C584" t="str">
            <v>Upah Operator / Sopir</v>
          </cell>
          <cell r="G584" t="str">
            <v>U1</v>
          </cell>
          <cell r="H584">
            <v>10714.285714285714</v>
          </cell>
          <cell r="I584" t="str">
            <v>Rp./Jam</v>
          </cell>
        </row>
        <row r="585">
          <cell r="A585" t="str">
            <v xml:space="preserve">       3.</v>
          </cell>
          <cell r="C585" t="str">
            <v>Upah Pembantu Operator / Pmb.Sopir</v>
          </cell>
          <cell r="G585" t="str">
            <v>U2</v>
          </cell>
          <cell r="H585">
            <v>4000</v>
          </cell>
          <cell r="I585" t="str">
            <v>Rp./Jam</v>
          </cell>
        </row>
        <row r="586">
          <cell r="A586" t="str">
            <v xml:space="preserve">       4.</v>
          </cell>
          <cell r="C586" t="str">
            <v>Bahan Bakar Bensin</v>
          </cell>
          <cell r="G586" t="str">
            <v>Mb</v>
          </cell>
          <cell r="H586">
            <v>4500</v>
          </cell>
          <cell r="I586" t="str">
            <v>Liter</v>
          </cell>
        </row>
        <row r="587">
          <cell r="A587" t="str">
            <v xml:space="preserve">       5.</v>
          </cell>
          <cell r="C587" t="str">
            <v>Bahan Bakar Solar</v>
          </cell>
          <cell r="G587" t="str">
            <v>Ms</v>
          </cell>
          <cell r="H587">
            <v>4400</v>
          </cell>
          <cell r="I587" t="str">
            <v>Liter</v>
          </cell>
        </row>
        <row r="588">
          <cell r="A588" t="str">
            <v xml:space="preserve">       6.</v>
          </cell>
          <cell r="C588" t="str">
            <v>Minyak Pelumas</v>
          </cell>
          <cell r="G588" t="str">
            <v>Mp</v>
          </cell>
          <cell r="H588">
            <v>30000</v>
          </cell>
          <cell r="I588" t="str">
            <v>Liter</v>
          </cell>
        </row>
        <row r="589">
          <cell r="A589" t="str">
            <v xml:space="preserve">       7.</v>
          </cell>
          <cell r="C589" t="str">
            <v>PPN diperhitungkan pada lembar Rekapitulasi</v>
          </cell>
        </row>
        <row r="590">
          <cell r="C590" t="str">
            <v>Biaya Pekerjaan</v>
          </cell>
        </row>
        <row r="593">
          <cell r="A593" t="str">
            <v>URAIAN ANALISA ALAT</v>
          </cell>
        </row>
        <row r="596">
          <cell r="A596" t="str">
            <v>No.</v>
          </cell>
          <cell r="C596" t="str">
            <v>U R A I A N</v>
          </cell>
          <cell r="G596" t="str">
            <v>KODE</v>
          </cell>
          <cell r="H596" t="str">
            <v>KOEF.</v>
          </cell>
          <cell r="I596" t="str">
            <v>SATUAN</v>
          </cell>
          <cell r="J596" t="str">
            <v>KET.</v>
          </cell>
        </row>
        <row r="599">
          <cell r="A599" t="str">
            <v>A.</v>
          </cell>
          <cell r="C599" t="str">
            <v>URAIAN PERALATAN</v>
          </cell>
        </row>
        <row r="600">
          <cell r="A600" t="str">
            <v xml:space="preserve">       1.</v>
          </cell>
          <cell r="C600" t="str">
            <v>Jenis Peralatan</v>
          </cell>
          <cell r="G600" t="str">
            <v>WATER TANKER 3000-4500 L.</v>
          </cell>
          <cell r="J600" t="str">
            <v>E23</v>
          </cell>
        </row>
        <row r="601">
          <cell r="A601" t="str">
            <v xml:space="preserve">       2.</v>
          </cell>
          <cell r="C601" t="str">
            <v>Tenaga</v>
          </cell>
          <cell r="G601" t="str">
            <v>Pw</v>
          </cell>
          <cell r="H601">
            <v>100</v>
          </cell>
          <cell r="I601" t="str">
            <v>HP</v>
          </cell>
        </row>
        <row r="602">
          <cell r="A602" t="str">
            <v xml:space="preserve">       3.</v>
          </cell>
          <cell r="C602" t="str">
            <v>Kapasitas</v>
          </cell>
          <cell r="G602" t="str">
            <v>Cp</v>
          </cell>
          <cell r="H602">
            <v>4000</v>
          </cell>
          <cell r="I602" t="str">
            <v>Liter</v>
          </cell>
        </row>
        <row r="603">
          <cell r="A603" t="str">
            <v xml:space="preserve">       4.</v>
          </cell>
          <cell r="C603" t="str">
            <v>Alat Baru                :</v>
          </cell>
          <cell r="D603" t="str">
            <v xml:space="preserve">  a.  Umur Ekonomis</v>
          </cell>
          <cell r="G603" t="str">
            <v>A</v>
          </cell>
          <cell r="H603">
            <v>5</v>
          </cell>
          <cell r="I603" t="str">
            <v>Tahun</v>
          </cell>
        </row>
        <row r="604">
          <cell r="D604" t="str">
            <v xml:space="preserve">  b.  Jam Kerja Dalam 1 Tahun</v>
          </cell>
          <cell r="G604" t="str">
            <v>W</v>
          </cell>
          <cell r="H604">
            <v>2000</v>
          </cell>
          <cell r="I604" t="str">
            <v>Jam</v>
          </cell>
        </row>
        <row r="605">
          <cell r="D605" t="str">
            <v xml:space="preserve">  c.  Harga Alat</v>
          </cell>
          <cell r="G605" t="str">
            <v>B</v>
          </cell>
          <cell r="H605">
            <v>132000000</v>
          </cell>
          <cell r="I605" t="str">
            <v>Rupiah</v>
          </cell>
        </row>
        <row r="606">
          <cell r="A606" t="str">
            <v xml:space="preserve">       5.</v>
          </cell>
          <cell r="C606" t="str">
            <v>Alat Yang Dipakai  :</v>
          </cell>
          <cell r="D606" t="str">
            <v xml:space="preserve">  a.  Umur Ekonomis</v>
          </cell>
          <cell r="G606" t="str">
            <v>A'</v>
          </cell>
          <cell r="H606">
            <v>5</v>
          </cell>
          <cell r="I606" t="str">
            <v>Tahun</v>
          </cell>
          <cell r="J606" t="str">
            <v xml:space="preserve"> Alat Baru</v>
          </cell>
        </row>
        <row r="607">
          <cell r="D607" t="str">
            <v xml:space="preserve">  b.  Jam Kerja Dalam 1 Tahun </v>
          </cell>
          <cell r="G607" t="str">
            <v>W'</v>
          </cell>
          <cell r="H607">
            <v>2000</v>
          </cell>
          <cell r="I607" t="str">
            <v>Jam</v>
          </cell>
          <cell r="J607" t="str">
            <v xml:space="preserve"> Alat Baru</v>
          </cell>
        </row>
        <row r="608">
          <cell r="D608" t="str">
            <v xml:space="preserve">  c.  Harga Alat   (*)</v>
          </cell>
          <cell r="G608" t="str">
            <v>B'</v>
          </cell>
          <cell r="H608">
            <v>132000000</v>
          </cell>
          <cell r="I608" t="str">
            <v>Rupiah</v>
          </cell>
          <cell r="J608" t="str">
            <v xml:space="preserve"> Alat Baru</v>
          </cell>
        </row>
        <row r="610">
          <cell r="A610" t="str">
            <v>B.</v>
          </cell>
          <cell r="C610" t="str">
            <v>BIAYA PASTI PER JAM KERJA</v>
          </cell>
        </row>
        <row r="611">
          <cell r="A611" t="str">
            <v xml:space="preserve">       1.</v>
          </cell>
          <cell r="C611" t="str">
            <v>Nilai Sisa Alat</v>
          </cell>
          <cell r="D611" t="str">
            <v>=  10 % x B</v>
          </cell>
          <cell r="G611" t="str">
            <v>C</v>
          </cell>
          <cell r="H611">
            <v>13200000</v>
          </cell>
          <cell r="I611" t="str">
            <v>Rupiah</v>
          </cell>
        </row>
        <row r="613">
          <cell r="A613" t="str">
            <v xml:space="preserve">       2.</v>
          </cell>
          <cell r="C613" t="str">
            <v>Faktor Angsuran Modal    =</v>
          </cell>
          <cell r="E613" t="str">
            <v>i x (1 + i)^A'</v>
          </cell>
          <cell r="G613" t="str">
            <v>D</v>
          </cell>
          <cell r="H613">
            <v>0.33437970328961514</v>
          </cell>
          <cell r="I613" t="str">
            <v>-</v>
          </cell>
        </row>
        <row r="614">
          <cell r="E614" t="str">
            <v>(1 + i)^A' - 1</v>
          </cell>
        </row>
        <row r="615">
          <cell r="A615" t="str">
            <v xml:space="preserve">       3.</v>
          </cell>
          <cell r="C615" t="str">
            <v>Biaya Pasti per Jam  :</v>
          </cell>
        </row>
        <row r="616">
          <cell r="C616" t="str">
            <v>a.  Biaya Pengembalian Modal  =</v>
          </cell>
          <cell r="E616" t="str">
            <v>( B' - C ) x D</v>
          </cell>
          <cell r="G616" t="str">
            <v>E</v>
          </cell>
          <cell r="H616">
            <v>19862.154375403141</v>
          </cell>
          <cell r="I616" t="str">
            <v>Rupiah</v>
          </cell>
        </row>
        <row r="617">
          <cell r="E617" t="str">
            <v>W'</v>
          </cell>
        </row>
        <row r="619">
          <cell r="C619" t="str">
            <v>b.  Asuransi, dll =</v>
          </cell>
          <cell r="D619">
            <v>2E-3</v>
          </cell>
          <cell r="E619" t="str">
            <v xml:space="preserve">  x   B'</v>
          </cell>
          <cell r="G619" t="str">
            <v>F</v>
          </cell>
          <cell r="H619">
            <v>132</v>
          </cell>
          <cell r="I619" t="str">
            <v>Rupiah</v>
          </cell>
        </row>
        <row r="620">
          <cell r="E620" t="str">
            <v>W'</v>
          </cell>
        </row>
        <row r="622">
          <cell r="C622" t="str">
            <v>Biaya Pasti per Jam             =</v>
          </cell>
          <cell r="E622" t="str">
            <v>( E + F )</v>
          </cell>
          <cell r="G622" t="str">
            <v>G</v>
          </cell>
          <cell r="H622">
            <v>19994.154375403141</v>
          </cell>
          <cell r="I622" t="str">
            <v>Rupiah</v>
          </cell>
        </row>
        <row r="624">
          <cell r="A624" t="str">
            <v>C.</v>
          </cell>
          <cell r="C624" t="str">
            <v>BIAYA OPERASI PER JAM KERJA</v>
          </cell>
        </row>
        <row r="626">
          <cell r="A626" t="str">
            <v xml:space="preserve">       1.</v>
          </cell>
          <cell r="C626" t="str">
            <v xml:space="preserve">Bahan Bakar  =  (0.125-0.175 Ltr/HP/Jam)   x Pw x Ms </v>
          </cell>
          <cell r="G626" t="str">
            <v>H</v>
          </cell>
          <cell r="H626">
            <v>27500</v>
          </cell>
          <cell r="I626" t="str">
            <v>Rupiah</v>
          </cell>
        </row>
        <row r="628">
          <cell r="A628" t="str">
            <v xml:space="preserve">       2.</v>
          </cell>
          <cell r="C628" t="str">
            <v>Pelumas         =  (0.01-0.02 Ltr/HP/Jam) x Pw x Mp</v>
          </cell>
          <cell r="G628" t="str">
            <v>I</v>
          </cell>
          <cell r="H628">
            <v>30000</v>
          </cell>
          <cell r="I628" t="str">
            <v>Rupiah</v>
          </cell>
        </row>
        <row r="630">
          <cell r="A630" t="str">
            <v xml:space="preserve">       3.</v>
          </cell>
          <cell r="C630" t="str">
            <v>Perawatan dan</v>
          </cell>
          <cell r="D630" t="str">
            <v>(12,5 % - 17,5 %)  x  B'</v>
          </cell>
          <cell r="G630" t="str">
            <v>K</v>
          </cell>
          <cell r="H630">
            <v>8250</v>
          </cell>
          <cell r="I630" t="str">
            <v>Rupiah</v>
          </cell>
        </row>
        <row r="631">
          <cell r="C631" t="str">
            <v xml:space="preserve">        perbaikan    =</v>
          </cell>
          <cell r="D631" t="str">
            <v>W'</v>
          </cell>
        </row>
        <row r="633">
          <cell r="A633" t="str">
            <v xml:space="preserve">       4.</v>
          </cell>
          <cell r="C633" t="str">
            <v>Operator</v>
          </cell>
          <cell r="D633" t="str">
            <v>=   ( 1  Orang / Jam )  x  U1</v>
          </cell>
          <cell r="G633" t="str">
            <v>L</v>
          </cell>
          <cell r="H633">
            <v>10714.285714285714</v>
          </cell>
          <cell r="I633" t="str">
            <v>Rupiah</v>
          </cell>
        </row>
        <row r="634">
          <cell r="A634" t="str">
            <v xml:space="preserve">       5.</v>
          </cell>
          <cell r="C634" t="str">
            <v>Pembantu Operator</v>
          </cell>
          <cell r="D634" t="str">
            <v>=   ( 1  Orang / Jam )  x  U2</v>
          </cell>
          <cell r="G634" t="str">
            <v>M</v>
          </cell>
          <cell r="H634">
            <v>4000</v>
          </cell>
          <cell r="I634" t="str">
            <v>Rupiah</v>
          </cell>
        </row>
        <row r="636">
          <cell r="C636" t="str">
            <v>Biaya Operasi per Jam        =</v>
          </cell>
          <cell r="E636" t="str">
            <v>(H+I+K+L+M)</v>
          </cell>
          <cell r="G636" t="str">
            <v>P</v>
          </cell>
          <cell r="H636">
            <v>80464.28571428571</v>
          </cell>
          <cell r="I636" t="str">
            <v>Rupiah</v>
          </cell>
        </row>
        <row r="638">
          <cell r="A638" t="str">
            <v>D.</v>
          </cell>
          <cell r="C638" t="str">
            <v>TOTAL BIAYA SEWA ALAT / JAM   =   ( G + P )</v>
          </cell>
          <cell r="G638" t="str">
            <v>S</v>
          </cell>
          <cell r="H638">
            <v>100458.44008968885</v>
          </cell>
          <cell r="I638" t="str">
            <v>Rupiah</v>
          </cell>
        </row>
        <row r="641">
          <cell r="A641" t="str">
            <v>E.</v>
          </cell>
          <cell r="C641" t="str">
            <v>LAIN - LAIN</v>
          </cell>
        </row>
        <row r="642">
          <cell r="A642" t="str">
            <v xml:space="preserve">       1.</v>
          </cell>
          <cell r="C642" t="str">
            <v>Tingkat Suku Bunga</v>
          </cell>
          <cell r="G642" t="str">
            <v>i</v>
          </cell>
          <cell r="H642">
            <v>20</v>
          </cell>
          <cell r="I642" t="str">
            <v>% / Tahun</v>
          </cell>
        </row>
        <row r="643">
          <cell r="A643" t="str">
            <v xml:space="preserve">       2.</v>
          </cell>
          <cell r="C643" t="str">
            <v>Upah Operator / Sopir</v>
          </cell>
          <cell r="G643" t="str">
            <v>U1</v>
          </cell>
          <cell r="H643">
            <v>10714.285714285714</v>
          </cell>
          <cell r="I643" t="str">
            <v>Rp./Jam</v>
          </cell>
        </row>
        <row r="644">
          <cell r="A644" t="str">
            <v xml:space="preserve">       3.</v>
          </cell>
          <cell r="C644" t="str">
            <v>Upah Pembantu Operator / Pmb.Sopir</v>
          </cell>
          <cell r="G644" t="str">
            <v>U2</v>
          </cell>
          <cell r="H644">
            <v>4000</v>
          </cell>
          <cell r="I644" t="str">
            <v>Rp./Jam</v>
          </cell>
        </row>
        <row r="645">
          <cell r="A645" t="str">
            <v xml:space="preserve">       4.</v>
          </cell>
          <cell r="C645" t="str">
            <v>Bahan Bakar Bensin</v>
          </cell>
          <cell r="G645" t="str">
            <v>Mb</v>
          </cell>
          <cell r="H645">
            <v>4500</v>
          </cell>
          <cell r="I645" t="str">
            <v>Liter</v>
          </cell>
        </row>
        <row r="646">
          <cell r="A646" t="str">
            <v xml:space="preserve">       5.</v>
          </cell>
          <cell r="C646" t="str">
            <v>Bahan Bakar Solar</v>
          </cell>
          <cell r="G646" t="str">
            <v>Ms</v>
          </cell>
          <cell r="H646">
            <v>4400</v>
          </cell>
          <cell r="I646" t="str">
            <v>Liter</v>
          </cell>
        </row>
        <row r="647">
          <cell r="A647" t="str">
            <v xml:space="preserve">       6.</v>
          </cell>
          <cell r="C647" t="str">
            <v>Minyak Pelumas</v>
          </cell>
          <cell r="G647" t="str">
            <v>Mp</v>
          </cell>
          <cell r="H647">
            <v>30000</v>
          </cell>
          <cell r="I647" t="str">
            <v>Liter</v>
          </cell>
        </row>
        <row r="648">
          <cell r="A648" t="str">
            <v xml:space="preserve">       7.</v>
          </cell>
          <cell r="C648" t="str">
            <v>PPN diperhitungkan pada lembar Rekapitulasi</v>
          </cell>
        </row>
        <row r="649">
          <cell r="C649" t="str">
            <v>Biaya Pekerjaan</v>
          </cell>
        </row>
        <row r="711">
          <cell r="A711" t="str">
            <v>URAIAN ANALISA ALAT</v>
          </cell>
        </row>
        <row r="714">
          <cell r="A714" t="str">
            <v>No.</v>
          </cell>
          <cell r="C714" t="str">
            <v>U R A I A N</v>
          </cell>
          <cell r="G714" t="str">
            <v>KODE</v>
          </cell>
          <cell r="H714" t="str">
            <v>KOEF.</v>
          </cell>
          <cell r="I714" t="str">
            <v>SATUAN</v>
          </cell>
          <cell r="J714" t="str">
            <v>KET.</v>
          </cell>
        </row>
        <row r="717">
          <cell r="A717" t="str">
            <v>A.</v>
          </cell>
          <cell r="C717" t="str">
            <v>URAIAN PERALATAN</v>
          </cell>
        </row>
        <row r="718">
          <cell r="A718" t="str">
            <v xml:space="preserve">       1.</v>
          </cell>
          <cell r="C718" t="str">
            <v>Jenis Peralatan</v>
          </cell>
          <cell r="G718" t="str">
            <v>JACK HAMMER</v>
          </cell>
          <cell r="J718" t="str">
            <v>E26</v>
          </cell>
        </row>
        <row r="719">
          <cell r="A719" t="str">
            <v xml:space="preserve">       2.</v>
          </cell>
          <cell r="C719" t="str">
            <v>Tenaga</v>
          </cell>
          <cell r="G719" t="str">
            <v>Pw</v>
          </cell>
          <cell r="H719">
            <v>3</v>
          </cell>
          <cell r="I719" t="str">
            <v>HP</v>
          </cell>
        </row>
        <row r="720">
          <cell r="A720" t="str">
            <v xml:space="preserve">       3.</v>
          </cell>
          <cell r="C720" t="str">
            <v>Kapasitas</v>
          </cell>
          <cell r="G720" t="str">
            <v>Cp</v>
          </cell>
          <cell r="H720" t="str">
            <v xml:space="preserve">-  </v>
          </cell>
          <cell r="I720" t="str">
            <v>-</v>
          </cell>
        </row>
        <row r="721">
          <cell r="A721" t="str">
            <v xml:space="preserve">       4.</v>
          </cell>
          <cell r="C721" t="str">
            <v>Alat Baru                :</v>
          </cell>
          <cell r="D721" t="str">
            <v xml:space="preserve">  a.  Umur Ekonomis</v>
          </cell>
          <cell r="G721" t="str">
            <v>A</v>
          </cell>
          <cell r="H721">
            <v>4</v>
          </cell>
          <cell r="I721" t="str">
            <v>Tahun</v>
          </cell>
        </row>
        <row r="722">
          <cell r="D722" t="str">
            <v xml:space="preserve">  b.  Jam Kerja Dalam 1 Tahun</v>
          </cell>
          <cell r="G722" t="str">
            <v>W</v>
          </cell>
          <cell r="H722">
            <v>1000</v>
          </cell>
          <cell r="I722" t="str">
            <v>Jam</v>
          </cell>
        </row>
        <row r="723">
          <cell r="D723" t="str">
            <v xml:space="preserve">  c.  Harga Alat</v>
          </cell>
          <cell r="G723" t="str">
            <v>B</v>
          </cell>
          <cell r="H723">
            <v>26500000</v>
          </cell>
          <cell r="I723" t="str">
            <v>Rupiah</v>
          </cell>
        </row>
        <row r="724">
          <cell r="A724" t="str">
            <v xml:space="preserve">       5.</v>
          </cell>
          <cell r="C724" t="str">
            <v>Alat Yang Dipakai  :</v>
          </cell>
          <cell r="D724" t="str">
            <v xml:space="preserve">  a.  Umur Ekonomis</v>
          </cell>
          <cell r="G724" t="str">
            <v>A'</v>
          </cell>
          <cell r="H724">
            <v>4</v>
          </cell>
          <cell r="I724" t="str">
            <v>Tahun</v>
          </cell>
          <cell r="J724" t="str">
            <v xml:space="preserve"> Alat Baru</v>
          </cell>
        </row>
        <row r="725">
          <cell r="D725" t="str">
            <v xml:space="preserve">  b.  Jam Kerja Dalam 1 Tahun </v>
          </cell>
          <cell r="G725" t="str">
            <v>W'</v>
          </cell>
          <cell r="H725">
            <v>1000</v>
          </cell>
          <cell r="I725" t="str">
            <v>Jam</v>
          </cell>
          <cell r="J725" t="str">
            <v xml:space="preserve"> Alat Baru</v>
          </cell>
        </row>
        <row r="726">
          <cell r="D726" t="str">
            <v xml:space="preserve">  c.  Harga Alat   (*)</v>
          </cell>
          <cell r="G726" t="str">
            <v>B'</v>
          </cell>
          <cell r="H726">
            <v>26500000</v>
          </cell>
          <cell r="I726" t="str">
            <v>Rupiah</v>
          </cell>
          <cell r="J726" t="str">
            <v xml:space="preserve"> Alat Baru</v>
          </cell>
        </row>
        <row r="728">
          <cell r="A728" t="str">
            <v>B.</v>
          </cell>
          <cell r="C728" t="str">
            <v>BIAYA PASTI PER JAM KERJA</v>
          </cell>
        </row>
        <row r="729">
          <cell r="A729" t="str">
            <v xml:space="preserve">       1.</v>
          </cell>
          <cell r="C729" t="str">
            <v>Nilai Sisa Alat</v>
          </cell>
          <cell r="D729" t="str">
            <v>=  10 % x B</v>
          </cell>
          <cell r="G729" t="str">
            <v>C</v>
          </cell>
          <cell r="H729">
            <v>2650000</v>
          </cell>
          <cell r="I729" t="str">
            <v>Rupiah</v>
          </cell>
        </row>
        <row r="731">
          <cell r="A731" t="str">
            <v xml:space="preserve">       2.</v>
          </cell>
          <cell r="C731" t="str">
            <v>Faktor Angsuran Modal    =</v>
          </cell>
          <cell r="E731" t="str">
            <v>i x (1 + i)^A'</v>
          </cell>
          <cell r="G731" t="str">
            <v>D</v>
          </cell>
          <cell r="H731">
            <v>0.38628912071535026</v>
          </cell>
          <cell r="I731" t="str">
            <v>-</v>
          </cell>
        </row>
        <row r="732">
          <cell r="E732" t="str">
            <v>(1 + i)^A' - 1</v>
          </cell>
        </row>
        <row r="733">
          <cell r="A733" t="str">
            <v xml:space="preserve">       3.</v>
          </cell>
          <cell r="C733" t="str">
            <v>Biaya Pasti per Jam  :</v>
          </cell>
        </row>
        <row r="734">
          <cell r="C734" t="str">
            <v>a.  Biaya Pengembalian Modal  =</v>
          </cell>
          <cell r="E734" t="str">
            <v>( B' - C ) x D</v>
          </cell>
          <cell r="G734" t="str">
            <v>E</v>
          </cell>
          <cell r="H734">
            <v>9212.9955290611033</v>
          </cell>
          <cell r="I734" t="str">
            <v>Rupiah</v>
          </cell>
        </row>
        <row r="735">
          <cell r="E735" t="str">
            <v>W'</v>
          </cell>
        </row>
        <row r="737">
          <cell r="C737" t="str">
            <v>b.  Asuransi, dll =</v>
          </cell>
          <cell r="D737">
            <v>2E-3</v>
          </cell>
          <cell r="E737" t="str">
            <v xml:space="preserve">  x   B'</v>
          </cell>
          <cell r="G737" t="str">
            <v>F</v>
          </cell>
          <cell r="H737">
            <v>53</v>
          </cell>
          <cell r="I737" t="str">
            <v>Rupiah</v>
          </cell>
        </row>
        <row r="738">
          <cell r="E738" t="str">
            <v>W'</v>
          </cell>
        </row>
        <row r="740">
          <cell r="C740" t="str">
            <v>Biaya Pasti per Jam             =</v>
          </cell>
          <cell r="E740" t="str">
            <v>( E + F )</v>
          </cell>
          <cell r="G740" t="str">
            <v>G</v>
          </cell>
          <cell r="H740">
            <v>9265.9955290611033</v>
          </cell>
          <cell r="I740" t="str">
            <v>Rupiah</v>
          </cell>
        </row>
        <row r="742">
          <cell r="A742" t="str">
            <v>C.</v>
          </cell>
          <cell r="C742" t="str">
            <v>BIAYA OPERASI PER JAM KERJA</v>
          </cell>
        </row>
        <row r="744">
          <cell r="A744" t="str">
            <v xml:space="preserve">       1.</v>
          </cell>
          <cell r="C744" t="str">
            <v xml:space="preserve">Bahan Bakar  =  (0.125-0.175 Ltr/HP/Jam)   x Pw x Ms </v>
          </cell>
          <cell r="G744" t="str">
            <v>H</v>
          </cell>
          <cell r="H744">
            <v>825</v>
          </cell>
          <cell r="I744" t="str">
            <v>Rupiah</v>
          </cell>
        </row>
        <row r="746">
          <cell r="A746" t="str">
            <v xml:space="preserve">       2.</v>
          </cell>
          <cell r="C746" t="str">
            <v>Pelumas         =  (0.01-0.02 Ltr/HP/Jam) x Pw x Mp</v>
          </cell>
          <cell r="G746" t="str">
            <v>I</v>
          </cell>
          <cell r="H746">
            <v>900</v>
          </cell>
          <cell r="I746" t="str">
            <v>Rupiah</v>
          </cell>
        </row>
        <row r="748">
          <cell r="A748" t="str">
            <v xml:space="preserve">       3.</v>
          </cell>
          <cell r="C748" t="str">
            <v>Perawatan dan</v>
          </cell>
          <cell r="D748" t="str">
            <v>(12,5 % - 17,5 %)  x  B'</v>
          </cell>
          <cell r="G748" t="str">
            <v>K</v>
          </cell>
          <cell r="H748">
            <v>3312.5</v>
          </cell>
          <cell r="I748" t="str">
            <v>Rupiah</v>
          </cell>
        </row>
        <row r="749">
          <cell r="C749" t="str">
            <v xml:space="preserve">        perbaikan    =</v>
          </cell>
          <cell r="D749" t="str">
            <v>W'</v>
          </cell>
        </row>
        <row r="751">
          <cell r="A751" t="str">
            <v xml:space="preserve">       4.</v>
          </cell>
          <cell r="C751" t="str">
            <v>Operator</v>
          </cell>
          <cell r="D751" t="str">
            <v>=   ( 1  Orang / Jam )  x  U1</v>
          </cell>
          <cell r="G751" t="str">
            <v>L</v>
          </cell>
          <cell r="H751">
            <v>10714.285714285714</v>
          </cell>
          <cell r="I751" t="str">
            <v>Rupiah</v>
          </cell>
        </row>
        <row r="752">
          <cell r="A752" t="str">
            <v xml:space="preserve">       5.</v>
          </cell>
          <cell r="C752" t="str">
            <v>Pembantu Operator</v>
          </cell>
          <cell r="D752" t="str">
            <v>=   ( 1  Orang / Jam )  x  U2</v>
          </cell>
          <cell r="G752" t="str">
            <v>M</v>
          </cell>
          <cell r="H752">
            <v>4000</v>
          </cell>
          <cell r="I752" t="str">
            <v>Rupiah</v>
          </cell>
        </row>
        <row r="754">
          <cell r="C754" t="str">
            <v>Biaya Operasi per Jam        =</v>
          </cell>
          <cell r="E754" t="str">
            <v>(H+I+K+L+M)</v>
          </cell>
          <cell r="G754" t="str">
            <v>P</v>
          </cell>
          <cell r="H754">
            <v>19751.785714285714</v>
          </cell>
          <cell r="I754" t="str">
            <v>Rupiah</v>
          </cell>
        </row>
        <row r="756">
          <cell r="A756" t="str">
            <v>D.</v>
          </cell>
          <cell r="C756" t="str">
            <v>TOTAL BIAYA SEWA ALAT / JAM   =   ( G + P )</v>
          </cell>
          <cell r="G756" t="str">
            <v>S</v>
          </cell>
          <cell r="H756">
            <v>29017.781243346817</v>
          </cell>
          <cell r="I756" t="str">
            <v>Rupiah</v>
          </cell>
        </row>
        <row r="759">
          <cell r="A759" t="str">
            <v>E.</v>
          </cell>
          <cell r="C759" t="str">
            <v>LAIN - LAIN</v>
          </cell>
        </row>
        <row r="760">
          <cell r="A760" t="str">
            <v xml:space="preserve">       1.</v>
          </cell>
          <cell r="C760" t="str">
            <v>Tingkat Suku Bunga</v>
          </cell>
          <cell r="G760" t="str">
            <v>i</v>
          </cell>
          <cell r="H760">
            <v>20</v>
          </cell>
          <cell r="I760" t="str">
            <v>% / Tahun</v>
          </cell>
        </row>
        <row r="761">
          <cell r="A761" t="str">
            <v xml:space="preserve">       2.</v>
          </cell>
          <cell r="C761" t="str">
            <v>Upah Operator / Sopir</v>
          </cell>
          <cell r="G761" t="str">
            <v>U1</v>
          </cell>
          <cell r="H761">
            <v>10714.285714285714</v>
          </cell>
          <cell r="I761" t="str">
            <v>Rp./Jam</v>
          </cell>
        </row>
        <row r="762">
          <cell r="A762" t="str">
            <v xml:space="preserve">       3.</v>
          </cell>
          <cell r="C762" t="str">
            <v>Upah Pembantu Operator / Pmb.Sopir</v>
          </cell>
          <cell r="G762" t="str">
            <v>U2</v>
          </cell>
          <cell r="H762">
            <v>4000</v>
          </cell>
          <cell r="I762" t="str">
            <v>Rp./Jam</v>
          </cell>
        </row>
        <row r="763">
          <cell r="A763" t="str">
            <v xml:space="preserve">       4.</v>
          </cell>
          <cell r="C763" t="str">
            <v>Bahan Bakar Bensin</v>
          </cell>
          <cell r="G763" t="str">
            <v>Mb</v>
          </cell>
          <cell r="H763">
            <v>4500</v>
          </cell>
          <cell r="I763" t="str">
            <v>Liter</v>
          </cell>
        </row>
        <row r="764">
          <cell r="A764" t="str">
            <v xml:space="preserve">       5.</v>
          </cell>
          <cell r="C764" t="str">
            <v>Bahan Bakar Solar</v>
          </cell>
          <cell r="G764" t="str">
            <v>Ms</v>
          </cell>
          <cell r="H764">
            <v>4400</v>
          </cell>
          <cell r="I764" t="str">
            <v>Liter</v>
          </cell>
        </row>
        <row r="765">
          <cell r="A765" t="str">
            <v xml:space="preserve">       6.</v>
          </cell>
          <cell r="C765" t="str">
            <v>Minyak Pelumas</v>
          </cell>
          <cell r="G765" t="str">
            <v>Mp</v>
          </cell>
          <cell r="H765">
            <v>30000</v>
          </cell>
          <cell r="I765" t="str">
            <v>Liter</v>
          </cell>
        </row>
        <row r="766">
          <cell r="A766" t="str">
            <v xml:space="preserve">       7.</v>
          </cell>
          <cell r="C766" t="str">
            <v>PPN diperhitungkan pada lembar Rekapitulasi</v>
          </cell>
        </row>
        <row r="767">
          <cell r="C767" t="str">
            <v>Biaya Pekerjaan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 Bahan"/>
      <sheetName val="DU&amp;B"/>
    </sheetNames>
    <sheetDataSet>
      <sheetData sheetId="0"/>
      <sheetData sheetId="1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RAB"/>
      <sheetName val="ANALISA HARGA"/>
      <sheetName val="analisa asli"/>
      <sheetName val="HARGA BAHAN"/>
      <sheetName val="KURVA S"/>
    </sheetNames>
    <sheetDataSet>
      <sheetData sheetId="0">
        <row r="20">
          <cell r="E20" t="e">
            <v>#REF!</v>
          </cell>
        </row>
        <row r="22">
          <cell r="E22" t="e">
            <v>#REF!</v>
          </cell>
        </row>
        <row r="24">
          <cell r="E24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2"/>
    </sheetNames>
    <sheetDataSet>
      <sheetData sheetId="0">
        <row r="1">
          <cell r="A1" t="str">
            <v>ITEM PEMBAYARAN NO.</v>
          </cell>
          <cell r="D1" t="str">
            <v>:  2.1</v>
          </cell>
          <cell r="E1" t="str">
            <v>oke</v>
          </cell>
          <cell r="J1" t="str">
            <v xml:space="preserve">Analisa EI-21 </v>
          </cell>
          <cell r="T1" t="str">
            <v xml:space="preserve">Analisa EI-21 </v>
          </cell>
        </row>
        <row r="2">
          <cell r="A2" t="str">
            <v>JENIS PEKERJAAN</v>
          </cell>
          <cell r="D2" t="str">
            <v>:  Galian Utk Drainase, Saluran dan Saluran Air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2.1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Utk Drainase, Saluran dan Saluran Air</v>
          </cell>
          <cell r="R13" t="str">
            <v>TOTAL HARGA (Rp.)</v>
          </cell>
          <cell r="T13" t="str">
            <v>:</v>
          </cell>
          <cell r="U13">
            <v>32339.52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Q14">
            <v>0</v>
          </cell>
          <cell r="R14" t="str">
            <v>% THD. BIAYA PROYEK</v>
          </cell>
          <cell r="T14" t="str">
            <v>:</v>
          </cell>
          <cell r="U14">
            <v>7.6954069998812278E-4</v>
          </cell>
        </row>
        <row r="17">
          <cell r="A17" t="str">
            <v>II.</v>
          </cell>
          <cell r="C17" t="str">
            <v>URUTAN 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Penggalian dilakukan dengan menggunakan Excavator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Selanjutnya Excavator menuangkan material hasil</v>
          </cell>
          <cell r="R19" t="str">
            <v>(Rp.)</v>
          </cell>
          <cell r="S19" t="str">
            <v>(Rp.)</v>
          </cell>
        </row>
        <row r="20">
          <cell r="C20" t="str">
            <v>galian kedalam Dump Truck</v>
          </cell>
        </row>
        <row r="21">
          <cell r="A21">
            <v>3</v>
          </cell>
          <cell r="C21" t="str">
            <v>Dump Truck membuang material hasil galian keluar</v>
          </cell>
        </row>
        <row r="22">
          <cell r="C22" t="str">
            <v>lokasi jalan sejauh</v>
          </cell>
          <cell r="G22" t="str">
            <v>L</v>
          </cell>
          <cell r="H22">
            <v>5</v>
          </cell>
          <cell r="I22" t="str">
            <v>Km</v>
          </cell>
          <cell r="L22" t="str">
            <v>A.</v>
          </cell>
          <cell r="N22" t="str">
            <v>TENAGA</v>
          </cell>
        </row>
        <row r="23">
          <cell r="A23">
            <v>4</v>
          </cell>
          <cell r="C23" t="str">
            <v>Sekelompok pekerja akan merapikan hasil galian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3.6504440701875605E-2</v>
          </cell>
          <cell r="R24">
            <v>2857.14</v>
          </cell>
          <cell r="U24">
            <v>104.29829770695686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9.1261101754689013E-3</v>
          </cell>
          <cell r="R25">
            <v>3214.29</v>
          </cell>
          <cell r="U25">
            <v>29.333964675907936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R28" t="str">
            <v xml:space="preserve">JUMLAH HARGA TENAGA   </v>
          </cell>
          <cell r="U28">
            <v>133.63226238286478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7">
          <cell r="C37" t="str">
            <v>Faktor Konversi</v>
          </cell>
          <cell r="G37" t="str">
            <v>Fv</v>
          </cell>
          <cell r="H37">
            <v>0.9</v>
          </cell>
        </row>
        <row r="39">
          <cell r="C39" t="str">
            <v>Waktu siklus</v>
          </cell>
          <cell r="G39" t="str">
            <v>Ts1</v>
          </cell>
          <cell r="R39" t="str">
            <v xml:space="preserve">JUMLAH HARGA BAHAN   </v>
          </cell>
          <cell r="U39">
            <v>0</v>
          </cell>
        </row>
        <row r="40">
          <cell r="C40" t="str">
            <v>- Menggali,  memuat dan berputar</v>
          </cell>
          <cell r="G40" t="str">
            <v>T1</v>
          </cell>
          <cell r="H40">
            <v>0.317</v>
          </cell>
          <cell r="I40" t="str">
            <v>menit</v>
          </cell>
        </row>
        <row r="41">
          <cell r="C41" t="str">
            <v>- Lain-lain</v>
          </cell>
          <cell r="G41" t="str">
            <v>T2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2">
          <cell r="G42" t="str">
            <v>Ts1</v>
          </cell>
          <cell r="H42">
            <v>0.317</v>
          </cell>
          <cell r="I42" t="str">
            <v>menit</v>
          </cell>
        </row>
        <row r="43"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9.1261101754689013E-3</v>
          </cell>
          <cell r="R43">
            <v>238185.05650827778</v>
          </cell>
          <cell r="U43">
            <v>2173.7030678448291</v>
          </cell>
        </row>
        <row r="44">
          <cell r="C44" t="str">
            <v>Kap. Prod. / jam =</v>
          </cell>
          <cell r="D44" t="str">
            <v>V  x Fb x Fa x Fv x  60</v>
          </cell>
          <cell r="G44" t="str">
            <v>Q1</v>
          </cell>
          <cell r="H44">
            <v>109.5757097791798</v>
          </cell>
          <cell r="I44" t="str">
            <v xml:space="preserve">M3  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0.16982088218140085</v>
          </cell>
          <cell r="R44">
            <v>153645.58193291764</v>
          </cell>
          <cell r="U44">
            <v>26092.228267122777</v>
          </cell>
        </row>
        <row r="45">
          <cell r="D45" t="str">
            <v>Ts1 x Fk</v>
          </cell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1000</v>
          </cell>
          <cell r="U45">
            <v>1000</v>
          </cell>
        </row>
        <row r="47">
          <cell r="C47" t="str">
            <v>Koefisien Alat / M3</v>
          </cell>
          <cell r="D47" t="str">
            <v xml:space="preserve"> =  1  :  Q1</v>
          </cell>
          <cell r="G47" t="str">
            <v>-</v>
          </cell>
          <cell r="H47">
            <v>9.1261101754689013E-3</v>
          </cell>
          <cell r="I47" t="str">
            <v>Jam</v>
          </cell>
        </row>
        <row r="50">
          <cell r="R50" t="str">
            <v xml:space="preserve">JUMLAH HARGA PERALATAN   </v>
          </cell>
          <cell r="U50">
            <v>29265.931334967605</v>
          </cell>
        </row>
        <row r="51">
          <cell r="A51" t="str">
            <v xml:space="preserve">   2.b.</v>
          </cell>
          <cell r="C51" t="str">
            <v>DUMP TRUCK</v>
          </cell>
          <cell r="G51" t="str">
            <v>(E08)</v>
          </cell>
        </row>
        <row r="52">
          <cell r="C52" t="str">
            <v>Kaasitas bak</v>
          </cell>
          <cell r="G52" t="str">
            <v>V</v>
          </cell>
          <cell r="H52">
            <v>4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29399.563597350469</v>
          </cell>
        </row>
        <row r="53">
          <cell r="C53" t="str">
            <v>Faktor 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2939.956359735047</v>
          </cell>
        </row>
        <row r="54">
          <cell r="C54" t="str">
            <v>Kecepatan rata-rata bermuatan</v>
          </cell>
          <cell r="G54" t="str">
            <v>v1</v>
          </cell>
          <cell r="H54">
            <v>20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32339.519957085515</v>
          </cell>
        </row>
        <row r="55">
          <cell r="C55" t="str">
            <v>Kecepatan rata-rata kosong</v>
          </cell>
          <cell r="G55" t="str">
            <v>v2</v>
          </cell>
          <cell r="H55">
            <v>30</v>
          </cell>
          <cell r="I55" t="str">
            <v>Km/Jam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 siklus  :</v>
          </cell>
          <cell r="G56" t="str">
            <v>Ts2</v>
          </cell>
          <cell r="N56" t="str">
            <v>berat untuk bahan-bahan.</v>
          </cell>
        </row>
        <row r="57">
          <cell r="C57" t="str">
            <v>- Waktu tempuh isi</v>
          </cell>
          <cell r="E57" t="str">
            <v>=   (L  :  v1)  x  60</v>
          </cell>
          <cell r="G57" t="str">
            <v>T1</v>
          </cell>
          <cell r="H57">
            <v>15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</v>
          </cell>
          <cell r="E58" t="str">
            <v>=   (L  :  v2)  x  60</v>
          </cell>
          <cell r="G58" t="str">
            <v>T2</v>
          </cell>
          <cell r="H58">
            <v>10</v>
          </cell>
          <cell r="I58" t="str">
            <v>menit</v>
          </cell>
          <cell r="N58" t="str">
            <v>mata pembayaran.</v>
          </cell>
        </row>
        <row r="59">
          <cell r="C59" t="str">
            <v>- Muat</v>
          </cell>
          <cell r="E59" t="str">
            <v>=   (V  :  Q1) x 60</v>
          </cell>
          <cell r="G59" t="str">
            <v>T3</v>
          </cell>
          <cell r="H59">
            <v>2.1902664421125362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C60" t="str">
            <v>- Lain-lain</v>
          </cell>
          <cell r="G60" t="str">
            <v>T4</v>
          </cell>
          <cell r="H60">
            <v>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G61" t="str">
            <v>Ts2</v>
          </cell>
          <cell r="H61">
            <v>28.190266442112538</v>
          </cell>
          <cell r="I61" t="str">
            <v>menit</v>
          </cell>
          <cell r="N61" t="str">
            <v>yang dibayar dari kontrak) dan biaya-biaya lainnya.</v>
          </cell>
        </row>
        <row r="62">
          <cell r="J62" t="str">
            <v>Berlanjut ke halaman berikut</v>
          </cell>
        </row>
        <row r="63">
          <cell r="A63" t="str">
            <v>ITEM PEMBAYARAN NO.</v>
          </cell>
          <cell r="D63" t="str">
            <v>:  2.1</v>
          </cell>
          <cell r="J63" t="str">
            <v xml:space="preserve">Analisa EI-21 </v>
          </cell>
        </row>
        <row r="64">
          <cell r="A64" t="str">
            <v>JENIS PEKERJAAN</v>
          </cell>
          <cell r="D64" t="str">
            <v>:  Galian Utk Drainase, Saluran dan Saluran Air</v>
          </cell>
        </row>
        <row r="65">
          <cell r="A65" t="str">
            <v>SATUAN PEMBAYARAN</v>
          </cell>
          <cell r="D65" t="str">
            <v>:  M3</v>
          </cell>
          <cell r="J65" t="str">
            <v xml:space="preserve">         URAIAN ANALISA HARGA SATUAN</v>
          </cell>
        </row>
        <row r="66">
          <cell r="J66" t="str">
            <v>Lanjutan</v>
          </cell>
        </row>
        <row r="68">
          <cell r="A68" t="str">
            <v>No.</v>
          </cell>
          <cell r="C68" t="str">
            <v>U R A I A N</v>
          </cell>
          <cell r="G68" t="str">
            <v>KODE</v>
          </cell>
          <cell r="H68" t="str">
            <v>KOEF.</v>
          </cell>
          <cell r="I68" t="str">
            <v>SATUAN</v>
          </cell>
          <cell r="J68" t="str">
            <v>KETERANGAN</v>
          </cell>
        </row>
        <row r="71">
          <cell r="C71" t="str">
            <v>Kapasitas Produksi / Jam   =</v>
          </cell>
          <cell r="E71" t="str">
            <v>V x Fa x 60</v>
          </cell>
          <cell r="G71" t="str">
            <v>Q2</v>
          </cell>
          <cell r="H71">
            <v>5.888557326723876</v>
          </cell>
          <cell r="I71" t="str">
            <v>M3</v>
          </cell>
        </row>
        <row r="72">
          <cell r="E72" t="str">
            <v xml:space="preserve">    Fk x Ts2</v>
          </cell>
        </row>
        <row r="75">
          <cell r="C75" t="str">
            <v>Koefisien Alat / M3</v>
          </cell>
          <cell r="D75" t="str">
            <v xml:space="preserve"> =  1  :  Q2</v>
          </cell>
          <cell r="G75" t="str">
            <v>-</v>
          </cell>
          <cell r="H75">
            <v>0.16982088218140085</v>
          </cell>
          <cell r="I75" t="str">
            <v>Jam</v>
          </cell>
        </row>
        <row r="78">
          <cell r="A78" t="str">
            <v>2.d.</v>
          </cell>
          <cell r="C78" t="str">
            <v>ALAT  BANTU</v>
          </cell>
        </row>
        <row r="79">
          <cell r="C79" t="str">
            <v>Diperlukan alat-alat bantu kecil</v>
          </cell>
          <cell r="J79" t="str">
            <v>Lump Sump</v>
          </cell>
        </row>
        <row r="80">
          <cell r="C80" t="str">
            <v>- Sekop</v>
          </cell>
        </row>
        <row r="81">
          <cell r="C81" t="str">
            <v>- Keranjang + Sapu</v>
          </cell>
        </row>
        <row r="83">
          <cell r="A83" t="str">
            <v xml:space="preserve">   3.</v>
          </cell>
          <cell r="C83" t="str">
            <v>TENAGA</v>
          </cell>
        </row>
        <row r="84">
          <cell r="C84" t="str">
            <v>Produksi menentukan : EXCAVATOR</v>
          </cell>
          <cell r="G84" t="str">
            <v>Q1</v>
          </cell>
          <cell r="H84">
            <v>109.5757097791798</v>
          </cell>
          <cell r="I84" t="str">
            <v>M3/Jam</v>
          </cell>
        </row>
        <row r="85">
          <cell r="C85" t="str">
            <v>Produksi Galian / hari  =  Tk x Q1</v>
          </cell>
          <cell r="G85" t="str">
            <v>Qt</v>
          </cell>
          <cell r="H85">
            <v>767.02996845425866</v>
          </cell>
          <cell r="I85" t="str">
            <v>M3</v>
          </cell>
        </row>
        <row r="86">
          <cell r="C86" t="str">
            <v>Kebutuhan tenaga :</v>
          </cell>
        </row>
        <row r="87">
          <cell r="D87" t="str">
            <v>- Pekerja</v>
          </cell>
          <cell r="G87" t="str">
            <v>P</v>
          </cell>
          <cell r="H87">
            <v>4</v>
          </cell>
          <cell r="I87" t="str">
            <v>orang</v>
          </cell>
        </row>
        <row r="88">
          <cell r="D88" t="str">
            <v>- Mandor</v>
          </cell>
          <cell r="G88" t="str">
            <v>M</v>
          </cell>
          <cell r="H88">
            <v>1</v>
          </cell>
          <cell r="I88" t="str">
            <v>orang</v>
          </cell>
        </row>
        <row r="90">
          <cell r="C90" t="str">
            <v>Koefisien tenaga / M3   :</v>
          </cell>
        </row>
        <row r="91">
          <cell r="D91" t="str">
            <v>- Pekerja</v>
          </cell>
          <cell r="E91" t="str">
            <v>= (Tk x P) : Qt</v>
          </cell>
          <cell r="G91" t="str">
            <v>(L01)</v>
          </cell>
          <cell r="H91">
            <v>3.6504440701875605E-2</v>
          </cell>
          <cell r="I91" t="str">
            <v>Jam</v>
          </cell>
        </row>
        <row r="92">
          <cell r="D92" t="str">
            <v>- Mandor</v>
          </cell>
          <cell r="E92" t="str">
            <v>= (Tk x M) : Qt</v>
          </cell>
          <cell r="G92" t="str">
            <v>(L03)</v>
          </cell>
          <cell r="H92">
            <v>9.1261101754689013E-3</v>
          </cell>
          <cell r="I92" t="str">
            <v>Jam</v>
          </cell>
        </row>
        <row r="94">
          <cell r="A94" t="str">
            <v>4.</v>
          </cell>
          <cell r="C94" t="str">
            <v>HARGA DASAR SATUAN UPAH, BAHAN DAN ALAT</v>
          </cell>
        </row>
        <row r="95">
          <cell r="C95" t="str">
            <v>Lihat lampiran.</v>
          </cell>
        </row>
        <row r="97">
          <cell r="A97" t="str">
            <v>5.</v>
          </cell>
          <cell r="C97" t="str">
            <v>ANALISA HARGA SATUAN PEKERJAAN</v>
          </cell>
        </row>
        <row r="98">
          <cell r="C98" t="str">
            <v>Lihat perhitungan dalam FORMULIR STANDAR UNTUK</v>
          </cell>
        </row>
        <row r="99">
          <cell r="C99" t="str">
            <v>PEREKEMAN ANALISA MASING-MASING HARGA</v>
          </cell>
        </row>
        <row r="100">
          <cell r="C100" t="str">
            <v>SATUAN.</v>
          </cell>
        </row>
        <row r="101">
          <cell r="C101" t="str">
            <v>Didapat Harga Satuan Pekerjaan :</v>
          </cell>
        </row>
        <row r="103">
          <cell r="C103" t="str">
            <v xml:space="preserve">Rp.  </v>
          </cell>
          <cell r="D103">
            <v>32339.519957085515</v>
          </cell>
          <cell r="E103" t="str">
            <v xml:space="preserve"> / M3</v>
          </cell>
        </row>
        <row r="106">
          <cell r="A106" t="str">
            <v>6.</v>
          </cell>
          <cell r="C106" t="str">
            <v>WAKTU PELAKSANAAN YANG DIPERLUKAN</v>
          </cell>
        </row>
        <row r="107">
          <cell r="C107" t="str">
            <v>Masa Pelaksanaan :</v>
          </cell>
          <cell r="D107" t="str">
            <v>. . . . . . . . . . . .</v>
          </cell>
          <cell r="E107" t="str">
            <v>bulan</v>
          </cell>
        </row>
        <row r="109">
          <cell r="A109" t="str">
            <v>7.</v>
          </cell>
          <cell r="C109" t="str">
            <v>VOLUME PEKERJAAN YANG DIPERLUKAN</v>
          </cell>
        </row>
        <row r="110">
          <cell r="C110" t="str">
            <v>Volume pekerjaan  :</v>
          </cell>
          <cell r="D110">
            <v>1</v>
          </cell>
          <cell r="E110" t="str">
            <v>M3</v>
          </cell>
        </row>
        <row r="121">
          <cell r="T121" t="str">
            <v xml:space="preserve">Analisa LI-22 </v>
          </cell>
        </row>
        <row r="123">
          <cell r="A123" t="str">
            <v>ITEM PEMBAYARAN NO.</v>
          </cell>
          <cell r="D123" t="str">
            <v>:  2.2</v>
          </cell>
          <cell r="E123" t="str">
            <v>oke</v>
          </cell>
          <cell r="J123" t="str">
            <v xml:space="preserve">Analisa EI-22 </v>
          </cell>
        </row>
        <row r="124">
          <cell r="A124" t="str">
            <v>JENIS PEKERJAAN</v>
          </cell>
          <cell r="D124" t="str">
            <v>:  Pasangan Batu Dengan Mortar untuk Saluran</v>
          </cell>
          <cell r="L124" t="str">
            <v>FORMULIR STANDAR UNTUK</v>
          </cell>
        </row>
        <row r="125">
          <cell r="A125" t="str">
            <v>SATUAN PEMBAYARAN</v>
          </cell>
          <cell r="D125" t="str">
            <v>:  M3</v>
          </cell>
          <cell r="J125" t="str">
            <v xml:space="preserve">         URAIAN ANALISA HARGA SATUAN</v>
          </cell>
          <cell r="L125" t="str">
            <v>PEREKAMAN ANALISA MASING-MASING HARGA SATUAN</v>
          </cell>
        </row>
        <row r="126">
          <cell r="L126" t="str">
            <v/>
          </cell>
        </row>
        <row r="128">
          <cell r="A128" t="str">
            <v>No.</v>
          </cell>
          <cell r="C128" t="str">
            <v>U R A I A N</v>
          </cell>
          <cell r="G128" t="str">
            <v>KODE</v>
          </cell>
          <cell r="H128" t="str">
            <v>KOEF.</v>
          </cell>
          <cell r="I128" t="str">
            <v>SATUAN</v>
          </cell>
          <cell r="J128" t="str">
            <v>KETERANGAN</v>
          </cell>
        </row>
        <row r="129">
          <cell r="L129" t="str">
            <v>PROYEK</v>
          </cell>
          <cell r="O129" t="str">
            <v>:</v>
          </cell>
        </row>
        <row r="130">
          <cell r="L130" t="str">
            <v>No. PAKET KONTRAK</v>
          </cell>
          <cell r="O130" t="str">
            <v>:</v>
          </cell>
        </row>
        <row r="131">
          <cell r="A131" t="str">
            <v>I.</v>
          </cell>
          <cell r="C131" t="str">
            <v>ASUMSI</v>
          </cell>
          <cell r="L131" t="str">
            <v>NAMA PAKET</v>
          </cell>
          <cell r="O131" t="str">
            <v>:</v>
          </cell>
        </row>
        <row r="132">
          <cell r="A132">
            <v>1</v>
          </cell>
          <cell r="C132" t="str">
            <v>Menggunakan alat (cara mekanik)</v>
          </cell>
          <cell r="L132" t="str">
            <v>PROP / KAB / KODYA</v>
          </cell>
          <cell r="O132" t="str">
            <v>:</v>
          </cell>
        </row>
        <row r="133">
          <cell r="A133">
            <v>2</v>
          </cell>
          <cell r="C133" t="str">
            <v>Lokasi pekerjaan : sepanjang jalan</v>
          </cell>
          <cell r="L133" t="str">
            <v>ITEM PEMBAYARAN NO.</v>
          </cell>
          <cell r="O133" t="str">
            <v>:  2.2</v>
          </cell>
          <cell r="R133" t="str">
            <v>PERKIRAAN VOL. PEK.</v>
          </cell>
          <cell r="T133" t="str">
            <v>:</v>
          </cell>
          <cell r="U133">
            <v>1</v>
          </cell>
        </row>
        <row r="134">
          <cell r="A134">
            <v>3</v>
          </cell>
          <cell r="C134" t="str">
            <v>Bahan dasar (batu, pasir dan semen) diterima</v>
          </cell>
          <cell r="L134" t="str">
            <v>JENIS PEKERJAAN</v>
          </cell>
          <cell r="O134" t="str">
            <v>:  Pasangan Batu Dengan Mortar untuk Saluran</v>
          </cell>
          <cell r="R134" t="str">
            <v>TOTAL HARGA (Rp.)</v>
          </cell>
          <cell r="T134" t="str">
            <v>:</v>
          </cell>
          <cell r="U134">
            <v>32339.52</v>
          </cell>
        </row>
        <row r="135">
          <cell r="C135" t="str">
            <v>seluruhnya di lokasi pekerjaan</v>
          </cell>
          <cell r="L135" t="str">
            <v>SATUAN PEMBAYARAN</v>
          </cell>
          <cell r="O135" t="str">
            <v>:  M3</v>
          </cell>
          <cell r="R135" t="str">
            <v>% THD. BIAYA PROYEK</v>
          </cell>
          <cell r="T135" t="str">
            <v>:</v>
          </cell>
          <cell r="U135" t="e">
            <v>#DIV/0!</v>
          </cell>
        </row>
        <row r="136">
          <cell r="A136">
            <v>4</v>
          </cell>
          <cell r="C136" t="str">
            <v>Jarak rata-rata Base camp ke lokasi pekerjaan</v>
          </cell>
          <cell r="G136" t="str">
            <v>L</v>
          </cell>
          <cell r="H136">
            <v>8.7249999999999996</v>
          </cell>
          <cell r="I136" t="str">
            <v>KM</v>
          </cell>
        </row>
        <row r="137">
          <cell r="A137">
            <v>5</v>
          </cell>
          <cell r="C137" t="str">
            <v>Jam kerja efektif per-hari</v>
          </cell>
          <cell r="G137" t="str">
            <v>Tk</v>
          </cell>
          <cell r="H137">
            <v>7</v>
          </cell>
          <cell r="I137" t="str">
            <v>jam</v>
          </cell>
        </row>
        <row r="138">
          <cell r="A138">
            <v>6</v>
          </cell>
          <cell r="C138" t="str">
            <v>Perbandingan Pasir &amp; Semen</v>
          </cell>
          <cell r="E138" t="str">
            <v>: - Volume Semen</v>
          </cell>
          <cell r="G138" t="str">
            <v>Sm</v>
          </cell>
          <cell r="H138">
            <v>20</v>
          </cell>
          <cell r="I138" t="str">
            <v>%</v>
          </cell>
          <cell r="J138" t="str">
            <v xml:space="preserve"> Kuat Tekan min.</v>
          </cell>
          <cell r="Q138" t="str">
            <v>PERKIRAAN</v>
          </cell>
          <cell r="R138" t="str">
            <v>HARGA</v>
          </cell>
          <cell r="S138" t="str">
            <v>JUMLAH</v>
          </cell>
        </row>
        <row r="139">
          <cell r="E139" t="str">
            <v>: - Volume Pasir</v>
          </cell>
          <cell r="G139" t="str">
            <v>Ps</v>
          </cell>
          <cell r="H139">
            <v>80</v>
          </cell>
          <cell r="I139" t="str">
            <v>%</v>
          </cell>
          <cell r="J139" t="str">
            <v xml:space="preserve"> 50 kg/cm2</v>
          </cell>
          <cell r="L139" t="str">
            <v>NO.</v>
          </cell>
          <cell r="N139" t="str">
            <v>KOMPONEN</v>
          </cell>
          <cell r="P139" t="str">
            <v>SATUAN</v>
          </cell>
          <cell r="Q139" t="str">
            <v>KUANTITAS</v>
          </cell>
          <cell r="R139" t="str">
            <v>SATUAN</v>
          </cell>
          <cell r="S139" t="str">
            <v>HARGA</v>
          </cell>
        </row>
        <row r="140">
          <cell r="A140">
            <v>7</v>
          </cell>
          <cell r="C140" t="str">
            <v>Perbandingan Batu &amp; Mortar  :</v>
          </cell>
          <cell r="R140" t="str">
            <v>(Rp.)</v>
          </cell>
          <cell r="S140" t="str">
            <v>(Rp.)</v>
          </cell>
        </row>
        <row r="141">
          <cell r="C141" t="str">
            <v>- Batu</v>
          </cell>
          <cell r="G141" t="str">
            <v>Bt</v>
          </cell>
          <cell r="H141">
            <v>60</v>
          </cell>
          <cell r="I141" t="str">
            <v>%</v>
          </cell>
        </row>
        <row r="142">
          <cell r="C142" t="str">
            <v>- Mortar (campuran semen &amp; pasir)</v>
          </cell>
          <cell r="G142" t="str">
            <v>Mr</v>
          </cell>
          <cell r="H142">
            <v>40</v>
          </cell>
          <cell r="I142" t="str">
            <v>%</v>
          </cell>
        </row>
        <row r="143">
          <cell r="A143">
            <v>8</v>
          </cell>
          <cell r="C143" t="str">
            <v>Berat Jenis Bahan  :</v>
          </cell>
          <cell r="L143" t="str">
            <v>A.</v>
          </cell>
          <cell r="N143" t="str">
            <v>TENAGA</v>
          </cell>
        </row>
        <row r="144">
          <cell r="C144" t="str">
            <v>- Pasangan Batu Dengan Mortar</v>
          </cell>
          <cell r="G144" t="str">
            <v>D1</v>
          </cell>
          <cell r="H144">
            <v>2.4</v>
          </cell>
          <cell r="I144" t="str">
            <v>ton/M3</v>
          </cell>
        </row>
        <row r="145">
          <cell r="C145" t="str">
            <v>- Batu</v>
          </cell>
          <cell r="G145" t="str">
            <v>D2</v>
          </cell>
          <cell r="H145">
            <v>1.6</v>
          </cell>
          <cell r="I145" t="str">
            <v>ton/M3</v>
          </cell>
          <cell r="L145" t="str">
            <v>1.</v>
          </cell>
          <cell r="N145" t="str">
            <v>Pekerja</v>
          </cell>
          <cell r="O145" t="str">
            <v>(L01)</v>
          </cell>
          <cell r="P145" t="str">
            <v>jam</v>
          </cell>
          <cell r="Q145">
            <v>5.2208835341365463</v>
          </cell>
          <cell r="R145">
            <v>2857.14</v>
          </cell>
          <cell r="U145">
            <v>14916.795180722891</v>
          </cell>
        </row>
        <row r="146">
          <cell r="C146" t="str">
            <v>- Adukan (mortar)</v>
          </cell>
          <cell r="G146" t="str">
            <v>D3</v>
          </cell>
          <cell r="H146">
            <v>1.8</v>
          </cell>
          <cell r="I146" t="str">
            <v>ton/M3</v>
          </cell>
          <cell r="L146" t="str">
            <v>2.</v>
          </cell>
          <cell r="N146" t="str">
            <v>Tukang Batu</v>
          </cell>
          <cell r="O146" t="str">
            <v>(L02)</v>
          </cell>
          <cell r="P146" t="str">
            <v>jam</v>
          </cell>
          <cell r="Q146">
            <v>1.5662650602409638</v>
          </cell>
          <cell r="R146">
            <v>4285.71</v>
          </cell>
          <cell r="U146">
            <v>6712.5578313253009</v>
          </cell>
        </row>
        <row r="147">
          <cell r="C147" t="str">
            <v>- Pasir</v>
          </cell>
          <cell r="G147" t="str">
            <v>D4</v>
          </cell>
          <cell r="H147">
            <v>1.67</v>
          </cell>
          <cell r="I147" t="str">
            <v>ton/M3</v>
          </cell>
          <cell r="L147" t="str">
            <v>3.</v>
          </cell>
          <cell r="N147" t="str">
            <v>Mandor</v>
          </cell>
          <cell r="O147" t="str">
            <v>(L03)</v>
          </cell>
          <cell r="P147" t="str">
            <v>jam</v>
          </cell>
          <cell r="Q147">
            <v>0.52208835341365456</v>
          </cell>
          <cell r="R147">
            <v>3214.29</v>
          </cell>
          <cell r="U147">
            <v>1678.1433734939758</v>
          </cell>
        </row>
        <row r="148">
          <cell r="C148" t="str">
            <v>- Semen Portland</v>
          </cell>
          <cell r="G148" t="str">
            <v>D5</v>
          </cell>
          <cell r="H148">
            <v>1.44</v>
          </cell>
          <cell r="I148" t="str">
            <v>ton/M3</v>
          </cell>
        </row>
        <row r="149">
          <cell r="Q149" t="str">
            <v xml:space="preserve">JUMLAH HARGA TENAGA   </v>
          </cell>
          <cell r="U149">
            <v>23307.496385542167</v>
          </cell>
        </row>
        <row r="150">
          <cell r="A150" t="str">
            <v>II.</v>
          </cell>
          <cell r="C150" t="str">
            <v>URUTAN KERJA</v>
          </cell>
        </row>
        <row r="151">
          <cell r="A151">
            <v>1</v>
          </cell>
          <cell r="C151" t="str">
            <v>Semen, pasir dan air dicampur dan diaduk menjadi</v>
          </cell>
          <cell r="L151" t="str">
            <v>B.</v>
          </cell>
          <cell r="N151" t="str">
            <v>BAHAN</v>
          </cell>
        </row>
        <row r="152">
          <cell r="C152" t="str">
            <v>mortar dengan menggunakan alat bantu</v>
          </cell>
        </row>
        <row r="153">
          <cell r="A153">
            <v>2</v>
          </cell>
          <cell r="C153" t="str">
            <v>Batu dibersihkan dan dibasahi seluruh permukaannya</v>
          </cell>
          <cell r="L153" t="str">
            <v>1.</v>
          </cell>
          <cell r="N153" t="str">
            <v>Batu</v>
          </cell>
          <cell r="O153" t="str">
            <v>(M02)</v>
          </cell>
          <cell r="P153" t="str">
            <v>M3</v>
          </cell>
          <cell r="Q153">
            <v>1.08</v>
          </cell>
          <cell r="R153">
            <v>166100</v>
          </cell>
          <cell r="U153">
            <v>179388</v>
          </cell>
        </row>
        <row r="154">
          <cell r="C154" t="str">
            <v>sebelum dipasang</v>
          </cell>
          <cell r="L154" t="str">
            <v>2.</v>
          </cell>
          <cell r="N154" t="str">
            <v>Semen (PC)</v>
          </cell>
          <cell r="O154" t="str">
            <v>(M12)</v>
          </cell>
          <cell r="P154" t="str">
            <v>zak</v>
          </cell>
          <cell r="Q154">
            <v>161</v>
          </cell>
          <cell r="R154">
            <v>688.65625</v>
          </cell>
          <cell r="U154">
            <v>110873.65625</v>
          </cell>
        </row>
        <row r="155">
          <cell r="A155">
            <v>3</v>
          </cell>
          <cell r="C155" t="str">
            <v>Penyelesaian dan perapihan setelah pemasangan</v>
          </cell>
          <cell r="L155" t="str">
            <v>3.</v>
          </cell>
          <cell r="N155" t="str">
            <v>Pasir</v>
          </cell>
          <cell r="O155" t="str">
            <v>(M01)</v>
          </cell>
          <cell r="P155" t="str">
            <v>M3</v>
          </cell>
          <cell r="Q155">
            <v>0.48287425149700602</v>
          </cell>
          <cell r="R155">
            <v>54300</v>
          </cell>
          <cell r="U155">
            <v>26220.071856287428</v>
          </cell>
        </row>
        <row r="157">
          <cell r="A157" t="str">
            <v>III.</v>
          </cell>
          <cell r="C157" t="str">
            <v>PEMAKAIAN BAHAN, ALAT DAN TENAGA</v>
          </cell>
        </row>
        <row r="159">
          <cell r="A159" t="str">
            <v xml:space="preserve">   1.</v>
          </cell>
          <cell r="C159" t="str">
            <v>BAHAN</v>
          </cell>
        </row>
        <row r="160">
          <cell r="A160" t="str">
            <v>1.a.</v>
          </cell>
          <cell r="C160" t="str">
            <v>Batu     -----&gt;</v>
          </cell>
          <cell r="D160" t="str">
            <v>{(Bt x D1 x 1 M3) : D2} x 1.20</v>
          </cell>
          <cell r="G160" t="str">
            <v>(M02)</v>
          </cell>
          <cell r="H160">
            <v>1.08</v>
          </cell>
          <cell r="I160" t="str">
            <v>M3</v>
          </cell>
          <cell r="J160" t="str">
            <v xml:space="preserve"> Lepas</v>
          </cell>
          <cell r="Q160" t="str">
            <v xml:space="preserve">JUMLAH HARGA BAHAN   </v>
          </cell>
          <cell r="U160">
            <v>316481.72810628742</v>
          </cell>
        </row>
        <row r="161">
          <cell r="A161" t="str">
            <v>1.b.</v>
          </cell>
          <cell r="C161" t="str">
            <v>Semen    ----&gt;</v>
          </cell>
          <cell r="D161" t="str">
            <v>Sm x {(Mr x D1 x 1 M3} : D3} x 1.05</v>
          </cell>
          <cell r="H161">
            <v>0.11200000000000002</v>
          </cell>
          <cell r="I161" t="str">
            <v>M3</v>
          </cell>
        </row>
        <row r="162">
          <cell r="D162" t="str">
            <v>x {D5 x (1000)}</v>
          </cell>
          <cell r="G162" t="str">
            <v>(M12)</v>
          </cell>
          <cell r="H162">
            <v>161</v>
          </cell>
          <cell r="I162" t="str">
            <v>Kg</v>
          </cell>
          <cell r="L162" t="str">
            <v>C.</v>
          </cell>
          <cell r="N162" t="str">
            <v>PERALATAN</v>
          </cell>
        </row>
        <row r="163">
          <cell r="A163" t="str">
            <v>1.c.</v>
          </cell>
          <cell r="C163" t="str">
            <v>Pasir    -----&gt;</v>
          </cell>
          <cell r="D163" t="str">
            <v>Ps x {(Mr x D1 x 1 M3) : D4} x 1.05</v>
          </cell>
          <cell r="G163" t="str">
            <v>(M01)</v>
          </cell>
          <cell r="H163">
            <v>0.48287425149700602</v>
          </cell>
          <cell r="I163" t="str">
            <v>M3</v>
          </cell>
        </row>
        <row r="164">
          <cell r="L164" t="str">
            <v>1.</v>
          </cell>
          <cell r="N164" t="str">
            <v>Conc. Mixer</v>
          </cell>
          <cell r="O164" t="str">
            <v>(E06)</v>
          </cell>
          <cell r="P164" t="str">
            <v>jam</v>
          </cell>
          <cell r="Q164">
            <v>0.52208835341365456</v>
          </cell>
          <cell r="R164">
            <v>47472.058636363639</v>
          </cell>
          <cell r="U164">
            <v>24784.60892661555</v>
          </cell>
        </row>
        <row r="165">
          <cell r="A165" t="str">
            <v>2.</v>
          </cell>
          <cell r="C165" t="str">
            <v>ALAT</v>
          </cell>
          <cell r="L165" t="str">
            <v>2.</v>
          </cell>
          <cell r="N165" t="str">
            <v>Alat Bantu</v>
          </cell>
          <cell r="P165" t="str">
            <v>Ls</v>
          </cell>
          <cell r="Q165">
            <v>1</v>
          </cell>
          <cell r="R165">
            <v>900</v>
          </cell>
          <cell r="U165">
            <v>900</v>
          </cell>
        </row>
        <row r="166">
          <cell r="A166" t="str">
            <v>2.a.</v>
          </cell>
          <cell r="C166" t="str">
            <v>CONCRETE MIXER</v>
          </cell>
          <cell r="G166" t="str">
            <v>(E06)</v>
          </cell>
        </row>
        <row r="167">
          <cell r="C167" t="str">
            <v>Kapasitas Alat</v>
          </cell>
          <cell r="G167" t="str">
            <v>V</v>
          </cell>
          <cell r="H167">
            <v>500</v>
          </cell>
          <cell r="I167" t="str">
            <v>Liter</v>
          </cell>
        </row>
        <row r="168">
          <cell r="C168" t="str">
            <v>Faktor Efisiensi Alat</v>
          </cell>
          <cell r="G168" t="str">
            <v>Fa</v>
          </cell>
          <cell r="H168">
            <v>0.83</v>
          </cell>
          <cell r="I168" t="str">
            <v>-</v>
          </cell>
        </row>
        <row r="169">
          <cell r="C169" t="str">
            <v>Waktu siklus   :</v>
          </cell>
          <cell r="D169" t="str">
            <v>(T1 + T2 + T3 + T4)</v>
          </cell>
        </row>
        <row r="170">
          <cell r="C170" t="str">
            <v>-  Memuat</v>
          </cell>
          <cell r="G170" t="str">
            <v>T1</v>
          </cell>
          <cell r="H170">
            <v>5</v>
          </cell>
          <cell r="I170" t="str">
            <v>menit</v>
          </cell>
        </row>
        <row r="171">
          <cell r="C171" t="str">
            <v>-  Mengaduk</v>
          </cell>
          <cell r="G171" t="str">
            <v>T2</v>
          </cell>
          <cell r="H171">
            <v>3.5</v>
          </cell>
          <cell r="I171" t="str">
            <v>menit</v>
          </cell>
          <cell r="Q171" t="str">
            <v xml:space="preserve">JUMLAH HARGA PERALATAN   </v>
          </cell>
          <cell r="U171">
            <v>25684.60892661555</v>
          </cell>
        </row>
        <row r="172">
          <cell r="C172" t="str">
            <v>-  Menuang</v>
          </cell>
          <cell r="G172" t="str">
            <v>T3</v>
          </cell>
          <cell r="H172">
            <v>3</v>
          </cell>
          <cell r="I172" t="str">
            <v>menit</v>
          </cell>
        </row>
        <row r="173">
          <cell r="C173" t="str">
            <v>-  Menunggu, dll.</v>
          </cell>
          <cell r="G173" t="str">
            <v>T4</v>
          </cell>
          <cell r="H173">
            <v>1.5</v>
          </cell>
          <cell r="I173" t="str">
            <v>menit</v>
          </cell>
          <cell r="L173" t="str">
            <v>D.</v>
          </cell>
          <cell r="N173" t="str">
            <v>JUMLAH HARGA TENAGA, BAHAN DAN PERALATAN  ( A + B + C )</v>
          </cell>
          <cell r="U173">
            <v>365473.83341844514</v>
          </cell>
        </row>
        <row r="174">
          <cell r="G174" t="str">
            <v>Ts1</v>
          </cell>
          <cell r="H174">
            <v>13</v>
          </cell>
          <cell r="I174" t="str">
            <v>menit</v>
          </cell>
          <cell r="L174" t="str">
            <v>E.</v>
          </cell>
          <cell r="N174" t="str">
            <v>OVERHEAD &amp; PROFIT</v>
          </cell>
          <cell r="P174">
            <v>10</v>
          </cell>
          <cell r="Q174" t="str">
            <v>%  x  D</v>
          </cell>
          <cell r="U174">
            <v>36547.383341844514</v>
          </cell>
        </row>
        <row r="175">
          <cell r="L175" t="str">
            <v>F.</v>
          </cell>
          <cell r="N175" t="str">
            <v>HARGA SATUAN PEKERJAAN  ( D + E )</v>
          </cell>
          <cell r="U175">
            <v>402021.21676028962</v>
          </cell>
        </row>
        <row r="176">
          <cell r="C176" t="str">
            <v>Kap. Prod. / jam  =</v>
          </cell>
          <cell r="D176" t="str">
            <v>V x Fa x 60</v>
          </cell>
          <cell r="G176" t="str">
            <v>Q1</v>
          </cell>
          <cell r="H176">
            <v>1.9153846153846155</v>
          </cell>
          <cell r="I176" t="str">
            <v>M3</v>
          </cell>
          <cell r="L176" t="str">
            <v>Note: 1</v>
          </cell>
          <cell r="N176" t="str">
            <v>SATUAN dapat berdasarkan atas jam operasi untuk Tenaga Kerja dan Peralatan, volume dan/atau ukuran</v>
          </cell>
        </row>
        <row r="177">
          <cell r="D177" t="str">
            <v>1000 x Ts1</v>
          </cell>
          <cell r="N177" t="str">
            <v>berat untuk bahan-bahan.</v>
          </cell>
        </row>
        <row r="178">
          <cell r="L178">
            <v>2</v>
          </cell>
          <cell r="N178" t="str">
            <v>Kuantitas satuan adalah kuantitas setiap komponen untuk menyelesaikan satu satuan pekerjaan dari nomor</v>
          </cell>
        </row>
        <row r="179">
          <cell r="C179" t="str">
            <v>Koefisien Alat / M3</v>
          </cell>
          <cell r="D179" t="str">
            <v xml:space="preserve">  =   1  :  Q1</v>
          </cell>
          <cell r="G179" t="str">
            <v>(E06)</v>
          </cell>
          <cell r="H179">
            <v>0.52208835341365456</v>
          </cell>
          <cell r="I179" t="str">
            <v>jam</v>
          </cell>
          <cell r="N179" t="str">
            <v>mata pembayaran.</v>
          </cell>
        </row>
        <row r="180">
          <cell r="L180">
            <v>3</v>
          </cell>
          <cell r="N180" t="str">
            <v>Biaya satuan untuk peralatan sudah termasuk bahan bakar, bahan habis dipakai dan operator.</v>
          </cell>
        </row>
        <row r="181">
          <cell r="L181">
            <v>4</v>
          </cell>
          <cell r="N181" t="str">
            <v>Biaya satuan sudah termasuk pengeluaran untuk seluruh pajak yang berkaitan (tetapi tidak termasuk PPN</v>
          </cell>
        </row>
        <row r="182">
          <cell r="N182" t="str">
            <v>yang dibayar dari kontrak) dan biaya-biaya lainnya.</v>
          </cell>
        </row>
        <row r="183">
          <cell r="J183" t="str">
            <v>Berlanjut ke halaman berikut</v>
          </cell>
        </row>
        <row r="184">
          <cell r="A184" t="str">
            <v>ITEM PEMBAYARAN NO.</v>
          </cell>
          <cell r="D184" t="str">
            <v>:  2.2</v>
          </cell>
          <cell r="J184" t="str">
            <v xml:space="preserve">Analisa EI-22 </v>
          </cell>
        </row>
        <row r="185">
          <cell r="A185" t="str">
            <v>JENIS PEKERJAAN</v>
          </cell>
          <cell r="D185" t="str">
            <v>:  Pasangan Batu Dengan Mortar untuk Saluran</v>
          </cell>
        </row>
        <row r="186">
          <cell r="A186" t="str">
            <v>SATUAN PEMBAYARAN</v>
          </cell>
          <cell r="D186" t="str">
            <v>:  M3</v>
          </cell>
          <cell r="J186" t="str">
            <v xml:space="preserve">         URAIAN ANALISA HARGA SATUAN</v>
          </cell>
        </row>
        <row r="187">
          <cell r="J187" t="str">
            <v>Lanjutan</v>
          </cell>
        </row>
        <row r="189">
          <cell r="A189" t="str">
            <v>No.</v>
          </cell>
          <cell r="C189" t="str">
            <v>U R A I A N</v>
          </cell>
          <cell r="G189" t="str">
            <v>KODE</v>
          </cell>
          <cell r="H189" t="str">
            <v>KOEF.</v>
          </cell>
          <cell r="I189" t="str">
            <v>SATUAN</v>
          </cell>
          <cell r="J189" t="str">
            <v>KETERANGAN</v>
          </cell>
        </row>
        <row r="193">
          <cell r="A193" t="str">
            <v>2.a.</v>
          </cell>
          <cell r="C193" t="str">
            <v>ALAT BANTU</v>
          </cell>
          <cell r="I193" t="str">
            <v>Lump Sum</v>
          </cell>
        </row>
        <row r="194">
          <cell r="C194" t="str">
            <v>Diperlukan  :</v>
          </cell>
        </row>
        <row r="195">
          <cell r="C195" t="str">
            <v>- Sekop</v>
          </cell>
          <cell r="D195" t="str">
            <v>=  4  buah</v>
          </cell>
        </row>
        <row r="196">
          <cell r="C196" t="str">
            <v>- Pacul</v>
          </cell>
          <cell r="D196" t="str">
            <v>=  4  buah</v>
          </cell>
        </row>
        <row r="197">
          <cell r="C197" t="str">
            <v>- Sendok Semen</v>
          </cell>
          <cell r="D197" t="str">
            <v>=  4  buah</v>
          </cell>
        </row>
        <row r="198">
          <cell r="C198" t="str">
            <v>- Ember Cor</v>
          </cell>
          <cell r="D198" t="str">
            <v>=  8  buah</v>
          </cell>
        </row>
        <row r="199">
          <cell r="C199" t="str">
            <v>- Gerobak Dorong</v>
          </cell>
          <cell r="D199" t="str">
            <v>=  3  buah</v>
          </cell>
        </row>
        <row r="203">
          <cell r="A203" t="str">
            <v>3.</v>
          </cell>
          <cell r="C203" t="str">
            <v>TENAGA</v>
          </cell>
        </row>
        <row r="204">
          <cell r="C204" t="str">
            <v>Produksi Pas. Batu yang menentukan</v>
          </cell>
          <cell r="E204" t="str">
            <v>( Prod. C. Mixer )</v>
          </cell>
          <cell r="G204" t="str">
            <v>Q1</v>
          </cell>
          <cell r="H204">
            <v>1.9153846153846155</v>
          </cell>
          <cell r="I204" t="str">
            <v>M3/Jam</v>
          </cell>
        </row>
        <row r="205">
          <cell r="C205" t="str">
            <v>Produksi Pasangan Batu dalam 1 hari  =  Tk x Q1</v>
          </cell>
          <cell r="G205" t="str">
            <v>Qt</v>
          </cell>
          <cell r="H205">
            <v>13.407692307692308</v>
          </cell>
          <cell r="I205" t="str">
            <v>M3</v>
          </cell>
        </row>
        <row r="207">
          <cell r="C207" t="str">
            <v>Kebutuhan tenaga :</v>
          </cell>
          <cell r="D207" t="str">
            <v>- Mandor</v>
          </cell>
          <cell r="G207" t="str">
            <v>M</v>
          </cell>
          <cell r="H207">
            <v>1</v>
          </cell>
          <cell r="I207" t="str">
            <v>orang</v>
          </cell>
        </row>
        <row r="208">
          <cell r="D208" t="str">
            <v>- Tukang Batu</v>
          </cell>
          <cell r="G208" t="str">
            <v>Tb</v>
          </cell>
          <cell r="H208">
            <v>3</v>
          </cell>
          <cell r="I208" t="str">
            <v>orang</v>
          </cell>
        </row>
        <row r="209">
          <cell r="D209" t="str">
            <v>- Pekerja</v>
          </cell>
          <cell r="G209" t="str">
            <v>P</v>
          </cell>
          <cell r="H209">
            <v>10</v>
          </cell>
          <cell r="I209" t="str">
            <v>orang</v>
          </cell>
        </row>
        <row r="211">
          <cell r="C211" t="str">
            <v>Koefisien Tenaga / M3   :</v>
          </cell>
        </row>
        <row r="212">
          <cell r="D212" t="str">
            <v>-  Mandor</v>
          </cell>
          <cell r="E212" t="str">
            <v>= (Tk x M) : Qt</v>
          </cell>
          <cell r="G212" t="str">
            <v>(L03)</v>
          </cell>
          <cell r="H212">
            <v>0.52208835341365456</v>
          </cell>
          <cell r="I212" t="str">
            <v>jam</v>
          </cell>
        </row>
        <row r="213">
          <cell r="D213" t="str">
            <v>-  Tukang</v>
          </cell>
          <cell r="E213" t="str">
            <v>= (Tk x Tb) : Qt</v>
          </cell>
          <cell r="G213" t="str">
            <v>(L02)</v>
          </cell>
          <cell r="H213">
            <v>1.5662650602409638</v>
          </cell>
          <cell r="I213" t="str">
            <v>jam</v>
          </cell>
        </row>
        <row r="214">
          <cell r="D214" t="str">
            <v>-  Pekerja</v>
          </cell>
          <cell r="E214" t="str">
            <v>= (Tk x P) : Qt</v>
          </cell>
          <cell r="G214" t="str">
            <v>(L01)</v>
          </cell>
          <cell r="H214">
            <v>5.2208835341365463</v>
          </cell>
          <cell r="I214" t="str">
            <v>jam</v>
          </cell>
        </row>
        <row r="216">
          <cell r="A216" t="str">
            <v>4.</v>
          </cell>
          <cell r="C216" t="str">
            <v>HARGA DASAR SATUAN UPAH, BAHAN DAN ALAT</v>
          </cell>
        </row>
        <row r="217">
          <cell r="C217" t="str">
            <v>Lihat lampiran.</v>
          </cell>
        </row>
        <row r="219">
          <cell r="A219" t="str">
            <v>5.</v>
          </cell>
          <cell r="C219" t="str">
            <v>ANALISA HARGA SATUAN PEKERJAAN</v>
          </cell>
        </row>
        <row r="220">
          <cell r="C220" t="str">
            <v>Lihat perhitungan dalam FORMULIR STANDAR UNTUK</v>
          </cell>
        </row>
        <row r="221">
          <cell r="C221" t="str">
            <v>PEREKEMAN ANALISA MASING-MASING HARGA</v>
          </cell>
        </row>
        <row r="222">
          <cell r="C222" t="str">
            <v>SATUAN.</v>
          </cell>
        </row>
        <row r="223">
          <cell r="C223" t="str">
            <v>Didapat Harga Satuan Pekerjaan :</v>
          </cell>
        </row>
        <row r="225">
          <cell r="C225" t="str">
            <v xml:space="preserve">Rp.  </v>
          </cell>
          <cell r="D225">
            <v>402021.21676028962</v>
          </cell>
          <cell r="E225" t="str">
            <v xml:space="preserve"> / M3</v>
          </cell>
        </row>
        <row r="228">
          <cell r="A228" t="str">
            <v>6.</v>
          </cell>
          <cell r="C228" t="str">
            <v>WAKTU PELAKSANAAN YANG DIPERLUKAN</v>
          </cell>
        </row>
        <row r="229">
          <cell r="C229" t="str">
            <v>Masa Pelaksanaan :</v>
          </cell>
          <cell r="D229" t="str">
            <v>. . . . . . . . . . . .</v>
          </cell>
          <cell r="E229" t="str">
            <v>bulan</v>
          </cell>
        </row>
        <row r="231">
          <cell r="A231" t="str">
            <v>7.</v>
          </cell>
          <cell r="C231" t="str">
            <v>VOLUME PEKERJAAN YANG DIPERLUKAN</v>
          </cell>
        </row>
        <row r="232">
          <cell r="C232" t="str">
            <v>Volume pekerjaan  :</v>
          </cell>
          <cell r="D232">
            <v>1</v>
          </cell>
          <cell r="E232" t="str">
            <v>M3</v>
          </cell>
        </row>
        <row r="243">
          <cell r="A243" t="str">
            <v>ITEM PEMBAYARAN NO.</v>
          </cell>
          <cell r="D243" t="str">
            <v>:  2.3 (1)</v>
          </cell>
          <cell r="J243" t="str">
            <v xml:space="preserve">Analisa EI-231 </v>
          </cell>
        </row>
        <row r="244">
          <cell r="A244" t="str">
            <v>JENIS PEKERJAAN</v>
          </cell>
          <cell r="D244" t="str">
            <v>:  Gorong2 Pipa Beton Bertulang Diameter &lt; 500 mm</v>
          </cell>
          <cell r="L244" t="str">
            <v>FORMULIR STANDAR UNTUK</v>
          </cell>
        </row>
        <row r="245">
          <cell r="A245" t="str">
            <v>SATUAN PEMBAYARAN</v>
          </cell>
          <cell r="D245" t="str">
            <v>:  M1</v>
          </cell>
          <cell r="J245" t="str">
            <v xml:space="preserve">         URAIAN ANALISA HARGA SATUAN</v>
          </cell>
          <cell r="L245" t="str">
            <v>PEREKAMAN ANALISA MASING-MASING HARGA SATUAN</v>
          </cell>
        </row>
        <row r="246">
          <cell r="L246" t="str">
            <v/>
          </cell>
        </row>
        <row r="248">
          <cell r="A248" t="str">
            <v>No.</v>
          </cell>
          <cell r="C248" t="str">
            <v>U R A I A N</v>
          </cell>
          <cell r="G248" t="str">
            <v>KODE</v>
          </cell>
          <cell r="H248" t="str">
            <v>KOEF.</v>
          </cell>
          <cell r="I248" t="str">
            <v>SATUAN</v>
          </cell>
          <cell r="J248" t="str">
            <v>KETERANGAN</v>
          </cell>
        </row>
        <row r="249">
          <cell r="L249" t="str">
            <v>PROYEK</v>
          </cell>
          <cell r="O249" t="str">
            <v>:</v>
          </cell>
        </row>
        <row r="250">
          <cell r="L250" t="str">
            <v>No. PAKET KONTRAK</v>
          </cell>
          <cell r="O250" t="str">
            <v>:</v>
          </cell>
        </row>
        <row r="251">
          <cell r="A251" t="str">
            <v>I.</v>
          </cell>
          <cell r="C251" t="str">
            <v>ASUMSI</v>
          </cell>
          <cell r="L251" t="str">
            <v>NAMA PAKET</v>
          </cell>
          <cell r="O251" t="str">
            <v>:</v>
          </cell>
        </row>
        <row r="252">
          <cell r="A252">
            <v>1</v>
          </cell>
          <cell r="C252" t="str">
            <v>Pekerjaan dilakukan secara mekanik/manual</v>
          </cell>
          <cell r="L252" t="str">
            <v>PROP / KAB / KODYA</v>
          </cell>
          <cell r="O252" t="str">
            <v>:</v>
          </cell>
        </row>
        <row r="253">
          <cell r="A253">
            <v>2</v>
          </cell>
          <cell r="C253" t="str">
            <v>Lokasi pekerjaan : sepanjang jalan</v>
          </cell>
          <cell r="L253" t="str">
            <v>ITEM PEMBAYARAN NO.</v>
          </cell>
          <cell r="O253" t="str">
            <v>:  2.3 (1)</v>
          </cell>
          <cell r="R253" t="str">
            <v>PERKIRAAN VOL. PEK.</v>
          </cell>
          <cell r="T253" t="str">
            <v>:</v>
          </cell>
          <cell r="U253">
            <v>1</v>
          </cell>
        </row>
        <row r="254">
          <cell r="A254">
            <v>3</v>
          </cell>
          <cell r="C254" t="str">
            <v>Diameter bagian dalam gorong-gorong</v>
          </cell>
          <cell r="G254" t="str">
            <v>d</v>
          </cell>
          <cell r="H254">
            <v>0.5</v>
          </cell>
          <cell r="I254" t="str">
            <v>m</v>
          </cell>
          <cell r="L254" t="str">
            <v>JENIS PEKERJAAN</v>
          </cell>
          <cell r="O254" t="str">
            <v>:  Gorong2 Pipa Beton Bertulang Diameter &lt; 500 mm</v>
          </cell>
          <cell r="R254" t="str">
            <v>TOTAL HARGA (Rp.)</v>
          </cell>
          <cell r="T254" t="str">
            <v>:</v>
          </cell>
          <cell r="U254">
            <v>218715.29344341051</v>
          </cell>
        </row>
        <row r="255">
          <cell r="A255">
            <v>4</v>
          </cell>
          <cell r="C255" t="str">
            <v>Jarak rata-rata Base Camp ke lokasi pekerjaan</v>
          </cell>
          <cell r="G255" t="str">
            <v>L</v>
          </cell>
          <cell r="H255">
            <v>8.7249999999999996</v>
          </cell>
          <cell r="I255" t="str">
            <v>Km</v>
          </cell>
          <cell r="L255" t="str">
            <v>SATUAN PEMBAYARAN</v>
          </cell>
          <cell r="O255" t="str">
            <v>:  M1</v>
          </cell>
          <cell r="Q255">
            <v>0</v>
          </cell>
          <cell r="R255" t="str">
            <v>% THD. BIAYA PROYEK</v>
          </cell>
          <cell r="T255" t="str">
            <v>:</v>
          </cell>
          <cell r="U255" t="e">
            <v>#DIV/0!</v>
          </cell>
        </row>
        <row r="256">
          <cell r="A256">
            <v>5</v>
          </cell>
          <cell r="C256" t="str">
            <v>Jam kerja efektif per-hari</v>
          </cell>
          <cell r="G256" t="str">
            <v>Tk</v>
          </cell>
          <cell r="H256">
            <v>7</v>
          </cell>
          <cell r="I256" t="str">
            <v>jam</v>
          </cell>
        </row>
        <row r="257">
          <cell r="A257">
            <v>6</v>
          </cell>
          <cell r="C257" t="str">
            <v>Tebal gorong-gorong</v>
          </cell>
          <cell r="G257" t="str">
            <v>tg</v>
          </cell>
          <cell r="H257">
            <v>6.5</v>
          </cell>
          <cell r="I257" t="str">
            <v>Cm</v>
          </cell>
        </row>
        <row r="258">
          <cell r="Q258" t="str">
            <v>PERKIRAAN</v>
          </cell>
          <cell r="R258" t="str">
            <v>HARGA</v>
          </cell>
          <cell r="S258" t="str">
            <v>JUMLAH</v>
          </cell>
        </row>
        <row r="259">
          <cell r="A259" t="str">
            <v>II.</v>
          </cell>
          <cell r="C259" t="str">
            <v>URUTAN KERJA</v>
          </cell>
          <cell r="L259" t="str">
            <v>NO.</v>
          </cell>
          <cell r="N259" t="str">
            <v>KOMPONEN</v>
          </cell>
          <cell r="P259" t="str">
            <v>SATUAN</v>
          </cell>
          <cell r="Q259" t="str">
            <v>KUANTITAS</v>
          </cell>
          <cell r="R259" t="str">
            <v>SATUAN</v>
          </cell>
          <cell r="S259" t="str">
            <v>HARGA</v>
          </cell>
        </row>
        <row r="260">
          <cell r="A260">
            <v>1</v>
          </cell>
          <cell r="C260" t="str">
            <v>Gorong-gorong dicetak di Base Camp</v>
          </cell>
          <cell r="R260" t="str">
            <v>(Rp.)</v>
          </cell>
          <cell r="S260" t="str">
            <v>(Rp.)</v>
          </cell>
        </row>
        <row r="261">
          <cell r="A261">
            <v>2</v>
          </cell>
          <cell r="C261" t="str">
            <v>Dump Truck mengangkut gorong-gorong jadi</v>
          </cell>
        </row>
        <row r="262">
          <cell r="C262" t="str">
            <v>ke lapangan</v>
          </cell>
        </row>
        <row r="263">
          <cell r="A263">
            <v>3</v>
          </cell>
          <cell r="C263" t="str">
            <v>Dasar gorong-gorong digali sesuai kebutuhan dan ma-</v>
          </cell>
          <cell r="L263" t="str">
            <v>A.</v>
          </cell>
          <cell r="N263" t="str">
            <v>TENAGA</v>
          </cell>
        </row>
        <row r="264">
          <cell r="C264" t="str">
            <v>terial backfill dipadatkan dengan Tamper</v>
          </cell>
        </row>
        <row r="265">
          <cell r="A265">
            <v>4</v>
          </cell>
          <cell r="C265" t="str">
            <v>Tebal lapis porus pada dasar gorong-gorong pipa</v>
          </cell>
          <cell r="G265" t="str">
            <v>tp</v>
          </cell>
          <cell r="H265">
            <v>0.1</v>
          </cell>
          <cell r="I265" t="str">
            <v>M</v>
          </cell>
          <cell r="J265" t="str">
            <v xml:space="preserve"> Sand bedding</v>
          </cell>
          <cell r="L265" t="str">
            <v>1.</v>
          </cell>
          <cell r="N265" t="str">
            <v>Pekerja</v>
          </cell>
          <cell r="O265" t="str">
            <v>(L01)</v>
          </cell>
          <cell r="P265" t="str">
            <v>jam</v>
          </cell>
          <cell r="Q265">
            <v>2.3333333333333335</v>
          </cell>
          <cell r="R265">
            <v>2857.14</v>
          </cell>
          <cell r="U265">
            <v>6666.66</v>
          </cell>
        </row>
        <row r="266">
          <cell r="A266">
            <v>5</v>
          </cell>
          <cell r="C266" t="str">
            <v>Material pilihan untuk penimbunan kembali (padat)</v>
          </cell>
          <cell r="L266" t="str">
            <v>2.</v>
          </cell>
          <cell r="N266" t="str">
            <v>Tukang</v>
          </cell>
          <cell r="O266" t="str">
            <v>(L02)</v>
          </cell>
          <cell r="P266" t="str">
            <v>jam</v>
          </cell>
          <cell r="Q266">
            <v>0.93333333333333335</v>
          </cell>
          <cell r="R266">
            <v>4285.71</v>
          </cell>
          <cell r="U266">
            <v>3999.9960000000001</v>
          </cell>
        </row>
        <row r="267">
          <cell r="A267">
            <v>6</v>
          </cell>
          <cell r="C267" t="str">
            <v>Sekelompok pekerja akan melaksanakan pekerjaan</v>
          </cell>
          <cell r="L267" t="str">
            <v>3.</v>
          </cell>
          <cell r="N267" t="str">
            <v>Mandor</v>
          </cell>
          <cell r="O267" t="str">
            <v>(L03)</v>
          </cell>
          <cell r="P267" t="str">
            <v>jam</v>
          </cell>
          <cell r="Q267">
            <v>0.46666666666666667</v>
          </cell>
          <cell r="R267">
            <v>3214.29</v>
          </cell>
          <cell r="U267">
            <v>1500.002</v>
          </cell>
        </row>
        <row r="268">
          <cell r="C268" t="str">
            <v>dengan cara manual dengan menggunakan alat bantu</v>
          </cell>
        </row>
        <row r="269">
          <cell r="Q269" t="str">
            <v xml:space="preserve">JUMLAH HARGA TENAGA   </v>
          </cell>
          <cell r="U269">
            <v>12166.657999999999</v>
          </cell>
        </row>
        <row r="271">
          <cell r="A271" t="str">
            <v>III.</v>
          </cell>
          <cell r="C271" t="str">
            <v>PEMAKAIAN BAHAN, ALAT DAN TENAGA</v>
          </cell>
          <cell r="L271" t="str">
            <v>B.</v>
          </cell>
          <cell r="N271" t="str">
            <v>BAHAN</v>
          </cell>
        </row>
        <row r="272">
          <cell r="A272" t="str">
            <v xml:space="preserve">   1.</v>
          </cell>
          <cell r="C272" t="str">
            <v>BAHAN</v>
          </cell>
        </row>
        <row r="273">
          <cell r="C273" t="str">
            <v>Untuk mendapatkan 1 M' gorong-gorong diperlukan</v>
          </cell>
          <cell r="L273" t="str">
            <v>1.</v>
          </cell>
          <cell r="N273" t="str">
            <v>Beton K-300</v>
          </cell>
          <cell r="O273" t="str">
            <v>(EI-714)</v>
          </cell>
          <cell r="P273" t="str">
            <v>M3</v>
          </cell>
          <cell r="Q273">
            <v>0.11537499020308517</v>
          </cell>
          <cell r="R273">
            <v>652902.54982502444</v>
          </cell>
          <cell r="U273">
            <v>75328.625289631527</v>
          </cell>
        </row>
        <row r="274">
          <cell r="C274" t="str">
            <v>- Beton K-300 = (22/7*((2*tg/100+d)/2)^2)-(22/7*(d/2)^2))*1</v>
          </cell>
          <cell r="G274" t="str">
            <v>(EI-714)</v>
          </cell>
          <cell r="H274">
            <v>0.11537499020308517</v>
          </cell>
          <cell r="I274" t="str">
            <v>M3</v>
          </cell>
          <cell r="L274" t="str">
            <v>2.</v>
          </cell>
          <cell r="N274" t="str">
            <v>Baja Tulangan</v>
          </cell>
          <cell r="O274" t="str">
            <v>(M39)</v>
          </cell>
          <cell r="P274" t="str">
            <v>Kg</v>
          </cell>
          <cell r="Q274">
            <v>12.691248922339369</v>
          </cell>
          <cell r="R274">
            <v>4000</v>
          </cell>
          <cell r="U274">
            <v>50764.995689357478</v>
          </cell>
        </row>
        <row r="275">
          <cell r="C275" t="str">
            <v>- Baja Tulangan (asumsi 100kg/m3)</v>
          </cell>
          <cell r="G275" t="str">
            <v>(M39)</v>
          </cell>
          <cell r="H275">
            <v>12.691248922339369</v>
          </cell>
          <cell r="I275" t="str">
            <v>Kg</v>
          </cell>
          <cell r="L275" t="str">
            <v>3.</v>
          </cell>
          <cell r="N275" t="str">
            <v>Urugan Porus</v>
          </cell>
          <cell r="O275" t="str">
            <v>(EI-241)</v>
          </cell>
          <cell r="P275" t="str">
            <v>M3</v>
          </cell>
          <cell r="Q275">
            <v>0.12915000000000001</v>
          </cell>
          <cell r="R275">
            <v>186901.40625406182</v>
          </cell>
          <cell r="U275">
            <v>24138.316617712087</v>
          </cell>
        </row>
        <row r="276">
          <cell r="C276" t="str">
            <v>- Timbunan Porus      = {(tp*(0.3+2*tg/100+d+0.3)*1)*1.05}</v>
          </cell>
          <cell r="G276" t="str">
            <v>(EI-241)</v>
          </cell>
          <cell r="H276">
            <v>0.12915000000000001</v>
          </cell>
          <cell r="I276" t="str">
            <v>M3</v>
          </cell>
          <cell r="L276" t="str">
            <v>4.</v>
          </cell>
          <cell r="N276" t="str">
            <v>Mat. Pilihan</v>
          </cell>
          <cell r="O276" t="str">
            <v>(M09)</v>
          </cell>
          <cell r="P276" t="str">
            <v>M3</v>
          </cell>
          <cell r="Q276">
            <v>0.87365249999999994</v>
          </cell>
          <cell r="R276">
            <v>25000</v>
          </cell>
          <cell r="U276">
            <v>21841.3125</v>
          </cell>
        </row>
        <row r="277">
          <cell r="C277" t="str">
            <v>- Material Pilihan</v>
          </cell>
          <cell r="D277" t="str">
            <v>= ((2*tg/100+d+0.3)*(0.3+2*tg/100+d+0.3)</v>
          </cell>
          <cell r="G277" t="str">
            <v>(M09)</v>
          </cell>
          <cell r="H277">
            <v>0.87365249999999994</v>
          </cell>
          <cell r="I277" t="str">
            <v>M3</v>
          </cell>
          <cell r="J277" t="str">
            <v xml:space="preserve"> = Vp</v>
          </cell>
        </row>
        <row r="278">
          <cell r="D278" t="str">
            <v xml:space="preserve">   -(22/7*(0.5*(2*tg/100+d))^2))*1*1.05</v>
          </cell>
        </row>
        <row r="279">
          <cell r="A279" t="str">
            <v xml:space="preserve">   2.</v>
          </cell>
          <cell r="C279" t="str">
            <v>ALAT</v>
          </cell>
          <cell r="Q279" t="str">
            <v xml:space="preserve">JUMLAH HARGA BAHAN   </v>
          </cell>
          <cell r="U279">
            <v>172073.25009670109</v>
          </cell>
        </row>
        <row r="280">
          <cell r="A280" t="str">
            <v>2.a.</v>
          </cell>
          <cell r="C280" t="str">
            <v>TAMPER</v>
          </cell>
          <cell r="G280" t="str">
            <v>(E25)</v>
          </cell>
        </row>
        <row r="281">
          <cell r="C281" t="str">
            <v>Kecepatan</v>
          </cell>
          <cell r="G281" t="str">
            <v>v</v>
          </cell>
          <cell r="H281">
            <v>0.5</v>
          </cell>
          <cell r="I281" t="str">
            <v>Km / Jam</v>
          </cell>
          <cell r="L281" t="str">
            <v>C.</v>
          </cell>
          <cell r="N281" t="str">
            <v>PERALATAN</v>
          </cell>
        </row>
        <row r="282">
          <cell r="C282" t="str">
            <v>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3">
          <cell r="C283" t="str">
            <v>Lebar pemadatan</v>
          </cell>
          <cell r="G283" t="str">
            <v>Lb</v>
          </cell>
          <cell r="H283">
            <v>0.4</v>
          </cell>
          <cell r="I283" t="str">
            <v>M</v>
          </cell>
          <cell r="L283" t="str">
            <v>1.</v>
          </cell>
          <cell r="N283" t="str">
            <v>Tamper</v>
          </cell>
          <cell r="O283" t="str">
            <v>(E25)</v>
          </cell>
          <cell r="P283" t="str">
            <v>jam</v>
          </cell>
          <cell r="Q283">
            <v>0.26314834337349391</v>
          </cell>
          <cell r="R283">
            <v>18672.16854694486</v>
          </cell>
          <cell r="U283">
            <v>4913.5502203191991</v>
          </cell>
        </row>
        <row r="284">
          <cell r="C284" t="str">
            <v>Banyak lintasan</v>
          </cell>
          <cell r="G284" t="str">
            <v>n</v>
          </cell>
          <cell r="H284">
            <v>10</v>
          </cell>
          <cell r="I284" t="str">
            <v>lintasan</v>
          </cell>
          <cell r="L284" t="str">
            <v>2.</v>
          </cell>
          <cell r="N284" t="str">
            <v>Dump Truck</v>
          </cell>
          <cell r="O284" t="str">
            <v>(E08)</v>
          </cell>
          <cell r="P284" t="str">
            <v>jam</v>
          </cell>
          <cell r="Q284">
            <v>5.9738955823293166E-2</v>
          </cell>
          <cell r="R284">
            <v>153645.58193291764</v>
          </cell>
          <cell r="U284">
            <v>9178.6266315347384</v>
          </cell>
        </row>
        <row r="285">
          <cell r="C285" t="str">
            <v>Tebal lapis hamparan</v>
          </cell>
          <cell r="G285" t="str">
            <v>tp</v>
          </cell>
          <cell r="H285">
            <v>0.2</v>
          </cell>
          <cell r="I285" t="str">
            <v>M</v>
          </cell>
          <cell r="L285" t="str">
            <v>3.</v>
          </cell>
          <cell r="N285" t="str">
            <v>Alat  Bantu</v>
          </cell>
          <cell r="P285" t="str">
            <v>Ls</v>
          </cell>
          <cell r="Q285">
            <v>1</v>
          </cell>
          <cell r="R285">
            <v>500</v>
          </cell>
          <cell r="U285">
            <v>500</v>
          </cell>
        </row>
        <row r="288">
          <cell r="C288" t="str">
            <v>Kap. Prod. / Jam   =</v>
          </cell>
          <cell r="D288" t="str">
            <v>v x 1000 x Fa x Lb x 60</v>
          </cell>
          <cell r="G288" t="str">
            <v>Q1</v>
          </cell>
          <cell r="H288">
            <v>3.3200000000000003</v>
          </cell>
          <cell r="I288" t="str">
            <v xml:space="preserve">M3 / Jam </v>
          </cell>
        </row>
        <row r="289">
          <cell r="D289" t="str">
            <v xml:space="preserve">    n x tp</v>
          </cell>
        </row>
        <row r="291">
          <cell r="C291" t="str">
            <v>Koefisien Alat / m'</v>
          </cell>
          <cell r="D291" t="str">
            <v xml:space="preserve"> =  1  :  Q1 x Vp</v>
          </cell>
          <cell r="G291" t="str">
            <v>(E25)</v>
          </cell>
          <cell r="H291">
            <v>0.26314834337349391</v>
          </cell>
          <cell r="I291" t="str">
            <v>jam</v>
          </cell>
          <cell r="Q291" t="str">
            <v xml:space="preserve">JUMLAH HARGA PERALATAN   </v>
          </cell>
          <cell r="U291">
            <v>14592.176851853937</v>
          </cell>
        </row>
        <row r="293">
          <cell r="A293" t="str">
            <v>2.b.</v>
          </cell>
          <cell r="C293" t="str">
            <v>DUMP TRUCK</v>
          </cell>
          <cell r="G293" t="str">
            <v>(E08)</v>
          </cell>
          <cell r="L293" t="str">
            <v>D.</v>
          </cell>
          <cell r="N293" t="str">
            <v>JUMLAH HARGA TENAGA, BAHAN DAN PERALATAN  ( A + B + C )</v>
          </cell>
          <cell r="U293">
            <v>198832.08494855501</v>
          </cell>
        </row>
        <row r="294">
          <cell r="C294" t="str">
            <v>Kapasitas bak sekali muat</v>
          </cell>
          <cell r="G294" t="str">
            <v>V</v>
          </cell>
          <cell r="H294">
            <v>15</v>
          </cell>
          <cell r="I294" t="str">
            <v>Buah/M'</v>
          </cell>
          <cell r="L294" t="str">
            <v>E.</v>
          </cell>
          <cell r="N294" t="str">
            <v>OVERHEAD &amp; PROFIT</v>
          </cell>
          <cell r="P294">
            <v>10</v>
          </cell>
          <cell r="Q294" t="str">
            <v>%  x  D</v>
          </cell>
          <cell r="U294">
            <v>19883.208494855502</v>
          </cell>
        </row>
        <row r="295">
          <cell r="C295" t="str">
            <v>Faktor efisiensi alat</v>
          </cell>
          <cell r="G295" t="str">
            <v>Fa</v>
          </cell>
          <cell r="H295">
            <v>0.83</v>
          </cell>
          <cell r="L295" t="str">
            <v>F.</v>
          </cell>
          <cell r="N295" t="str">
            <v>HARGA SATUAN PEKERJAAN  ( D + E )</v>
          </cell>
          <cell r="U295">
            <v>218715.29344341051</v>
          </cell>
        </row>
        <row r="296">
          <cell r="C296" t="str">
            <v>Kecepatanrata-rata bermuatan</v>
          </cell>
          <cell r="G296" t="str">
            <v>v1</v>
          </cell>
          <cell r="H296">
            <v>20</v>
          </cell>
          <cell r="I296" t="str">
            <v>Km/Jam</v>
          </cell>
          <cell r="L296" t="str">
            <v>Note: 1</v>
          </cell>
          <cell r="N296" t="str">
            <v>SATUAN dapat berdasarkan atas jam operasi untuk Tenaga Kerja dan Peralatan, volume dan/atau ukuran</v>
          </cell>
        </row>
        <row r="297">
          <cell r="C297" t="str">
            <v>Kecepatan rata-rata kosong</v>
          </cell>
          <cell r="G297" t="str">
            <v>v2</v>
          </cell>
          <cell r="H297">
            <v>30</v>
          </cell>
          <cell r="I297" t="str">
            <v>Km/Jam</v>
          </cell>
          <cell r="N297" t="str">
            <v>berat untuk bahan-bahan.</v>
          </cell>
        </row>
        <row r="298">
          <cell r="C298" t="str">
            <v>Waktu siklus    :</v>
          </cell>
          <cell r="G298" t="str">
            <v>Ts1</v>
          </cell>
          <cell r="L298">
            <v>2</v>
          </cell>
          <cell r="N298" t="str">
            <v>Kuantitas satuan adalah kuantitas setiap komponen untuk menyelesaikan satu satuan pekerjaan dari nomor</v>
          </cell>
        </row>
        <row r="299">
          <cell r="C299" t="str">
            <v>- Waktu  tempuh in  si  = (L : v1 ) x 60</v>
          </cell>
          <cell r="G299" t="str">
            <v>T1</v>
          </cell>
          <cell r="H299">
            <v>26.174999999999997</v>
          </cell>
          <cell r="I299" t="str">
            <v>menit</v>
          </cell>
          <cell r="N299" t="str">
            <v>mata pembayaran.</v>
          </cell>
        </row>
        <row r="300">
          <cell r="C300" t="str">
            <v>-  Waktutempuh kosong  = (L : v2)  x  60</v>
          </cell>
          <cell r="G300" t="str">
            <v>T2</v>
          </cell>
          <cell r="H300">
            <v>17.45</v>
          </cell>
          <cell r="I300" t="str">
            <v>menit</v>
          </cell>
          <cell r="L300">
            <v>3</v>
          </cell>
          <cell r="N300" t="str">
            <v>Biaya satuan untuk peralatan sudah termasuk bahan bakar, bahan habis dipakai dan operator.</v>
          </cell>
        </row>
        <row r="301">
          <cell r="C301" t="str">
            <v>-  Muat, bongkar dan lain-lain</v>
          </cell>
          <cell r="G301" t="str">
            <v>T3</v>
          </cell>
          <cell r="H301">
            <v>1</v>
          </cell>
          <cell r="I301" t="str">
            <v>menit</v>
          </cell>
          <cell r="L301">
            <v>4</v>
          </cell>
          <cell r="N301" t="str">
            <v>Biaya satuan sudah termasuk pengeluaran untuk seluruh pajak yang berkaitan (tetapi tidak termasuk PPN</v>
          </cell>
        </row>
        <row r="302">
          <cell r="G302" t="str">
            <v>Ts1</v>
          </cell>
          <cell r="H302">
            <v>44.625</v>
          </cell>
          <cell r="I302" t="str">
            <v>menit</v>
          </cell>
          <cell r="N302" t="str">
            <v>yang dibayar dari kontrak) dan biaya-biaya lainnya.</v>
          </cell>
        </row>
        <row r="303">
          <cell r="J303" t="str">
            <v>Berlanjut ke halaman berikut</v>
          </cell>
        </row>
        <row r="304">
          <cell r="A304" t="str">
            <v>ITEM PEMBAYARAN NO.</v>
          </cell>
          <cell r="D304" t="str">
            <v>:  2.3 (1)</v>
          </cell>
          <cell r="J304" t="str">
            <v xml:space="preserve">Analisa EI-231 </v>
          </cell>
        </row>
        <row r="305">
          <cell r="A305" t="str">
            <v>JENIS PEKERJAAN</v>
          </cell>
          <cell r="D305" t="str">
            <v>:  Gorong2 Pipa Beton Bertulang Diameter &lt; 500 mm</v>
          </cell>
        </row>
        <row r="306">
          <cell r="A306" t="str">
            <v>SATUAN PEMBAYARAN</v>
          </cell>
          <cell r="D306" t="str">
            <v>:  M1</v>
          </cell>
          <cell r="J306" t="str">
            <v xml:space="preserve">         URAIAN ANALISA HARGA SATUAN</v>
          </cell>
        </row>
        <row r="307">
          <cell r="J307" t="str">
            <v>Lanjutan</v>
          </cell>
        </row>
        <row r="309">
          <cell r="A309" t="str">
            <v>No.</v>
          </cell>
          <cell r="C309" t="str">
            <v>U R A I A N</v>
          </cell>
          <cell r="G309" t="str">
            <v>KODE</v>
          </cell>
          <cell r="H309" t="str">
            <v>KOEF.</v>
          </cell>
          <cell r="I309" t="str">
            <v>SATUAN</v>
          </cell>
          <cell r="J309" t="str">
            <v>KETERANGAN</v>
          </cell>
        </row>
        <row r="312">
          <cell r="C312" t="str">
            <v>Kapasitas Produksi / Jam   =</v>
          </cell>
          <cell r="E312" t="str">
            <v>V x Fa x 60</v>
          </cell>
          <cell r="G312" t="str">
            <v>Q2</v>
          </cell>
          <cell r="H312">
            <v>16.739495798319329</v>
          </cell>
          <cell r="I312" t="str">
            <v xml:space="preserve">M' / Jam </v>
          </cell>
        </row>
        <row r="313">
          <cell r="E313" t="str">
            <v>Ts1</v>
          </cell>
        </row>
        <row r="315">
          <cell r="C315" t="str">
            <v>Koefisien Alat / m'</v>
          </cell>
          <cell r="D315" t="str">
            <v xml:space="preserve"> =  1  :  Q2</v>
          </cell>
          <cell r="G315" t="str">
            <v>(E08)</v>
          </cell>
          <cell r="H315">
            <v>5.9738955823293166E-2</v>
          </cell>
          <cell r="I315" t="str">
            <v>jam</v>
          </cell>
        </row>
        <row r="318">
          <cell r="A318" t="str">
            <v>2.c.</v>
          </cell>
          <cell r="C318" t="str">
            <v>ALAT  BANTU</v>
          </cell>
        </row>
        <row r="319">
          <cell r="C319" t="str">
            <v>Diperlukan alat-alat bantu kecil</v>
          </cell>
          <cell r="J319" t="str">
            <v>Lump Sump</v>
          </cell>
        </row>
        <row r="320">
          <cell r="C320" t="str">
            <v>- Sekop    =         3   buah</v>
          </cell>
        </row>
        <row r="321">
          <cell r="C321" t="str">
            <v>- Pacul     =         3   buah</v>
          </cell>
        </row>
        <row r="322">
          <cell r="C322" t="str">
            <v>- Alat-alat kecil lain</v>
          </cell>
        </row>
        <row r="324">
          <cell r="A324" t="str">
            <v xml:space="preserve">   3.</v>
          </cell>
          <cell r="C324" t="str">
            <v>TENAGA</v>
          </cell>
        </row>
        <row r="325">
          <cell r="C325" t="str">
            <v>Produksi Gorong-gorong / hari</v>
          </cell>
          <cell r="G325" t="str">
            <v>Qt</v>
          </cell>
          <cell r="H325">
            <v>15</v>
          </cell>
          <cell r="I325" t="str">
            <v>M'</v>
          </cell>
        </row>
        <row r="326">
          <cell r="C326" t="str">
            <v>Kebutuhan tenaga :</v>
          </cell>
        </row>
        <row r="327">
          <cell r="D327" t="str">
            <v>- Pekerja</v>
          </cell>
          <cell r="G327" t="str">
            <v>P</v>
          </cell>
          <cell r="H327">
            <v>5</v>
          </cell>
          <cell r="I327" t="str">
            <v>orang</v>
          </cell>
        </row>
        <row r="328">
          <cell r="D328" t="str">
            <v>- Tukang</v>
          </cell>
          <cell r="G328" t="str">
            <v>T</v>
          </cell>
          <cell r="H328">
            <v>2</v>
          </cell>
          <cell r="I328" t="str">
            <v>orang</v>
          </cell>
        </row>
        <row r="329">
          <cell r="D329" t="str">
            <v>- Mandor</v>
          </cell>
          <cell r="G329" t="str">
            <v>M</v>
          </cell>
          <cell r="H329">
            <v>1</v>
          </cell>
          <cell r="I329" t="str">
            <v>orang</v>
          </cell>
        </row>
        <row r="331">
          <cell r="C331" t="str">
            <v>Koefisien tenaga / M1   :</v>
          </cell>
        </row>
        <row r="332">
          <cell r="D332" t="str">
            <v>- Pekerja</v>
          </cell>
          <cell r="E332" t="str">
            <v>= (Tk x P) : Qt</v>
          </cell>
          <cell r="G332" t="str">
            <v>(L01)</v>
          </cell>
          <cell r="H332">
            <v>2.3333333333333335</v>
          </cell>
          <cell r="I332" t="str">
            <v>Jam</v>
          </cell>
        </row>
        <row r="333">
          <cell r="D333" t="str">
            <v>- Tukang</v>
          </cell>
          <cell r="E333" t="str">
            <v>= (Tk x T) : Qt</v>
          </cell>
          <cell r="G333" t="str">
            <v>(L02)</v>
          </cell>
          <cell r="H333">
            <v>0.93333333333333335</v>
          </cell>
          <cell r="I333" t="str">
            <v>Jam</v>
          </cell>
        </row>
        <row r="334">
          <cell r="D334" t="str">
            <v>- Mandor</v>
          </cell>
          <cell r="E334" t="str">
            <v>= (Tk x M) : Qt</v>
          </cell>
          <cell r="G334" t="str">
            <v>(L03)</v>
          </cell>
          <cell r="H334">
            <v>0.46666666666666667</v>
          </cell>
          <cell r="I334" t="str">
            <v>Jam</v>
          </cell>
        </row>
        <row r="336">
          <cell r="A336" t="str">
            <v>4.</v>
          </cell>
          <cell r="C336" t="str">
            <v>HARGA DASAR SATUAN UPAH, BAHAN DAN ALAT</v>
          </cell>
        </row>
        <row r="337">
          <cell r="C337" t="str">
            <v>Lihat lampiran.</v>
          </cell>
        </row>
        <row r="340">
          <cell r="A340" t="str">
            <v>5.</v>
          </cell>
          <cell r="C340" t="str">
            <v>ANALISA HARGA SATUAN PEKERJAAN</v>
          </cell>
        </row>
        <row r="341">
          <cell r="C341" t="str">
            <v>Lihat perhitungan dalam FORMULIR STANDAR UNTUK</v>
          </cell>
        </row>
        <row r="342">
          <cell r="C342" t="str">
            <v>PEREKEMAN ANALISA MASING-MASING HARGA</v>
          </cell>
        </row>
        <row r="343">
          <cell r="C343" t="str">
            <v>SATUAN.</v>
          </cell>
        </row>
        <row r="344">
          <cell r="C344" t="str">
            <v>Didapat Harga Satuan Pekerjaan :</v>
          </cell>
        </row>
        <row r="346">
          <cell r="C346" t="str">
            <v xml:space="preserve">Rp.  </v>
          </cell>
          <cell r="D346">
            <v>218715.29344341051</v>
          </cell>
          <cell r="E346" t="str">
            <v xml:space="preserve"> / M'</v>
          </cell>
        </row>
        <row r="349">
          <cell r="A349" t="str">
            <v>6.</v>
          </cell>
          <cell r="C349" t="str">
            <v>WAKTU PELAKSANAAN YANG DIPERLUKAN</v>
          </cell>
        </row>
        <row r="350">
          <cell r="C350" t="str">
            <v>Masa Pelaksanaan :</v>
          </cell>
          <cell r="D350" t="str">
            <v>. . . . . . . . . . . .</v>
          </cell>
          <cell r="E350" t="str">
            <v>bulan</v>
          </cell>
        </row>
        <row r="352">
          <cell r="A352" t="str">
            <v>7.</v>
          </cell>
          <cell r="C352" t="str">
            <v>VOLUME PEKERJAAN YANG DIPERLUKAN</v>
          </cell>
        </row>
        <row r="353">
          <cell r="C353" t="str">
            <v>Volume pekerjaan  :</v>
          </cell>
          <cell r="D353">
            <v>1</v>
          </cell>
          <cell r="E353" t="str">
            <v>M'</v>
          </cell>
        </row>
        <row r="363">
          <cell r="A363" t="str">
            <v>ITEM PEMBAYARAN NO.</v>
          </cell>
          <cell r="D363" t="str">
            <v>:  2.3 (2)</v>
          </cell>
          <cell r="J363" t="str">
            <v xml:space="preserve">Analisa EI-232 </v>
          </cell>
        </row>
        <row r="364">
          <cell r="A364" t="str">
            <v>JENIS PEKERJAAN</v>
          </cell>
          <cell r="D364" t="str">
            <v>:  Gorong2 Pipa Beton Bertulang 500 mm &lt; diameter dalam 700 mm</v>
          </cell>
          <cell r="L364" t="str">
            <v>FORMULIR STANDAR UNTUK</v>
          </cell>
        </row>
        <row r="365">
          <cell r="A365" t="str">
            <v>SATUAN PEMBAYARAN</v>
          </cell>
          <cell r="D365" t="str">
            <v>:  M1</v>
          </cell>
          <cell r="J365" t="str">
            <v xml:space="preserve">         URAIAN ANALISA HARGA SATUAN</v>
          </cell>
          <cell r="L365" t="str">
            <v>PEREKAMAN ANALISA MASING-MASING HARGA SATUAN</v>
          </cell>
        </row>
        <row r="366">
          <cell r="L366" t="str">
            <v/>
          </cell>
        </row>
        <row r="368">
          <cell r="A368" t="str">
            <v>No.</v>
          </cell>
          <cell r="C368" t="str">
            <v>U R A I A N</v>
          </cell>
          <cell r="G368" t="str">
            <v>KODE</v>
          </cell>
          <cell r="H368" t="str">
            <v>KOEF.</v>
          </cell>
          <cell r="I368" t="str">
            <v>SATUAN</v>
          </cell>
          <cell r="J368" t="str">
            <v>KETERANGAN</v>
          </cell>
        </row>
        <row r="369">
          <cell r="L369" t="str">
            <v>PROYEK</v>
          </cell>
          <cell r="O369" t="str">
            <v>:</v>
          </cell>
        </row>
        <row r="370">
          <cell r="L370" t="str">
            <v>No. PAKET KONTRAK</v>
          </cell>
          <cell r="O370" t="str">
            <v>:</v>
          </cell>
        </row>
        <row r="371">
          <cell r="A371" t="str">
            <v>I.</v>
          </cell>
          <cell r="C371" t="str">
            <v>ASUMSI</v>
          </cell>
          <cell r="L371" t="str">
            <v>NAMA PAKET</v>
          </cell>
          <cell r="O371" t="str">
            <v>:</v>
          </cell>
        </row>
        <row r="372">
          <cell r="A372">
            <v>1</v>
          </cell>
          <cell r="C372" t="str">
            <v>Pekerjaan dilakukan secara mekanik/manual</v>
          </cell>
          <cell r="L372" t="str">
            <v>PROP / KAB / KODYA</v>
          </cell>
          <cell r="O372" t="str">
            <v>:</v>
          </cell>
        </row>
        <row r="373">
          <cell r="A373">
            <v>2</v>
          </cell>
          <cell r="C373" t="str">
            <v>Lokasi pekerjaan : sepanjang jalan</v>
          </cell>
          <cell r="L373" t="str">
            <v>ITEM PEMBAYARAN NO.</v>
          </cell>
          <cell r="O373" t="str">
            <v>:  2.3 (2)</v>
          </cell>
          <cell r="R373" t="str">
            <v>PERKIRAAN VOL. PEK.</v>
          </cell>
          <cell r="T373" t="str">
            <v>:</v>
          </cell>
          <cell r="U373">
            <v>1</v>
          </cell>
        </row>
        <row r="374">
          <cell r="A374">
            <v>3</v>
          </cell>
          <cell r="C374" t="str">
            <v>Diameter bagian dalam gorong-gorong</v>
          </cell>
          <cell r="G374" t="str">
            <v>d</v>
          </cell>
          <cell r="H374">
            <v>0.6</v>
          </cell>
          <cell r="I374" t="str">
            <v>m</v>
          </cell>
          <cell r="L374" t="str">
            <v>JENIS PEKERJAAN</v>
          </cell>
          <cell r="O374" t="str">
            <v>:  Gorong2 Pipa Beton Bertulang 500 mm &lt; diameter dalam 700 mm</v>
          </cell>
          <cell r="R374" t="str">
            <v>TOTAL HARGA (Rp.)</v>
          </cell>
          <cell r="T374" t="str">
            <v>:</v>
          </cell>
          <cell r="U374">
            <v>282846.80804673955</v>
          </cell>
        </row>
        <row r="375">
          <cell r="A375">
            <v>4</v>
          </cell>
          <cell r="C375" t="str">
            <v>Jarak rata-rata Base Camp ke lokasi pekerjaan</v>
          </cell>
          <cell r="G375" t="str">
            <v>L</v>
          </cell>
          <cell r="H375">
            <v>8.7249999999999996</v>
          </cell>
          <cell r="I375" t="str">
            <v>Km</v>
          </cell>
          <cell r="L375" t="str">
            <v>SATUAN PEMBAYARAN</v>
          </cell>
          <cell r="O375" t="str">
            <v>:  M1</v>
          </cell>
          <cell r="Q375">
            <v>0</v>
          </cell>
          <cell r="R375" t="str">
            <v>% THD. BIAYA PROYEK</v>
          </cell>
          <cell r="T375" t="str">
            <v>:</v>
          </cell>
          <cell r="U375" t="e">
            <v>#DIV/0!</v>
          </cell>
        </row>
        <row r="376">
          <cell r="A376">
            <v>5</v>
          </cell>
          <cell r="C376" t="str">
            <v>Jam kerja efektif per-hari</v>
          </cell>
          <cell r="G376" t="str">
            <v>Tk</v>
          </cell>
          <cell r="H376">
            <v>7</v>
          </cell>
          <cell r="I376" t="str">
            <v>jam</v>
          </cell>
        </row>
        <row r="377">
          <cell r="A377">
            <v>6</v>
          </cell>
          <cell r="C377" t="str">
            <v>Tebal gorong-gorong</v>
          </cell>
          <cell r="G377" t="str">
            <v>tg</v>
          </cell>
          <cell r="H377">
            <v>6.5</v>
          </cell>
          <cell r="I377" t="str">
            <v>Cm</v>
          </cell>
        </row>
        <row r="378">
          <cell r="Q378" t="str">
            <v>PERKIRAAN</v>
          </cell>
          <cell r="R378" t="str">
            <v>HARGA</v>
          </cell>
          <cell r="S378" t="str">
            <v>JUMLAH</v>
          </cell>
        </row>
        <row r="379">
          <cell r="A379" t="str">
            <v>II.</v>
          </cell>
          <cell r="C379" t="str">
            <v>URUTAN KERJA</v>
          </cell>
          <cell r="L379" t="str">
            <v>NO.</v>
          </cell>
          <cell r="N379" t="str">
            <v>KOMPONEN</v>
          </cell>
          <cell r="P379" t="str">
            <v>SATUAN</v>
          </cell>
          <cell r="Q379" t="str">
            <v>KUANTITAS</v>
          </cell>
          <cell r="R379" t="str">
            <v>SATUAN</v>
          </cell>
          <cell r="S379" t="str">
            <v>HARGA</v>
          </cell>
        </row>
        <row r="380">
          <cell r="A380">
            <v>1</v>
          </cell>
          <cell r="C380" t="str">
            <v>Gorong-gorong dicetak di Base Camp</v>
          </cell>
          <cell r="R380" t="str">
            <v>(Rp.)</v>
          </cell>
          <cell r="S380" t="str">
            <v>(Rp.)</v>
          </cell>
        </row>
        <row r="381">
          <cell r="A381">
            <v>2</v>
          </cell>
          <cell r="C381" t="str">
            <v>Dump Truck mengangkut gorong-gorong jadi</v>
          </cell>
        </row>
        <row r="382">
          <cell r="C382" t="str">
            <v>ke lapangan</v>
          </cell>
        </row>
        <row r="383">
          <cell r="A383">
            <v>3</v>
          </cell>
          <cell r="C383" t="str">
            <v>Dasar gorong-gorong digali sesuai kebutuhan dan ma-</v>
          </cell>
          <cell r="L383" t="str">
            <v>A.</v>
          </cell>
          <cell r="N383" t="str">
            <v>TENAGA</v>
          </cell>
        </row>
        <row r="384">
          <cell r="C384" t="str">
            <v>terial backfill dipadatkan dengan Tamper</v>
          </cell>
        </row>
        <row r="385">
          <cell r="A385">
            <v>4</v>
          </cell>
          <cell r="C385" t="str">
            <v>Tebal lapis porus pada dasar gorong-gorong pipa</v>
          </cell>
          <cell r="G385" t="str">
            <v>tp</v>
          </cell>
          <cell r="H385">
            <v>0.1</v>
          </cell>
          <cell r="I385" t="str">
            <v>M</v>
          </cell>
          <cell r="J385" t="str">
            <v xml:space="preserve"> Sand bedding</v>
          </cell>
          <cell r="L385" t="str">
            <v>1.</v>
          </cell>
          <cell r="N385" t="str">
            <v>Pekerja</v>
          </cell>
          <cell r="O385" t="str">
            <v>(L01)</v>
          </cell>
          <cell r="P385" t="str">
            <v>jam</v>
          </cell>
          <cell r="Q385">
            <v>4.9000000000000004</v>
          </cell>
          <cell r="R385">
            <v>2857.14</v>
          </cell>
          <cell r="U385">
            <v>13999.986000000001</v>
          </cell>
        </row>
        <row r="386">
          <cell r="A386">
            <v>5</v>
          </cell>
          <cell r="C386" t="str">
            <v>Material pilihan untuk penimbunan kembali (padat)</v>
          </cell>
          <cell r="L386" t="str">
            <v>2.</v>
          </cell>
          <cell r="N386" t="str">
            <v>Tukang</v>
          </cell>
          <cell r="O386" t="str">
            <v>(L02)</v>
          </cell>
          <cell r="P386" t="str">
            <v>jam</v>
          </cell>
          <cell r="Q386">
            <v>1.4</v>
          </cell>
          <cell r="R386">
            <v>4285.71</v>
          </cell>
          <cell r="U386">
            <v>5999.9939999999997</v>
          </cell>
        </row>
        <row r="387">
          <cell r="A387">
            <v>6</v>
          </cell>
          <cell r="C387" t="str">
            <v>Sekelompok pekerja akan melaksanakan pekerjaan</v>
          </cell>
          <cell r="L387" t="str">
            <v>3.</v>
          </cell>
          <cell r="N387" t="str">
            <v>Mandor</v>
          </cell>
          <cell r="O387" t="str">
            <v>(L03)</v>
          </cell>
          <cell r="P387" t="str">
            <v>jam</v>
          </cell>
          <cell r="Q387">
            <v>0.7</v>
          </cell>
          <cell r="R387">
            <v>3214.29</v>
          </cell>
          <cell r="U387">
            <v>2250.0029999999997</v>
          </cell>
        </row>
        <row r="388">
          <cell r="C388" t="str">
            <v>dengan cara manual dengan menggunakan alat bantu</v>
          </cell>
        </row>
        <row r="389">
          <cell r="Q389" t="str">
            <v xml:space="preserve">JUMLAH HARGA TENAGA   </v>
          </cell>
          <cell r="U389">
            <v>22249.983</v>
          </cell>
        </row>
        <row r="391">
          <cell r="A391" t="str">
            <v>III.</v>
          </cell>
          <cell r="C391" t="str">
            <v>PEMAKAIAN BAHAN, ALAT DAN TENAGA</v>
          </cell>
          <cell r="L391" t="str">
            <v>B.</v>
          </cell>
          <cell r="N391" t="str">
            <v>BAHAN</v>
          </cell>
        </row>
        <row r="392">
          <cell r="A392" t="str">
            <v xml:space="preserve">   1.</v>
          </cell>
          <cell r="C392" t="str">
            <v>BAHAN</v>
          </cell>
        </row>
        <row r="393">
          <cell r="C393" t="str">
            <v>Untuk mendapatkan 1 M' gorong-gorong diperlukan</v>
          </cell>
          <cell r="L393" t="str">
            <v>1.</v>
          </cell>
          <cell r="N393" t="str">
            <v>Beton K-300</v>
          </cell>
          <cell r="O393" t="str">
            <v>(EI-714)</v>
          </cell>
          <cell r="P393" t="str">
            <v>M3</v>
          </cell>
          <cell r="Q393">
            <v>0.13579534245141872</v>
          </cell>
          <cell r="R393">
            <v>652902.54982502444</v>
          </cell>
          <cell r="U393">
            <v>88661.125340893675</v>
          </cell>
        </row>
        <row r="394">
          <cell r="C394" t="str">
            <v>- Beton K-300 = (22/7*((2*tg/100+d)/2)^2)-(22/7*(d/2)^2))*1</v>
          </cell>
          <cell r="G394" t="str">
            <v>(EI-714)</v>
          </cell>
          <cell r="H394">
            <v>0.13579534245141872</v>
          </cell>
          <cell r="I394" t="str">
            <v>M3</v>
          </cell>
          <cell r="L394" t="str">
            <v>2.</v>
          </cell>
          <cell r="N394" t="str">
            <v>Baja Tulangan</v>
          </cell>
          <cell r="O394" t="str">
            <v>(M39)</v>
          </cell>
          <cell r="P394" t="str">
            <v>Kg</v>
          </cell>
          <cell r="Q394">
            <v>14.937487669656059</v>
          </cell>
          <cell r="R394">
            <v>4000</v>
          </cell>
          <cell r="U394">
            <v>59749.950678624235</v>
          </cell>
        </row>
        <row r="395">
          <cell r="C395" t="str">
            <v>- Baja Tulangan (asumsi 100kg/m3)</v>
          </cell>
          <cell r="G395" t="str">
            <v>(M39)</v>
          </cell>
          <cell r="H395">
            <v>14.937487669656059</v>
          </cell>
          <cell r="I395" t="str">
            <v>Kg</v>
          </cell>
          <cell r="L395" t="str">
            <v>3.</v>
          </cell>
          <cell r="N395" t="str">
            <v>Urugan Porus</v>
          </cell>
          <cell r="O395" t="str">
            <v>(EI-241)</v>
          </cell>
          <cell r="P395" t="str">
            <v>M3</v>
          </cell>
          <cell r="Q395">
            <v>0.13965000000000002</v>
          </cell>
          <cell r="R395">
            <v>186901.40625406182</v>
          </cell>
          <cell r="U395">
            <v>26100.781383379737</v>
          </cell>
        </row>
        <row r="396">
          <cell r="C396" t="str">
            <v>- Timbunan Porus      = {(tp*(0.3+2*tg/100+d+0.3)*1)*1.05}</v>
          </cell>
          <cell r="G396" t="str">
            <v>(EI-241)</v>
          </cell>
          <cell r="H396">
            <v>0.13965000000000002</v>
          </cell>
          <cell r="I396" t="str">
            <v>M3</v>
          </cell>
          <cell r="L396" t="str">
            <v>4.</v>
          </cell>
          <cell r="N396" t="str">
            <v>Mat. Pilihan</v>
          </cell>
          <cell r="O396" t="str">
            <v>(M09)</v>
          </cell>
          <cell r="P396" t="str">
            <v>M3</v>
          </cell>
          <cell r="Q396">
            <v>0.99875250000000027</v>
          </cell>
          <cell r="R396">
            <v>25000</v>
          </cell>
          <cell r="U396">
            <v>24968.812500000007</v>
          </cell>
        </row>
        <row r="397">
          <cell r="C397" t="str">
            <v>- Material Pilihan</v>
          </cell>
          <cell r="D397" t="str">
            <v>= ((2*tg/100+d+0.3)*(0.3+2*tg/100+d+0.3)</v>
          </cell>
          <cell r="G397" t="str">
            <v>(M09)</v>
          </cell>
          <cell r="H397">
            <v>0.99875250000000027</v>
          </cell>
          <cell r="I397" t="str">
            <v>M3</v>
          </cell>
          <cell r="J397" t="str">
            <v xml:space="preserve"> = Vp</v>
          </cell>
        </row>
        <row r="398">
          <cell r="D398" t="str">
            <v xml:space="preserve">   -(22/7*(0.5*(2*tg/100+d))^2))*1*1.05</v>
          </cell>
        </row>
        <row r="399">
          <cell r="A399" t="str">
            <v xml:space="preserve">   2.</v>
          </cell>
          <cell r="C399" t="str">
            <v>ALAT</v>
          </cell>
          <cell r="Q399" t="str">
            <v xml:space="preserve">JUMLAH HARGA BAHAN   </v>
          </cell>
          <cell r="U399">
            <v>199480.66990289764</v>
          </cell>
        </row>
        <row r="400">
          <cell r="A400" t="str">
            <v>2.a.</v>
          </cell>
          <cell r="C400" t="str">
            <v>TAMPER</v>
          </cell>
          <cell r="G400" t="str">
            <v>(E25)</v>
          </cell>
        </row>
        <row r="401">
          <cell r="C401" t="str">
            <v>Kecepatan</v>
          </cell>
          <cell r="G401" t="str">
            <v>v</v>
          </cell>
          <cell r="H401">
            <v>0.5</v>
          </cell>
          <cell r="I401" t="str">
            <v>Km / Jam</v>
          </cell>
          <cell r="L401" t="str">
            <v>C.</v>
          </cell>
          <cell r="N401" t="str">
            <v>PERALATAN</v>
          </cell>
        </row>
        <row r="402">
          <cell r="C402" t="str">
            <v>Efisiensi alat</v>
          </cell>
          <cell r="G402" t="str">
            <v>Fa</v>
          </cell>
          <cell r="H402">
            <v>0.83</v>
          </cell>
          <cell r="I402" t="str">
            <v>-</v>
          </cell>
        </row>
        <row r="403">
          <cell r="C403" t="str">
            <v>Lebar pemadatan</v>
          </cell>
          <cell r="G403" t="str">
            <v>Lb</v>
          </cell>
          <cell r="H403">
            <v>0.4</v>
          </cell>
          <cell r="I403" t="str">
            <v>M</v>
          </cell>
          <cell r="L403" t="str">
            <v>1.</v>
          </cell>
          <cell r="N403" t="str">
            <v>Tamper</v>
          </cell>
          <cell r="O403" t="str">
            <v>(E25)</v>
          </cell>
          <cell r="P403" t="str">
            <v>Jam</v>
          </cell>
          <cell r="Q403">
            <v>0.30082906626506029</v>
          </cell>
          <cell r="R403">
            <v>18672.16854694486</v>
          </cell>
          <cell r="U403">
            <v>5617.1310291212494</v>
          </cell>
        </row>
        <row r="404">
          <cell r="C404" t="str">
            <v>Banyak lintasan</v>
          </cell>
          <cell r="G404" t="str">
            <v>n</v>
          </cell>
          <cell r="H404">
            <v>10</v>
          </cell>
          <cell r="I404" t="str">
            <v>lintasan</v>
          </cell>
          <cell r="L404" t="str">
            <v>2.</v>
          </cell>
          <cell r="N404" t="str">
            <v>Dump Truck</v>
          </cell>
          <cell r="O404" t="str">
            <v>(E08)</v>
          </cell>
          <cell r="P404" t="str">
            <v>Jam</v>
          </cell>
          <cell r="Q404">
            <v>0.18800200803212852</v>
          </cell>
          <cell r="R404">
            <v>153645.58193291764</v>
          </cell>
          <cell r="U404">
            <v>28885.677928653444</v>
          </cell>
        </row>
        <row r="405">
          <cell r="C405" t="str">
            <v>Tebal lapis hamparan</v>
          </cell>
          <cell r="G405" t="str">
            <v>tp</v>
          </cell>
          <cell r="H405">
            <v>0.2</v>
          </cell>
          <cell r="I405" t="str">
            <v>M</v>
          </cell>
          <cell r="L405" t="str">
            <v>3.</v>
          </cell>
          <cell r="N405" t="str">
            <v>Alat  Bantu</v>
          </cell>
          <cell r="P405" t="str">
            <v>Ls</v>
          </cell>
          <cell r="Q405">
            <v>1</v>
          </cell>
          <cell r="R405">
            <v>900</v>
          </cell>
          <cell r="U405">
            <v>900</v>
          </cell>
        </row>
        <row r="408">
          <cell r="C408" t="str">
            <v>Kap. Prod. / Jam   =</v>
          </cell>
          <cell r="D408" t="str">
            <v>v x 1000 x Fa x Lb x 60</v>
          </cell>
          <cell r="G408" t="str">
            <v>Q1</v>
          </cell>
          <cell r="H408">
            <v>3.3200000000000003</v>
          </cell>
          <cell r="I408" t="str">
            <v xml:space="preserve">M3 / Jam </v>
          </cell>
        </row>
        <row r="409">
          <cell r="D409" t="str">
            <v xml:space="preserve">    n x tp</v>
          </cell>
        </row>
        <row r="411">
          <cell r="C411" t="str">
            <v>Koefisien Alat / m'</v>
          </cell>
          <cell r="D411" t="str">
            <v xml:space="preserve"> =  1  :  Q1 x Vp</v>
          </cell>
          <cell r="G411" t="str">
            <v>(E25)</v>
          </cell>
          <cell r="H411">
            <v>0.30082906626506029</v>
          </cell>
          <cell r="I411" t="str">
            <v>jam</v>
          </cell>
          <cell r="Q411" t="str">
            <v xml:space="preserve">JUMLAH HARGA PERALATAN   </v>
          </cell>
          <cell r="U411">
            <v>35402.808957774694</v>
          </cell>
        </row>
        <row r="413">
          <cell r="A413" t="str">
            <v>2.b.</v>
          </cell>
          <cell r="C413" t="str">
            <v>DUMP TRUCK</v>
          </cell>
          <cell r="G413" t="str">
            <v>(E08)</v>
          </cell>
          <cell r="L413" t="str">
            <v>D.</v>
          </cell>
          <cell r="N413" t="str">
            <v>JUMLAH HARGA TENAGA, BAHAN DAN PERALATAN  ( A + B + C )</v>
          </cell>
          <cell r="U413">
            <v>257133.46186067234</v>
          </cell>
        </row>
        <row r="414">
          <cell r="C414" t="str">
            <v>Kapasitas bak sekali muat</v>
          </cell>
          <cell r="G414" t="str">
            <v>V</v>
          </cell>
          <cell r="H414">
            <v>10</v>
          </cell>
          <cell r="I414" t="str">
            <v>Buah/M'</v>
          </cell>
          <cell r="L414" t="str">
            <v>E.</v>
          </cell>
          <cell r="N414" t="str">
            <v>OVERHEAD &amp; PROFIT</v>
          </cell>
          <cell r="P414">
            <v>10</v>
          </cell>
          <cell r="Q414" t="str">
            <v>%  x  D</v>
          </cell>
          <cell r="U414">
            <v>25713.346186067236</v>
          </cell>
        </row>
        <row r="415">
          <cell r="C415" t="str">
            <v>Faktor efisiensi alat</v>
          </cell>
          <cell r="G415" t="str">
            <v>Fa</v>
          </cell>
          <cell r="H415">
            <v>0.83</v>
          </cell>
          <cell r="L415" t="str">
            <v>F.</v>
          </cell>
          <cell r="N415" t="str">
            <v>HARGA SATUAN PEKERJAAN  ( D + E )</v>
          </cell>
          <cell r="U415">
            <v>282846.80804673955</v>
          </cell>
        </row>
        <row r="416">
          <cell r="C416" t="str">
            <v>Kecepatanrata-rata bermuatan</v>
          </cell>
          <cell r="G416" t="str">
            <v>v1</v>
          </cell>
          <cell r="H416">
            <v>20</v>
          </cell>
          <cell r="I416" t="str">
            <v>Km/Jam</v>
          </cell>
          <cell r="L416" t="str">
            <v>Note: 1</v>
          </cell>
          <cell r="N416" t="str">
            <v>SATUAN dapat berdasarkan atas jam operasi untuk Tenaga Kerja dan Peralatan, volume dan/atau ukuran</v>
          </cell>
        </row>
        <row r="417">
          <cell r="C417" t="str">
            <v>Kecepatan rata-rata kosong</v>
          </cell>
          <cell r="G417" t="str">
            <v>v2</v>
          </cell>
          <cell r="H417">
            <v>30</v>
          </cell>
          <cell r="I417" t="str">
            <v>Km/Jam</v>
          </cell>
          <cell r="N417" t="str">
            <v>berat untuk bahan-bahan.</v>
          </cell>
        </row>
        <row r="418">
          <cell r="C418" t="str">
            <v>Waktu siklus    :</v>
          </cell>
          <cell r="G418" t="str">
            <v>Ts</v>
          </cell>
          <cell r="L418">
            <v>2</v>
          </cell>
          <cell r="N418" t="str">
            <v>Kuantitas satuan adalah kuantitas setiap komponen untuk menyelesaikan satu satuan pekerjaan dari nomor</v>
          </cell>
        </row>
        <row r="419">
          <cell r="C419" t="str">
            <v>- Waktu  tempuh in  si  = (L : v1 ) x 60</v>
          </cell>
          <cell r="G419" t="str">
            <v>T1</v>
          </cell>
          <cell r="H419">
            <v>26.174999999999997</v>
          </cell>
          <cell r="I419" t="str">
            <v>menit</v>
          </cell>
          <cell r="N419" t="str">
            <v>mata pembayaran.</v>
          </cell>
        </row>
        <row r="420">
          <cell r="C420" t="str">
            <v>-  Waktutempuh kosong  = (L : v2)  x  60</v>
          </cell>
          <cell r="G420" t="str">
            <v>T2</v>
          </cell>
          <cell r="H420">
            <v>17.45</v>
          </cell>
          <cell r="I420" t="str">
            <v>menit</v>
          </cell>
          <cell r="L420">
            <v>3</v>
          </cell>
          <cell r="N420" t="str">
            <v>Biaya satuan untuk peralatan sudah termasuk bahan bakar, bahan habis dipakai dan operator.</v>
          </cell>
        </row>
        <row r="421">
          <cell r="C421" t="str">
            <v>-  Muat, bongkar dan lain-lain</v>
          </cell>
          <cell r="G421" t="str">
            <v>T3</v>
          </cell>
          <cell r="H421">
            <v>50</v>
          </cell>
          <cell r="I421" t="str">
            <v>menit</v>
          </cell>
          <cell r="L421">
            <v>4</v>
          </cell>
          <cell r="N421" t="str">
            <v>Biaya satuan sudah termasuk pengeluaran untuk seluruh pajak yang berkaitan (tetapi tidak termasuk PPN</v>
          </cell>
        </row>
        <row r="422">
          <cell r="G422" t="str">
            <v>Ts</v>
          </cell>
          <cell r="H422">
            <v>93.625</v>
          </cell>
          <cell r="I422" t="str">
            <v>menit</v>
          </cell>
          <cell r="N422" t="str">
            <v>yang dibayar dari kontrak) dan biaya-biaya lainnya.</v>
          </cell>
        </row>
        <row r="423">
          <cell r="J423" t="str">
            <v>Berlanjut ke halaman berikut</v>
          </cell>
        </row>
        <row r="424">
          <cell r="A424" t="str">
            <v>ITEM PEMBAYARAN NO.</v>
          </cell>
          <cell r="D424" t="str">
            <v>:  2.3 (2)</v>
          </cell>
          <cell r="J424" t="str">
            <v xml:space="preserve">Analisa EI-232 </v>
          </cell>
        </row>
        <row r="425">
          <cell r="A425" t="str">
            <v>JENIS PEKERJAAN</v>
          </cell>
          <cell r="D425" t="str">
            <v>:  Gorong2 Pipa Beton Bertulang 500 mm &lt; diameter dalam 700 mm</v>
          </cell>
        </row>
        <row r="426">
          <cell r="A426" t="str">
            <v>SATUAN PEMBAYARAN</v>
          </cell>
          <cell r="D426" t="str">
            <v>:  M1</v>
          </cell>
          <cell r="J426" t="str">
            <v xml:space="preserve">         URAIAN ANALISA HARGA SATUAN</v>
          </cell>
        </row>
        <row r="427">
          <cell r="J427" t="str">
            <v>Lanjutan</v>
          </cell>
        </row>
        <row r="429">
          <cell r="A429" t="str">
            <v>No.</v>
          </cell>
          <cell r="C429" t="str">
            <v>U R A I A N</v>
          </cell>
          <cell r="G429" t="str">
            <v>KODE</v>
          </cell>
          <cell r="H429" t="str">
            <v>KOEF.</v>
          </cell>
          <cell r="I429" t="str">
            <v>SATUAN</v>
          </cell>
          <cell r="J429" t="str">
            <v>KETERANGAN</v>
          </cell>
        </row>
        <row r="432">
          <cell r="C432" t="str">
            <v>Kapasitas Produksi / Jam   =</v>
          </cell>
          <cell r="E432" t="str">
            <v>V x Fa x 60</v>
          </cell>
          <cell r="G432" t="str">
            <v>Q2</v>
          </cell>
          <cell r="H432">
            <v>5.3190921228304404</v>
          </cell>
          <cell r="I432" t="str">
            <v xml:space="preserve">M' / Jam </v>
          </cell>
        </row>
        <row r="433">
          <cell r="E433" t="str">
            <v xml:space="preserve">    Ts</v>
          </cell>
        </row>
        <row r="435">
          <cell r="C435" t="str">
            <v>Koefisien Alat / m'</v>
          </cell>
          <cell r="D435" t="str">
            <v xml:space="preserve"> =  1  :  Q2</v>
          </cell>
          <cell r="G435" t="str">
            <v>(E08)</v>
          </cell>
          <cell r="H435">
            <v>0.18800200803212852</v>
          </cell>
          <cell r="I435" t="str">
            <v>jam</v>
          </cell>
        </row>
        <row r="438">
          <cell r="A438" t="str">
            <v>2.c.</v>
          </cell>
          <cell r="C438" t="str">
            <v>ALAT  BANTU</v>
          </cell>
        </row>
        <row r="439">
          <cell r="C439" t="str">
            <v>Diperlukan alat-alat bantu kecil</v>
          </cell>
          <cell r="J439" t="str">
            <v>Lump Sump</v>
          </cell>
        </row>
        <row r="440">
          <cell r="C440" t="str">
            <v>- Sekop    =         3   buah</v>
          </cell>
        </row>
        <row r="441">
          <cell r="C441" t="str">
            <v>- Pacul     =         3   buah</v>
          </cell>
        </row>
        <row r="442">
          <cell r="C442" t="str">
            <v>- Alat-alat kecil lain</v>
          </cell>
        </row>
        <row r="444">
          <cell r="A444" t="str">
            <v xml:space="preserve">   3.</v>
          </cell>
          <cell r="C444" t="str">
            <v>TENAGA</v>
          </cell>
        </row>
        <row r="445">
          <cell r="C445" t="str">
            <v>Produksi Gorong-gorong / hari</v>
          </cell>
          <cell r="G445" t="str">
            <v>Qt</v>
          </cell>
          <cell r="H445">
            <v>10</v>
          </cell>
          <cell r="I445" t="str">
            <v>M'</v>
          </cell>
        </row>
        <row r="446">
          <cell r="C446" t="str">
            <v>Kebutuhan tenaga :</v>
          </cell>
        </row>
        <row r="447">
          <cell r="D447" t="str">
            <v>- Pekerja</v>
          </cell>
          <cell r="G447" t="str">
            <v>P</v>
          </cell>
          <cell r="H447">
            <v>7</v>
          </cell>
          <cell r="I447" t="str">
            <v>orang</v>
          </cell>
        </row>
        <row r="448">
          <cell r="D448" t="str">
            <v>- Tukang</v>
          </cell>
          <cell r="G448" t="str">
            <v>T</v>
          </cell>
          <cell r="H448">
            <v>2</v>
          </cell>
          <cell r="I448" t="str">
            <v>orang</v>
          </cell>
        </row>
        <row r="449">
          <cell r="D449" t="str">
            <v>- Mandor</v>
          </cell>
          <cell r="G449" t="str">
            <v>M</v>
          </cell>
          <cell r="H449">
            <v>1</v>
          </cell>
          <cell r="I449" t="str">
            <v>orang</v>
          </cell>
        </row>
        <row r="451">
          <cell r="C451" t="str">
            <v>Koefisien tenaga / M'   :</v>
          </cell>
        </row>
        <row r="452">
          <cell r="D452" t="str">
            <v>- Pekerja</v>
          </cell>
          <cell r="E452" t="str">
            <v>= (Tk x P) : Qt</v>
          </cell>
          <cell r="G452" t="str">
            <v>(L01)</v>
          </cell>
          <cell r="H452">
            <v>4.9000000000000004</v>
          </cell>
          <cell r="I452" t="str">
            <v>jam</v>
          </cell>
        </row>
        <row r="453">
          <cell r="D453" t="str">
            <v>- Tukang</v>
          </cell>
          <cell r="E453" t="str">
            <v>= (Tk x T) : Qt</v>
          </cell>
          <cell r="G453" t="str">
            <v>(L02)</v>
          </cell>
          <cell r="H453">
            <v>1.4</v>
          </cell>
          <cell r="I453" t="str">
            <v>jam</v>
          </cell>
        </row>
        <row r="454">
          <cell r="D454" t="str">
            <v>- Mandor</v>
          </cell>
          <cell r="E454" t="str">
            <v>= (Tk x M) : Qt</v>
          </cell>
          <cell r="G454" t="str">
            <v>(L03)</v>
          </cell>
          <cell r="H454">
            <v>0.7</v>
          </cell>
          <cell r="I454" t="str">
            <v>jam</v>
          </cell>
        </row>
        <row r="456">
          <cell r="A456" t="str">
            <v>4.</v>
          </cell>
          <cell r="C456" t="str">
            <v>HARGA DASAR SATUAN UPAH, BAHAN DAN ALAT</v>
          </cell>
        </row>
        <row r="457">
          <cell r="C457" t="str">
            <v>Lihat lampiran.</v>
          </cell>
        </row>
        <row r="460">
          <cell r="A460" t="str">
            <v>5.</v>
          </cell>
          <cell r="C460" t="str">
            <v>ANALISA HARGA SATUAN PEKERJAAN</v>
          </cell>
        </row>
        <row r="461">
          <cell r="C461" t="str">
            <v>Lihat perhitungan dalam FORMULIR STANDAR UNTUK</v>
          </cell>
        </row>
        <row r="462">
          <cell r="C462" t="str">
            <v>PEREKEMAN ANALISA MASING-MASING HARGA</v>
          </cell>
        </row>
        <row r="463">
          <cell r="C463" t="str">
            <v>SATUAN.</v>
          </cell>
        </row>
        <row r="464">
          <cell r="C464" t="str">
            <v>Didapat Harga Satuan Pekerjaan :</v>
          </cell>
        </row>
        <row r="466">
          <cell r="C466" t="str">
            <v xml:space="preserve">Rp.  </v>
          </cell>
          <cell r="D466">
            <v>282846.80804673955</v>
          </cell>
          <cell r="E466" t="str">
            <v xml:space="preserve"> / M'</v>
          </cell>
        </row>
        <row r="469">
          <cell r="A469" t="str">
            <v>6.</v>
          </cell>
          <cell r="C469" t="str">
            <v>WAKTU PELAKSANAAN YANG DIPERLUKAN</v>
          </cell>
        </row>
        <row r="470">
          <cell r="C470" t="str">
            <v>Masa Pelaksanaan :</v>
          </cell>
          <cell r="D470" t="str">
            <v>. . . . . . . . . . . .</v>
          </cell>
          <cell r="E470" t="str">
            <v>bulan</v>
          </cell>
        </row>
        <row r="472">
          <cell r="A472" t="str">
            <v>7.</v>
          </cell>
          <cell r="C472" t="str">
            <v>VOLUME PEKERJAAN YANG DIPERLUKAN</v>
          </cell>
        </row>
        <row r="473">
          <cell r="C473" t="str">
            <v>Volume pekerjaan  :</v>
          </cell>
          <cell r="D473">
            <v>1</v>
          </cell>
          <cell r="E473" t="str">
            <v>M'</v>
          </cell>
        </row>
        <row r="483">
          <cell r="A483" t="str">
            <v>ITEM PEMBAYARAN NO.</v>
          </cell>
          <cell r="D483" t="str">
            <v>:  2.3 (3)</v>
          </cell>
          <cell r="J483" t="str">
            <v xml:space="preserve">Analisa EI-233 </v>
          </cell>
        </row>
        <row r="484">
          <cell r="A484" t="str">
            <v>JENIS PEKERJAAN</v>
          </cell>
          <cell r="D484" t="str">
            <v>:  Gorong2 Pipa Beton Bertulang 500 mm &lt; diameter dalam &lt; 1 m</v>
          </cell>
          <cell r="L484" t="str">
            <v>FORMULIR STANDAR UNTUK</v>
          </cell>
        </row>
        <row r="485">
          <cell r="A485" t="str">
            <v>SATUAN PEMBAYARAN</v>
          </cell>
          <cell r="D485" t="str">
            <v>:  M1</v>
          </cell>
          <cell r="J485" t="str">
            <v xml:space="preserve">         URAIAN ANALISA HARGA SATUAN</v>
          </cell>
          <cell r="L485" t="str">
            <v>PEREKAMAN ANALISA MASING-MASING HARGA SATUAN</v>
          </cell>
        </row>
        <row r="486">
          <cell r="L486" t="str">
            <v/>
          </cell>
        </row>
        <row r="488">
          <cell r="A488" t="str">
            <v>No.</v>
          </cell>
          <cell r="C488" t="str">
            <v>U R A I A N</v>
          </cell>
          <cell r="G488" t="str">
            <v>KODE</v>
          </cell>
          <cell r="H488" t="str">
            <v>KOEF.</v>
          </cell>
          <cell r="I488" t="str">
            <v>SATUAN</v>
          </cell>
          <cell r="J488" t="str">
            <v>KETERANGAN</v>
          </cell>
        </row>
        <row r="489">
          <cell r="L489" t="str">
            <v>PROYEK</v>
          </cell>
          <cell r="O489" t="str">
            <v>:</v>
          </cell>
        </row>
        <row r="490">
          <cell r="L490" t="str">
            <v>No. PAKET KONTRAK</v>
          </cell>
          <cell r="O490" t="str">
            <v>:</v>
          </cell>
        </row>
        <row r="491">
          <cell r="A491" t="str">
            <v>I.</v>
          </cell>
          <cell r="C491" t="str">
            <v>ASUMSI</v>
          </cell>
          <cell r="L491" t="str">
            <v>NAMA PAKET</v>
          </cell>
          <cell r="O491" t="str">
            <v>:</v>
          </cell>
        </row>
        <row r="492">
          <cell r="A492">
            <v>1</v>
          </cell>
          <cell r="C492" t="str">
            <v>Pekerjaan dilakukan secara mekanik/manual</v>
          </cell>
          <cell r="L492" t="str">
            <v>PROP / KAB / KODYA</v>
          </cell>
          <cell r="O492" t="str">
            <v>:</v>
          </cell>
        </row>
        <row r="493">
          <cell r="A493">
            <v>2</v>
          </cell>
          <cell r="C493" t="str">
            <v>Lokasi pekerjaan : sepanjang jalan</v>
          </cell>
          <cell r="L493" t="str">
            <v>ITEM PEMBAYARAN NO.</v>
          </cell>
          <cell r="O493" t="str">
            <v>:  2.3 (3)</v>
          </cell>
          <cell r="R493" t="str">
            <v>PERKIRAAN VOL. PEK.</v>
          </cell>
          <cell r="T493" t="str">
            <v>:</v>
          </cell>
          <cell r="U493">
            <v>1</v>
          </cell>
        </row>
        <row r="494">
          <cell r="A494">
            <v>3</v>
          </cell>
          <cell r="C494" t="str">
            <v>Diameter bagian dalam gorong-gorong</v>
          </cell>
          <cell r="G494" t="str">
            <v>d</v>
          </cell>
          <cell r="H494">
            <v>0.8</v>
          </cell>
          <cell r="I494" t="str">
            <v>m</v>
          </cell>
          <cell r="L494" t="str">
            <v>JENIS PEKERJAAN</v>
          </cell>
          <cell r="O494" t="str">
            <v>:  Gorong2 Pipa Beton Bertulang 500 mm &lt; diameter dalam &lt; 1 m</v>
          </cell>
          <cell r="R494" t="str">
            <v>TOTAL HARGA (Rp.)</v>
          </cell>
          <cell r="T494" t="str">
            <v>:</v>
          </cell>
          <cell r="U494">
            <v>447945.27138535964</v>
          </cell>
        </row>
        <row r="495">
          <cell r="A495">
            <v>4</v>
          </cell>
          <cell r="C495" t="str">
            <v>Jarak rata-rata Base Camp ke lokasi pekerjaan</v>
          </cell>
          <cell r="G495" t="str">
            <v>L</v>
          </cell>
          <cell r="H495">
            <v>8.7249999999999996</v>
          </cell>
          <cell r="I495" t="str">
            <v>Km</v>
          </cell>
          <cell r="L495" t="str">
            <v>SATUAN PEMBAYARAN</v>
          </cell>
          <cell r="O495" t="str">
            <v>:  M1</v>
          </cell>
          <cell r="Q495">
            <v>0</v>
          </cell>
          <cell r="R495" t="str">
            <v>% THD. BIAYA PROYEK</v>
          </cell>
          <cell r="T495" t="str">
            <v>:</v>
          </cell>
          <cell r="U495" t="e">
            <v>#DIV/0!</v>
          </cell>
        </row>
        <row r="496">
          <cell r="A496">
            <v>5</v>
          </cell>
          <cell r="C496" t="str">
            <v>Jam kerja efektif per-hari</v>
          </cell>
          <cell r="G496" t="str">
            <v>Tk</v>
          </cell>
          <cell r="H496">
            <v>7</v>
          </cell>
          <cell r="I496" t="str">
            <v>Jam</v>
          </cell>
        </row>
        <row r="497">
          <cell r="A497">
            <v>6</v>
          </cell>
          <cell r="C497" t="str">
            <v>Tebal gorong-gorong</v>
          </cell>
          <cell r="G497" t="str">
            <v>tg</v>
          </cell>
          <cell r="H497">
            <v>7.5</v>
          </cell>
          <cell r="I497" t="str">
            <v>Cm</v>
          </cell>
        </row>
        <row r="498">
          <cell r="Q498" t="str">
            <v>PERKIRAAN</v>
          </cell>
          <cell r="R498" t="str">
            <v>HARGA</v>
          </cell>
          <cell r="S498" t="str">
            <v>JUMLAH</v>
          </cell>
        </row>
        <row r="499">
          <cell r="A499" t="str">
            <v>II.</v>
          </cell>
          <cell r="C499" t="str">
            <v>URUTAN KERJA</v>
          </cell>
          <cell r="L499" t="str">
            <v>NO.</v>
          </cell>
          <cell r="N499" t="str">
            <v>KOMPONEN</v>
          </cell>
          <cell r="P499" t="str">
            <v>SATUAN</v>
          </cell>
          <cell r="Q499" t="str">
            <v>KUANTITAS</v>
          </cell>
          <cell r="R499" t="str">
            <v>SATUAN</v>
          </cell>
          <cell r="S499" t="str">
            <v>HARGA</v>
          </cell>
        </row>
        <row r="500">
          <cell r="A500">
            <v>1</v>
          </cell>
          <cell r="C500" t="str">
            <v>Gorong-gorong dicetak di Base Camp</v>
          </cell>
          <cell r="R500" t="str">
            <v>(Rp.)</v>
          </cell>
          <cell r="S500" t="str">
            <v>(Rp.)</v>
          </cell>
        </row>
        <row r="501">
          <cell r="A501">
            <v>2</v>
          </cell>
          <cell r="C501" t="str">
            <v>Dump Truck mengangkut gorong-gorong jadi</v>
          </cell>
        </row>
        <row r="502">
          <cell r="C502" t="str">
            <v>ke lapangan</v>
          </cell>
        </row>
        <row r="503">
          <cell r="A503">
            <v>3</v>
          </cell>
          <cell r="C503" t="str">
            <v>Dasar gorong-gorong digali sesuai kebutuhan dan ma-</v>
          </cell>
          <cell r="L503" t="str">
            <v>A.</v>
          </cell>
          <cell r="N503" t="str">
            <v>TENAGA</v>
          </cell>
        </row>
        <row r="504">
          <cell r="C504" t="str">
            <v>terial backfill dipadatkan dengan Tamper</v>
          </cell>
        </row>
        <row r="505">
          <cell r="A505">
            <v>4</v>
          </cell>
          <cell r="C505" t="str">
            <v>Tebal lapis porus pada dasar gorong-gorong pipa</v>
          </cell>
          <cell r="G505" t="str">
            <v>tp</v>
          </cell>
          <cell r="H505">
            <v>0.12</v>
          </cell>
          <cell r="I505" t="str">
            <v>M</v>
          </cell>
          <cell r="J505" t="str">
            <v xml:space="preserve"> Sand bedding</v>
          </cell>
          <cell r="L505" t="str">
            <v>1.</v>
          </cell>
          <cell r="N505" t="str">
            <v>Pekerja</v>
          </cell>
          <cell r="O505" t="str">
            <v>(L01)</v>
          </cell>
          <cell r="P505" t="str">
            <v>Jam</v>
          </cell>
          <cell r="Q505">
            <v>9.3333333333333339</v>
          </cell>
          <cell r="R505">
            <v>2857.14</v>
          </cell>
          <cell r="U505">
            <v>26666.639999999999</v>
          </cell>
        </row>
        <row r="506">
          <cell r="A506">
            <v>5</v>
          </cell>
          <cell r="C506" t="str">
            <v>Material pilihan untuk penimbunan kembali (padat)</v>
          </cell>
          <cell r="L506" t="str">
            <v>2.</v>
          </cell>
          <cell r="N506" t="str">
            <v>Tukang</v>
          </cell>
          <cell r="O506" t="str">
            <v>(L02)</v>
          </cell>
          <cell r="P506" t="str">
            <v>Jam</v>
          </cell>
          <cell r="Q506">
            <v>1.1666666666666667</v>
          </cell>
          <cell r="R506">
            <v>4285.71</v>
          </cell>
          <cell r="U506">
            <v>4999.9950000000008</v>
          </cell>
        </row>
        <row r="507">
          <cell r="A507">
            <v>6</v>
          </cell>
          <cell r="C507" t="str">
            <v>Sekelompok pekerja akan melaksanakan pekerjaan</v>
          </cell>
          <cell r="L507" t="str">
            <v>3.</v>
          </cell>
          <cell r="N507" t="str">
            <v>Mandor</v>
          </cell>
          <cell r="O507" t="str">
            <v>(L03)</v>
          </cell>
          <cell r="P507" t="str">
            <v>Jam</v>
          </cell>
          <cell r="Q507">
            <v>1.1666666666666667</v>
          </cell>
          <cell r="R507">
            <v>3214.29</v>
          </cell>
          <cell r="U507">
            <v>3750.0050000000001</v>
          </cell>
        </row>
        <row r="508">
          <cell r="C508" t="str">
            <v>dengan cara manual dengan menggunakan alat bantu</v>
          </cell>
        </row>
        <row r="509">
          <cell r="Q509" t="str">
            <v xml:space="preserve">JUMLAH HARGA TENAGA   </v>
          </cell>
          <cell r="U509">
            <v>35416.639999999999</v>
          </cell>
        </row>
        <row r="511">
          <cell r="A511" t="str">
            <v>III.</v>
          </cell>
          <cell r="C511" t="str">
            <v>PEMAKAIAN BAHAN, ALAT DAN TENAGA</v>
          </cell>
          <cell r="L511" t="str">
            <v>B.</v>
          </cell>
          <cell r="N511" t="str">
            <v>BAHAN</v>
          </cell>
        </row>
        <row r="512">
          <cell r="A512" t="str">
            <v xml:space="preserve">   1.</v>
          </cell>
          <cell r="C512" t="str">
            <v>BAHAN</v>
          </cell>
        </row>
        <row r="513">
          <cell r="C513" t="str">
            <v>Untuk mendapatkan 1 M' gorong-gorong diperlukan</v>
          </cell>
          <cell r="L513" t="str">
            <v>1.</v>
          </cell>
          <cell r="N513" t="str">
            <v>Beton K-300</v>
          </cell>
          <cell r="O513" t="str">
            <v>(EI-714)</v>
          </cell>
          <cell r="P513" t="str">
            <v>M3</v>
          </cell>
          <cell r="Q513">
            <v>0.20616701789183023</v>
          </cell>
          <cell r="R513">
            <v>652902.54982502444</v>
          </cell>
          <cell r="U513">
            <v>134606.97167139739</v>
          </cell>
        </row>
        <row r="514">
          <cell r="C514" t="str">
            <v>- Beton K-300 = (22/7*((2*tg/100+d)/2)^2)-(22/7*(d/2)^2))*1</v>
          </cell>
          <cell r="G514" t="str">
            <v>(EI-714)</v>
          </cell>
          <cell r="H514">
            <v>0.20616701789183023</v>
          </cell>
          <cell r="I514" t="str">
            <v>M3</v>
          </cell>
          <cell r="L514" t="str">
            <v>2.</v>
          </cell>
          <cell r="N514" t="str">
            <v>Baja Tulangan</v>
          </cell>
          <cell r="O514" t="str">
            <v>(M39)</v>
          </cell>
          <cell r="P514" t="str">
            <v>Kg</v>
          </cell>
          <cell r="Q514">
            <v>22.678371968101327</v>
          </cell>
          <cell r="R514">
            <v>4000</v>
          </cell>
          <cell r="U514">
            <v>90713.487872405312</v>
          </cell>
        </row>
        <row r="515">
          <cell r="C515" t="str">
            <v>- Baja Tulangan (asumsi 100kg/m3)</v>
          </cell>
          <cell r="G515" t="str">
            <v>(M39)</v>
          </cell>
          <cell r="H515">
            <v>22.678371968101327</v>
          </cell>
          <cell r="I515" t="str">
            <v>Kg</v>
          </cell>
          <cell r="L515" t="str">
            <v>3.</v>
          </cell>
          <cell r="N515" t="str">
            <v>Urugan Porus</v>
          </cell>
          <cell r="O515" t="str">
            <v>(EI-241)</v>
          </cell>
          <cell r="P515" t="str">
            <v>M3</v>
          </cell>
          <cell r="Q515">
            <v>0.2205</v>
          </cell>
          <cell r="R515">
            <v>186901.40625406182</v>
          </cell>
          <cell r="U515">
            <v>41211.760079020634</v>
          </cell>
        </row>
        <row r="516">
          <cell r="C516" t="str">
            <v>- Timbunan Porus      = {(tp*(0.4+2*tg/100+d+0.4)*1)*1.05}</v>
          </cell>
          <cell r="G516" t="str">
            <v>(EI-241)</v>
          </cell>
          <cell r="H516">
            <v>0.2205</v>
          </cell>
          <cell r="I516" t="str">
            <v>M3</v>
          </cell>
          <cell r="L516" t="str">
            <v>4.</v>
          </cell>
          <cell r="N516" t="str">
            <v>Mat. Pilihan</v>
          </cell>
          <cell r="O516" t="str">
            <v>(M09)</v>
          </cell>
          <cell r="P516" t="str">
            <v>M3</v>
          </cell>
          <cell r="Q516">
            <v>1.5523125</v>
          </cell>
          <cell r="R516">
            <v>25000</v>
          </cell>
          <cell r="U516">
            <v>38807.8125</v>
          </cell>
        </row>
        <row r="517">
          <cell r="C517" t="str">
            <v>- Material Pilihan</v>
          </cell>
          <cell r="D517" t="str">
            <v>= ((2*tg/100+d+0.3)*(0.4+2*tg/100+d+0.4)</v>
          </cell>
          <cell r="G517" t="str">
            <v>(M09)</v>
          </cell>
          <cell r="H517">
            <v>1.5523125</v>
          </cell>
          <cell r="I517" t="str">
            <v>M3</v>
          </cell>
          <cell r="J517" t="str">
            <v xml:space="preserve"> = Vp</v>
          </cell>
        </row>
        <row r="518">
          <cell r="D518" t="str">
            <v xml:space="preserve">   -(22/7*(0.5*(2*tg/100+d))^2))*1*1.05</v>
          </cell>
        </row>
        <row r="519">
          <cell r="A519" t="str">
            <v xml:space="preserve">   2.</v>
          </cell>
          <cell r="C519" t="str">
            <v>ALAT</v>
          </cell>
          <cell r="Q519" t="str">
            <v xml:space="preserve">JUMLAH HARGA BAHAN   </v>
          </cell>
          <cell r="U519">
            <v>305340.03212282335</v>
          </cell>
        </row>
        <row r="520">
          <cell r="A520" t="str">
            <v>2.a.</v>
          </cell>
          <cell r="C520" t="str">
            <v>TAMPER</v>
          </cell>
          <cell r="G520" t="str">
            <v>(E25)</v>
          </cell>
        </row>
        <row r="521">
          <cell r="C521" t="str">
            <v>Kecepatan</v>
          </cell>
          <cell r="G521" t="str">
            <v>V</v>
          </cell>
          <cell r="H521">
            <v>0.5</v>
          </cell>
          <cell r="I521" t="str">
            <v>Km / Jam</v>
          </cell>
          <cell r="L521" t="str">
            <v>C.</v>
          </cell>
          <cell r="N521" t="str">
            <v>PERALATAN</v>
          </cell>
        </row>
        <row r="522">
          <cell r="C522" t="str">
            <v>Efisiensi alat</v>
          </cell>
          <cell r="G522" t="str">
            <v>Fa</v>
          </cell>
          <cell r="H522">
            <v>0.83</v>
          </cell>
          <cell r="I522" t="str">
            <v>-</v>
          </cell>
        </row>
        <row r="523">
          <cell r="C523" t="str">
            <v>Lebar pemadatan</v>
          </cell>
          <cell r="G523" t="str">
            <v>Lb</v>
          </cell>
          <cell r="H523">
            <v>0.4</v>
          </cell>
          <cell r="I523" t="str">
            <v>M</v>
          </cell>
          <cell r="L523" t="str">
            <v>1.</v>
          </cell>
          <cell r="N523" t="str">
            <v>Tamper</v>
          </cell>
          <cell r="O523" t="str">
            <v>(E25)</v>
          </cell>
          <cell r="P523" t="str">
            <v>Jam</v>
          </cell>
          <cell r="Q523">
            <v>0.46756400602409631</v>
          </cell>
          <cell r="R523">
            <v>18672.16854694486</v>
          </cell>
          <cell r="U523">
            <v>8730.4339269666689</v>
          </cell>
        </row>
        <row r="524">
          <cell r="C524" t="str">
            <v>Banyak lintasan</v>
          </cell>
          <cell r="G524" t="str">
            <v>n</v>
          </cell>
          <cell r="H524">
            <v>10</v>
          </cell>
          <cell r="I524" t="str">
            <v>lintasan</v>
          </cell>
          <cell r="L524" t="str">
            <v>2.</v>
          </cell>
          <cell r="N524" t="str">
            <v>Dump Truck</v>
          </cell>
          <cell r="O524" t="str">
            <v>(E08)</v>
          </cell>
          <cell r="P524" t="str">
            <v>Jam</v>
          </cell>
          <cell r="Q524">
            <v>0.36926455823293175</v>
          </cell>
          <cell r="R524">
            <v>153645.58193291764</v>
          </cell>
          <cell r="U524">
            <v>56735.867936900555</v>
          </cell>
        </row>
        <row r="525">
          <cell r="C525" t="str">
            <v>Tebal lapis hamparan</v>
          </cell>
          <cell r="G525" t="str">
            <v>tp</v>
          </cell>
          <cell r="H525">
            <v>0.2</v>
          </cell>
          <cell r="I525" t="str">
            <v>M</v>
          </cell>
          <cell r="L525" t="str">
            <v>3.</v>
          </cell>
          <cell r="N525" t="str">
            <v>Alat  Bantu</v>
          </cell>
          <cell r="P525" t="str">
            <v>Ls</v>
          </cell>
          <cell r="Q525">
            <v>1</v>
          </cell>
          <cell r="R525">
            <v>1000</v>
          </cell>
          <cell r="U525">
            <v>1000</v>
          </cell>
        </row>
        <row r="528">
          <cell r="C528" t="str">
            <v>Kap. Prod. / Jam   =</v>
          </cell>
          <cell r="D528" t="str">
            <v>v x 1000 x Fa x Lb x 60</v>
          </cell>
          <cell r="G528" t="str">
            <v>Q1</v>
          </cell>
          <cell r="H528">
            <v>3.3200000000000003</v>
          </cell>
          <cell r="I528" t="str">
            <v xml:space="preserve">M3 / Jam </v>
          </cell>
        </row>
        <row r="529">
          <cell r="D529" t="str">
            <v xml:space="preserve">    n x tp</v>
          </cell>
        </row>
        <row r="531">
          <cell r="C531" t="str">
            <v>Koefisien Alat / m'</v>
          </cell>
          <cell r="D531" t="str">
            <v xml:space="preserve"> =  1  :  Q1 x Vp</v>
          </cell>
          <cell r="G531" t="str">
            <v>(E25)</v>
          </cell>
          <cell r="H531">
            <v>0.46756400602409631</v>
          </cell>
          <cell r="I531" t="str">
            <v>jam</v>
          </cell>
          <cell r="Q531" t="str">
            <v xml:space="preserve">JUMLAH HARGA PERALATAN   </v>
          </cell>
          <cell r="U531">
            <v>66466.301863867222</v>
          </cell>
        </row>
        <row r="533">
          <cell r="A533" t="str">
            <v>2.b.</v>
          </cell>
          <cell r="C533" t="str">
            <v>DUMP TRUCK</v>
          </cell>
          <cell r="G533" t="str">
            <v>(E08)</v>
          </cell>
          <cell r="L533" t="str">
            <v>D.</v>
          </cell>
          <cell r="N533" t="str">
            <v>JUMLAH HARGA TENAGA, BAHAN DAN PERALATAN  ( A + B + C )</v>
          </cell>
          <cell r="U533">
            <v>407222.97398669057</v>
          </cell>
        </row>
        <row r="534">
          <cell r="C534" t="str">
            <v>Kapasitas bak sekali muat</v>
          </cell>
          <cell r="G534" t="str">
            <v>V</v>
          </cell>
          <cell r="H534">
            <v>4</v>
          </cell>
          <cell r="I534" t="str">
            <v>Buah/M'</v>
          </cell>
          <cell r="L534" t="str">
            <v>E.</v>
          </cell>
          <cell r="N534" t="str">
            <v>OVERHEAD &amp; PROFIT</v>
          </cell>
          <cell r="P534">
            <v>10</v>
          </cell>
          <cell r="Q534" t="str">
            <v>%  x  D</v>
          </cell>
          <cell r="U534">
            <v>40722.297398669063</v>
          </cell>
        </row>
        <row r="535">
          <cell r="C535" t="str">
            <v>Faktor efisiensi alat</v>
          </cell>
          <cell r="G535" t="str">
            <v>Fa</v>
          </cell>
          <cell r="H535">
            <v>0.83</v>
          </cell>
          <cell r="L535" t="str">
            <v>F.</v>
          </cell>
          <cell r="N535" t="str">
            <v>HARGA SATUAN PEKERJAAN  ( D + E )</v>
          </cell>
          <cell r="U535">
            <v>447945.27138535964</v>
          </cell>
        </row>
        <row r="536">
          <cell r="C536" t="str">
            <v>Kecepatanrata-rata bermuatan</v>
          </cell>
          <cell r="G536" t="str">
            <v>v1</v>
          </cell>
          <cell r="H536">
            <v>40</v>
          </cell>
          <cell r="L536" t="str">
            <v>Note: 1</v>
          </cell>
          <cell r="N536" t="str">
            <v>SATUAN dapat berdasarkan atas jam operasi untuk Tenaga Kerja dan Peralatan, volume dan/atau ukuran</v>
          </cell>
        </row>
        <row r="537">
          <cell r="C537" t="str">
            <v>Kecepatan rata-rata kosong</v>
          </cell>
          <cell r="G537" t="str">
            <v>v2</v>
          </cell>
          <cell r="H537">
            <v>50</v>
          </cell>
          <cell r="N537" t="str">
            <v>berat untuk bahan-bahan.</v>
          </cell>
        </row>
        <row r="538">
          <cell r="C538" t="str">
            <v>Waktu siklus    :</v>
          </cell>
          <cell r="G538" t="str">
            <v>Ts</v>
          </cell>
          <cell r="L538">
            <v>2</v>
          </cell>
          <cell r="N538" t="str">
            <v>Kuantitas satuan adalah kuantitas setiap komponen untuk menyelesaikan satu satuan pekerjaan dari nomor</v>
          </cell>
        </row>
        <row r="539">
          <cell r="C539" t="str">
            <v>- Waktu  tempuh in  si    = (L : v1 ) x 60</v>
          </cell>
          <cell r="G539" t="str">
            <v>T1</v>
          </cell>
          <cell r="H539">
            <v>13.087499999999999</v>
          </cell>
          <cell r="I539" t="str">
            <v>menit</v>
          </cell>
          <cell r="N539" t="str">
            <v>mata pembayaran.</v>
          </cell>
        </row>
        <row r="540">
          <cell r="C540" t="str">
            <v>-  Waktutempuh kosong  = (L : v2)  x  60</v>
          </cell>
          <cell r="G540" t="str">
            <v>T2</v>
          </cell>
          <cell r="H540">
            <v>10.469999999999999</v>
          </cell>
          <cell r="I540" t="str">
            <v>menit</v>
          </cell>
          <cell r="L540">
            <v>3</v>
          </cell>
          <cell r="N540" t="str">
            <v>Biaya satuan untuk peralatan sudah termasuk bahan bakar, bahan habis dipakai dan operator.</v>
          </cell>
        </row>
        <row r="541">
          <cell r="C541" t="str">
            <v>- Muat, bongkar dan lain-lain</v>
          </cell>
          <cell r="G541" t="str">
            <v>T3</v>
          </cell>
          <cell r="H541">
            <v>50</v>
          </cell>
          <cell r="I541" t="str">
            <v>menit</v>
          </cell>
          <cell r="L541">
            <v>4</v>
          </cell>
          <cell r="N541" t="str">
            <v>Biaya satuan sudah termasuk pengeluaran untuk seluruh pajak yang berkaitan (tetapi tidak termasuk PPN</v>
          </cell>
        </row>
        <row r="542">
          <cell r="G542" t="str">
            <v>Ts</v>
          </cell>
          <cell r="H542">
            <v>73.557500000000005</v>
          </cell>
          <cell r="I542" t="str">
            <v>menit</v>
          </cell>
          <cell r="N542" t="str">
            <v>yang dibayar dari kontrak) dan biaya-biaya lainnya.</v>
          </cell>
        </row>
        <row r="543">
          <cell r="J543" t="str">
            <v>Berlanjut ke halaman berikut</v>
          </cell>
        </row>
        <row r="544">
          <cell r="A544" t="str">
            <v>ITEM PEMBAYARAN NO.</v>
          </cell>
          <cell r="D544" t="str">
            <v>:  2.3 (3)</v>
          </cell>
          <cell r="J544" t="str">
            <v xml:space="preserve">Analisa EI-233 </v>
          </cell>
        </row>
        <row r="545">
          <cell r="A545" t="str">
            <v>JENIS PEKERJAAN</v>
          </cell>
          <cell r="D545" t="str">
            <v>:  Gorong2 Pipa Beton Bertulang 500 mm &lt; diameter dalam &lt; 1 m</v>
          </cell>
        </row>
        <row r="546">
          <cell r="A546" t="str">
            <v>SATUAN PEMBAYARAN</v>
          </cell>
          <cell r="D546" t="str">
            <v>:  M1</v>
          </cell>
          <cell r="J546" t="str">
            <v xml:space="preserve">         URAIAN ANALISA HARGA SATUAN</v>
          </cell>
        </row>
        <row r="547">
          <cell r="J547" t="str">
            <v>Lanjutan</v>
          </cell>
        </row>
        <row r="549">
          <cell r="A549" t="str">
            <v>No.</v>
          </cell>
          <cell r="C549" t="str">
            <v>U R A I A N</v>
          </cell>
          <cell r="G549" t="str">
            <v>KODE</v>
          </cell>
          <cell r="H549" t="str">
            <v>KOEF.</v>
          </cell>
          <cell r="I549" t="str">
            <v>SATUAN</v>
          </cell>
          <cell r="J549" t="str">
            <v>KETERANGAN</v>
          </cell>
        </row>
        <row r="552">
          <cell r="C552" t="str">
            <v>Kapasitas Produksi / Jam   =</v>
          </cell>
          <cell r="E552" t="str">
            <v>V x Fa x 60</v>
          </cell>
          <cell r="G552" t="str">
            <v>Q2</v>
          </cell>
          <cell r="H552">
            <v>2.7080855113346698</v>
          </cell>
          <cell r="I552" t="str">
            <v xml:space="preserve">M' / Jam </v>
          </cell>
        </row>
        <row r="553">
          <cell r="E553" t="str">
            <v xml:space="preserve">    Ts</v>
          </cell>
        </row>
        <row r="555">
          <cell r="C555" t="str">
            <v>Koefisien Alat / m'</v>
          </cell>
          <cell r="D555" t="str">
            <v xml:space="preserve"> =  1  :  Q2</v>
          </cell>
          <cell r="G555" t="str">
            <v>(E08)</v>
          </cell>
          <cell r="H555">
            <v>0.36926455823293175</v>
          </cell>
          <cell r="I555" t="str">
            <v>jam</v>
          </cell>
        </row>
        <row r="558">
          <cell r="A558" t="str">
            <v>2.c.</v>
          </cell>
          <cell r="C558" t="str">
            <v>ALAT  BANTU</v>
          </cell>
        </row>
        <row r="559">
          <cell r="C559" t="str">
            <v>Diperlukan alat-alat bantu kecil</v>
          </cell>
          <cell r="J559" t="str">
            <v>Lump Sump</v>
          </cell>
        </row>
        <row r="560">
          <cell r="C560" t="str">
            <v>- Sekop    =         3   buah</v>
          </cell>
        </row>
        <row r="561">
          <cell r="C561" t="str">
            <v>- Pacul     =         3   buah</v>
          </cell>
        </row>
        <row r="562">
          <cell r="C562" t="str">
            <v>- Alat-alat kecil lain</v>
          </cell>
        </row>
        <row r="564">
          <cell r="A564" t="str">
            <v xml:space="preserve">   3.</v>
          </cell>
          <cell r="C564" t="str">
            <v>TENAGA</v>
          </cell>
        </row>
        <row r="565">
          <cell r="C565" t="str">
            <v>Produksi Gorong-gorong / hari</v>
          </cell>
          <cell r="G565" t="str">
            <v>Qt</v>
          </cell>
          <cell r="H565">
            <v>6</v>
          </cell>
          <cell r="I565" t="str">
            <v>M'</v>
          </cell>
        </row>
        <row r="566">
          <cell r="C566" t="str">
            <v>Kebutuhan tenaga :</v>
          </cell>
        </row>
        <row r="567">
          <cell r="D567" t="str">
            <v>- Pekerja</v>
          </cell>
          <cell r="G567" t="str">
            <v>P</v>
          </cell>
          <cell r="H567">
            <v>8</v>
          </cell>
          <cell r="I567" t="str">
            <v>orang</v>
          </cell>
        </row>
        <row r="568">
          <cell r="D568" t="str">
            <v>- Tukang</v>
          </cell>
          <cell r="G568" t="str">
            <v>T</v>
          </cell>
          <cell r="H568">
            <v>1</v>
          </cell>
          <cell r="I568" t="str">
            <v>orang</v>
          </cell>
        </row>
        <row r="569">
          <cell r="D569" t="str">
            <v>- Mandor</v>
          </cell>
          <cell r="G569" t="str">
            <v>M</v>
          </cell>
          <cell r="H569">
            <v>1</v>
          </cell>
          <cell r="I569" t="str">
            <v>orang</v>
          </cell>
        </row>
        <row r="571">
          <cell r="C571" t="str">
            <v>Koefisien tenaga / M'   :</v>
          </cell>
        </row>
        <row r="572">
          <cell r="D572" t="str">
            <v>- Pekerja</v>
          </cell>
          <cell r="E572" t="str">
            <v>= (Tk x P) : Qt</v>
          </cell>
          <cell r="G572" t="str">
            <v>(L01)</v>
          </cell>
          <cell r="H572">
            <v>9.3333333333333339</v>
          </cell>
          <cell r="I572" t="str">
            <v>jam</v>
          </cell>
        </row>
        <row r="573">
          <cell r="D573" t="str">
            <v>- Tukang</v>
          </cell>
          <cell r="E573" t="str">
            <v>= (Tk x T) : Qt</v>
          </cell>
          <cell r="G573" t="str">
            <v>(L02)</v>
          </cell>
          <cell r="H573">
            <v>1.1666666666666667</v>
          </cell>
          <cell r="I573" t="str">
            <v>jam</v>
          </cell>
        </row>
        <row r="574">
          <cell r="D574" t="str">
            <v>- Mandor</v>
          </cell>
          <cell r="E574" t="str">
            <v>= (Tk x M) : Qt</v>
          </cell>
          <cell r="G574" t="str">
            <v>(L03)</v>
          </cell>
          <cell r="H574">
            <v>1.1666666666666667</v>
          </cell>
          <cell r="I574" t="str">
            <v>jam</v>
          </cell>
        </row>
        <row r="576">
          <cell r="A576" t="str">
            <v>4.</v>
          </cell>
          <cell r="C576" t="str">
            <v>HARGA DASAR SATUAN UPAH, BAHAN DAN ALAT</v>
          </cell>
        </row>
        <row r="577">
          <cell r="C577" t="str">
            <v>Lihat lampiran.</v>
          </cell>
        </row>
        <row r="580">
          <cell r="A580" t="str">
            <v>5.</v>
          </cell>
          <cell r="C580" t="str">
            <v>ANALISA HARGA SATUAN PEKERJAAN</v>
          </cell>
        </row>
        <row r="581">
          <cell r="C581" t="str">
            <v>Lihat perhitungan dalam FORMULIR STANDAR UNTUK</v>
          </cell>
        </row>
        <row r="582">
          <cell r="C582" t="str">
            <v>PEREKEMAN ANALISA MASING-MASING HARGA</v>
          </cell>
        </row>
        <row r="583">
          <cell r="C583" t="str">
            <v>SATUAN.</v>
          </cell>
        </row>
        <row r="584">
          <cell r="C584" t="str">
            <v>Didapat Harga Satuan Pekerjaan :</v>
          </cell>
        </row>
        <row r="586">
          <cell r="C586" t="str">
            <v xml:space="preserve">Rp.  </v>
          </cell>
          <cell r="D586">
            <v>447945.27138535964</v>
          </cell>
          <cell r="E586" t="str">
            <v xml:space="preserve"> / M'</v>
          </cell>
        </row>
        <row r="589">
          <cell r="A589" t="str">
            <v>6.</v>
          </cell>
          <cell r="C589" t="str">
            <v>WAKTU PELAKSANAAN YANG DIPERLUKAN</v>
          </cell>
        </row>
        <row r="590">
          <cell r="C590" t="str">
            <v>Masa Pelaksanaan :</v>
          </cell>
          <cell r="D590" t="str">
            <v>. . . . . . . . . . . .</v>
          </cell>
          <cell r="E590" t="str">
            <v>bulan</v>
          </cell>
        </row>
        <row r="592">
          <cell r="A592" t="str">
            <v>7.</v>
          </cell>
          <cell r="C592" t="str">
            <v>VOLUME PEKERJAAN YANG DIPERLUKAN</v>
          </cell>
        </row>
        <row r="593">
          <cell r="C593" t="str">
            <v>Volume pekerjaan  :</v>
          </cell>
          <cell r="D593">
            <v>1</v>
          </cell>
          <cell r="E593" t="str">
            <v>M'</v>
          </cell>
        </row>
        <row r="603">
          <cell r="A603" t="str">
            <v>ITEM PEMBAYARAN NO.</v>
          </cell>
          <cell r="D603" t="str">
            <v>:  2.3 (4)</v>
          </cell>
          <cell r="J603" t="str">
            <v>Analisa EI-234</v>
          </cell>
        </row>
        <row r="604">
          <cell r="A604" t="str">
            <v>JENIS PEKERJAAN</v>
          </cell>
          <cell r="D604" t="str">
            <v>:  Gorong2 Pipa Beton Bertulang, 1 m &lt; diameter dalam &lt; 1.3 m</v>
          </cell>
          <cell r="L604" t="str">
            <v>FORMULIR STANDAR UNTUK</v>
          </cell>
        </row>
        <row r="605">
          <cell r="A605" t="str">
            <v>SATUAN PEMBAYARAN</v>
          </cell>
          <cell r="D605" t="str">
            <v>:  M1</v>
          </cell>
          <cell r="J605" t="str">
            <v xml:space="preserve">         URAIAN ANALISA HARGA SATUAN</v>
          </cell>
          <cell r="L605" t="str">
            <v>PEREKAMAN ANALISA MASING-MASING HARGA SATUAN</v>
          </cell>
        </row>
        <row r="606">
          <cell r="L606" t="str">
            <v/>
          </cell>
        </row>
        <row r="608">
          <cell r="A608" t="str">
            <v>No.</v>
          </cell>
          <cell r="C608" t="str">
            <v>U R A I A N</v>
          </cell>
          <cell r="G608" t="str">
            <v>KODE</v>
          </cell>
          <cell r="H608" t="str">
            <v>KOEF.</v>
          </cell>
          <cell r="I608" t="str">
            <v>SATUAN</v>
          </cell>
          <cell r="J608" t="str">
            <v>KETERANGAN</v>
          </cell>
        </row>
        <row r="609">
          <cell r="L609" t="str">
            <v>PROYEK</v>
          </cell>
          <cell r="O609" t="str">
            <v>:</v>
          </cell>
        </row>
        <row r="610">
          <cell r="L610" t="str">
            <v>No. PAKET KONTRAK</v>
          </cell>
          <cell r="O610" t="str">
            <v>:</v>
          </cell>
        </row>
        <row r="611">
          <cell r="A611" t="str">
            <v>I.</v>
          </cell>
          <cell r="C611" t="str">
            <v>ASUMSI</v>
          </cell>
          <cell r="L611" t="str">
            <v>NAMA PAKET</v>
          </cell>
          <cell r="O611" t="str">
            <v>:</v>
          </cell>
        </row>
        <row r="612">
          <cell r="A612">
            <v>1</v>
          </cell>
          <cell r="C612" t="str">
            <v>Pekerjaan dilakukan secara mekanik/manual</v>
          </cell>
          <cell r="L612" t="str">
            <v>PROP / KAB / KODYA</v>
          </cell>
          <cell r="O612" t="str">
            <v>:</v>
          </cell>
        </row>
        <row r="613">
          <cell r="A613">
            <v>2</v>
          </cell>
          <cell r="C613" t="str">
            <v>Lokasi pekerjaan : sepanjang jalan</v>
          </cell>
          <cell r="L613" t="str">
            <v>ITEM PEMBAYARAN NO.</v>
          </cell>
          <cell r="O613" t="str">
            <v>:  2.3 (4)</v>
          </cell>
          <cell r="R613" t="str">
            <v>PERKIRAAN VOL. PEK.</v>
          </cell>
          <cell r="T613" t="str">
            <v>:</v>
          </cell>
          <cell r="U613">
            <v>1</v>
          </cell>
        </row>
        <row r="614">
          <cell r="A614">
            <v>3</v>
          </cell>
          <cell r="C614" t="str">
            <v>Diameter bagian dalam gorong-gorong</v>
          </cell>
          <cell r="G614" t="str">
            <v>d</v>
          </cell>
          <cell r="H614">
            <v>1.2</v>
          </cell>
          <cell r="I614" t="str">
            <v>m</v>
          </cell>
          <cell r="L614" t="str">
            <v>JENIS PEKERJAAN</v>
          </cell>
          <cell r="O614" t="str">
            <v>:  Gorong2 Pipa Beton Bertulang, 1 m &lt; diameter dalam &lt; 1.3 m</v>
          </cell>
          <cell r="R614" t="str">
            <v>TOTAL HARGA (Rp.)</v>
          </cell>
          <cell r="T614" t="str">
            <v>:</v>
          </cell>
          <cell r="U614">
            <v>447945.27138535964</v>
          </cell>
        </row>
        <row r="615">
          <cell r="A615">
            <v>4</v>
          </cell>
          <cell r="C615" t="str">
            <v>Jarak rata-rata Base Camp ke lokasi pekerjaan</v>
          </cell>
          <cell r="G615" t="str">
            <v>L</v>
          </cell>
          <cell r="H615">
            <v>8.7249999999999996</v>
          </cell>
          <cell r="I615" t="str">
            <v>Km</v>
          </cell>
          <cell r="L615" t="str">
            <v>SATUAN PEMBAYARAN</v>
          </cell>
          <cell r="O615" t="str">
            <v>:  M1</v>
          </cell>
          <cell r="Q615">
            <v>0</v>
          </cell>
          <cell r="R615" t="str">
            <v>% THD. BIAYA PROYEK</v>
          </cell>
          <cell r="T615" t="str">
            <v>:</v>
          </cell>
          <cell r="U615" t="e">
            <v>#DIV/0!</v>
          </cell>
        </row>
        <row r="616">
          <cell r="A616">
            <v>5</v>
          </cell>
          <cell r="C616" t="str">
            <v>Jam kerja efektif per-hari</v>
          </cell>
          <cell r="G616" t="str">
            <v>Tk</v>
          </cell>
          <cell r="H616">
            <v>7</v>
          </cell>
          <cell r="I616" t="str">
            <v>Jam</v>
          </cell>
        </row>
        <row r="617">
          <cell r="A617">
            <v>6</v>
          </cell>
          <cell r="C617" t="str">
            <v>Tebal gorong-gorong</v>
          </cell>
          <cell r="G617" t="str">
            <v>tg</v>
          </cell>
          <cell r="H617">
            <v>10</v>
          </cell>
          <cell r="I617" t="str">
            <v>Cm</v>
          </cell>
        </row>
        <row r="618">
          <cell r="Q618" t="str">
            <v>PERKIRAAN</v>
          </cell>
          <cell r="R618" t="str">
            <v>HARGA</v>
          </cell>
          <cell r="S618" t="str">
            <v>JUMLAH</v>
          </cell>
        </row>
        <row r="619">
          <cell r="A619" t="str">
            <v>II.</v>
          </cell>
          <cell r="C619" t="str">
            <v>URUTAN KERJA</v>
          </cell>
          <cell r="L619" t="str">
            <v>NO.</v>
          </cell>
          <cell r="N619" t="str">
            <v>KOMPONEN</v>
          </cell>
          <cell r="P619" t="str">
            <v>SATUAN</v>
          </cell>
          <cell r="Q619" t="str">
            <v>KUANTITAS</v>
          </cell>
          <cell r="R619" t="str">
            <v>SATUAN</v>
          </cell>
          <cell r="S619" t="str">
            <v>HARGA</v>
          </cell>
        </row>
        <row r="620">
          <cell r="A620">
            <v>1</v>
          </cell>
          <cell r="C620" t="str">
            <v>Gorong-gorong dicetak di Base Camp</v>
          </cell>
          <cell r="R620" t="str">
            <v>(Rp.)</v>
          </cell>
          <cell r="S620" t="str">
            <v>(Rp.)</v>
          </cell>
        </row>
        <row r="621">
          <cell r="A621">
            <v>2</v>
          </cell>
          <cell r="C621" t="str">
            <v>Dump Truck mengangkut gorong-gorong jadi</v>
          </cell>
        </row>
        <row r="622">
          <cell r="C622" t="str">
            <v>ke lapangan</v>
          </cell>
        </row>
        <row r="623">
          <cell r="A623">
            <v>3</v>
          </cell>
          <cell r="C623" t="str">
            <v>Dasar gorong-gorong digali sesuai kebutuhan dan ma-</v>
          </cell>
          <cell r="L623" t="str">
            <v>A.</v>
          </cell>
          <cell r="N623" t="str">
            <v>TENAGA</v>
          </cell>
        </row>
        <row r="624">
          <cell r="C624" t="str">
            <v>terial backfill dipadatkan dengan Tamper</v>
          </cell>
        </row>
        <row r="625">
          <cell r="A625">
            <v>4</v>
          </cell>
          <cell r="C625" t="str">
            <v>Tebal lapis porus pada dasar gorong-gorong pipa</v>
          </cell>
          <cell r="G625" t="str">
            <v>tp</v>
          </cell>
          <cell r="H625">
            <v>0.18</v>
          </cell>
          <cell r="I625" t="str">
            <v>M</v>
          </cell>
          <cell r="J625" t="str">
            <v xml:space="preserve"> Sand bedding</v>
          </cell>
          <cell r="L625" t="str">
            <v>1.</v>
          </cell>
          <cell r="N625" t="str">
            <v>Pekerja</v>
          </cell>
          <cell r="O625" t="str">
            <v>(L01)</v>
          </cell>
          <cell r="P625" t="str">
            <v>Jam</v>
          </cell>
          <cell r="Q625">
            <v>9.3333333333333339</v>
          </cell>
          <cell r="R625">
            <v>2857.14</v>
          </cell>
          <cell r="U625">
            <v>26666.639999999999</v>
          </cell>
        </row>
        <row r="626">
          <cell r="A626">
            <v>5</v>
          </cell>
          <cell r="C626" t="str">
            <v>Material pilihan untuk penimbunan kembali (padat)</v>
          </cell>
          <cell r="L626" t="str">
            <v>2.</v>
          </cell>
          <cell r="N626" t="str">
            <v>Tukang</v>
          </cell>
          <cell r="O626" t="str">
            <v>(L02)</v>
          </cell>
          <cell r="P626" t="str">
            <v>Jam</v>
          </cell>
          <cell r="Q626">
            <v>1.1666666666666667</v>
          </cell>
          <cell r="R626">
            <v>4285.71</v>
          </cell>
          <cell r="U626">
            <v>4999.9950000000008</v>
          </cell>
        </row>
        <row r="627">
          <cell r="A627">
            <v>6</v>
          </cell>
          <cell r="C627" t="str">
            <v>Sekelompok pekerja akan melaksanakan pekerjaan</v>
          </cell>
          <cell r="L627" t="str">
            <v>3.</v>
          </cell>
          <cell r="N627" t="str">
            <v>Mandor</v>
          </cell>
          <cell r="O627" t="str">
            <v>(L03)</v>
          </cell>
          <cell r="P627" t="str">
            <v>Jam</v>
          </cell>
          <cell r="Q627">
            <v>1.1666666666666667</v>
          </cell>
          <cell r="R627">
            <v>3214.29</v>
          </cell>
          <cell r="U627">
            <v>3750.0050000000001</v>
          </cell>
        </row>
        <row r="628">
          <cell r="C628" t="str">
            <v>dengan cara manual dengan menggunakan alat bantu</v>
          </cell>
        </row>
        <row r="629">
          <cell r="Q629" t="str">
            <v xml:space="preserve">JUMLAH HARGA TENAGA   </v>
          </cell>
          <cell r="U629">
            <v>35416.639999999999</v>
          </cell>
        </row>
        <row r="631">
          <cell r="A631" t="str">
            <v>III.</v>
          </cell>
          <cell r="C631" t="str">
            <v>PEMAKAIAN BAHAN, ALAT DAN TENAGA</v>
          </cell>
          <cell r="L631" t="str">
            <v>B.</v>
          </cell>
          <cell r="N631" t="str">
            <v>BAHAN</v>
          </cell>
        </row>
        <row r="632">
          <cell r="A632" t="str">
            <v xml:space="preserve">   1.</v>
          </cell>
          <cell r="C632" t="str">
            <v>BAHAN</v>
          </cell>
        </row>
        <row r="633">
          <cell r="C633" t="str">
            <v>Untuk mendapatkan 1 M' gorong-gorong diperlukan</v>
          </cell>
          <cell r="L633" t="str">
            <v>1.</v>
          </cell>
          <cell r="N633" t="str">
            <v>Beton K-300</v>
          </cell>
          <cell r="O633" t="str">
            <v>(EI-714)</v>
          </cell>
          <cell r="P633" t="str">
            <v>M3</v>
          </cell>
          <cell r="Q633">
            <v>0.40840704496667279</v>
          </cell>
          <cell r="R633">
            <v>652902.54982502444</v>
          </cell>
          <cell r="U633">
            <v>266650.00102524407</v>
          </cell>
        </row>
        <row r="634">
          <cell r="C634" t="str">
            <v>- Beton K-300 = (22/7*((2*tg/100+d)/2)^2)-(22/7*(d/2)^2))*1</v>
          </cell>
          <cell r="G634" t="str">
            <v>(EI-714)</v>
          </cell>
          <cell r="H634">
            <v>0.40840704496667279</v>
          </cell>
          <cell r="I634" t="str">
            <v>M3</v>
          </cell>
          <cell r="L634" t="str">
            <v>2.</v>
          </cell>
          <cell r="N634" t="str">
            <v>Baja Tulangan</v>
          </cell>
          <cell r="O634" t="str">
            <v>(M39)</v>
          </cell>
          <cell r="P634" t="str">
            <v>Kg</v>
          </cell>
          <cell r="Q634">
            <v>44.924774946334011</v>
          </cell>
          <cell r="R634">
            <v>4000</v>
          </cell>
          <cell r="U634">
            <v>179699.09978533603</v>
          </cell>
        </row>
        <row r="635">
          <cell r="C635" t="str">
            <v>- Baja Tulangan (asumsi 100kg/m3)</v>
          </cell>
          <cell r="G635" t="str">
            <v>(M39)</v>
          </cell>
          <cell r="H635">
            <v>44.924774946334011</v>
          </cell>
          <cell r="I635" t="str">
            <v>Kg</v>
          </cell>
          <cell r="L635" t="str">
            <v>3.</v>
          </cell>
          <cell r="N635" t="str">
            <v>Urugan Porus</v>
          </cell>
          <cell r="O635" t="str">
            <v>(EI-241)</v>
          </cell>
          <cell r="P635" t="str">
            <v>M3</v>
          </cell>
          <cell r="Q635">
            <v>0.41580000000000006</v>
          </cell>
          <cell r="R635">
            <v>186901.40625406182</v>
          </cell>
          <cell r="U635">
            <v>77713.604720438918</v>
          </cell>
        </row>
        <row r="636">
          <cell r="C636" t="str">
            <v>- Timbunan Porus      = {(tp*(0.4+2*tg/100+d+0.4)*1)*1.05}</v>
          </cell>
          <cell r="G636" t="str">
            <v>(EI-241)</v>
          </cell>
          <cell r="H636">
            <v>0.41580000000000006</v>
          </cell>
          <cell r="I636" t="str">
            <v>M3</v>
          </cell>
          <cell r="L636" t="str">
            <v>4.</v>
          </cell>
          <cell r="N636" t="str">
            <v>Mat. Pilihan</v>
          </cell>
          <cell r="O636" t="str">
            <v>(M09)</v>
          </cell>
          <cell r="P636" t="str">
            <v>M3</v>
          </cell>
          <cell r="Q636">
            <v>2.3100000000000005</v>
          </cell>
          <cell r="R636">
            <v>25000</v>
          </cell>
          <cell r="U636">
            <v>57750.000000000015</v>
          </cell>
        </row>
        <row r="637">
          <cell r="C637" t="str">
            <v>- Material Pilihan</v>
          </cell>
          <cell r="D637" t="str">
            <v>= ((2*tg/100+d+0.3)*(0.4+2*tg/100+d+0.4)</v>
          </cell>
          <cell r="G637" t="str">
            <v>(M09)</v>
          </cell>
          <cell r="H637">
            <v>2.3100000000000005</v>
          </cell>
          <cell r="I637" t="str">
            <v>M3</v>
          </cell>
          <cell r="J637" t="str">
            <v xml:space="preserve"> = Vp</v>
          </cell>
        </row>
        <row r="638">
          <cell r="D638" t="str">
            <v xml:space="preserve">   -(22/7*(0.5*(2*tg/100+d))^2))*1*1.05</v>
          </cell>
        </row>
        <row r="639">
          <cell r="A639" t="str">
            <v xml:space="preserve">   2.</v>
          </cell>
          <cell r="C639" t="str">
            <v>ALAT</v>
          </cell>
          <cell r="Q639" t="str">
            <v xml:space="preserve">JUMLAH HARGA BAHAN   </v>
          </cell>
          <cell r="U639">
            <v>581812.70553101902</v>
          </cell>
        </row>
        <row r="640">
          <cell r="A640" t="str">
            <v>2.a.</v>
          </cell>
          <cell r="C640" t="str">
            <v>TAMPER</v>
          </cell>
          <cell r="G640" t="str">
            <v>(E25)</v>
          </cell>
        </row>
        <row r="641">
          <cell r="C641" t="str">
            <v>Kecepatan</v>
          </cell>
          <cell r="G641" t="str">
            <v>V</v>
          </cell>
          <cell r="H641">
            <v>0.5</v>
          </cell>
          <cell r="I641" t="str">
            <v>Km / Jam</v>
          </cell>
          <cell r="L641" t="str">
            <v>C.</v>
          </cell>
          <cell r="N641" t="str">
            <v>PERALATAN</v>
          </cell>
        </row>
        <row r="642">
          <cell r="C642" t="str">
            <v>Efisiensi alat</v>
          </cell>
          <cell r="G642" t="str">
            <v>Fa</v>
          </cell>
          <cell r="H642">
            <v>0.83</v>
          </cell>
          <cell r="I642" t="str">
            <v>-</v>
          </cell>
        </row>
        <row r="643">
          <cell r="C643" t="str">
            <v>Lebar pemadatan</v>
          </cell>
          <cell r="G643" t="str">
            <v>Lb</v>
          </cell>
          <cell r="H643">
            <v>0.4</v>
          </cell>
          <cell r="I643" t="str">
            <v>M</v>
          </cell>
          <cell r="L643" t="str">
            <v>1.</v>
          </cell>
          <cell r="N643" t="str">
            <v>Tamper</v>
          </cell>
          <cell r="O643" t="str">
            <v>(E25)</v>
          </cell>
          <cell r="P643" t="str">
            <v>Jam</v>
          </cell>
          <cell r="Q643">
            <v>0.69578313253012058</v>
          </cell>
          <cell r="R643">
            <v>18672.16854694486</v>
          </cell>
          <cell r="U643">
            <v>12991.779922723685</v>
          </cell>
        </row>
        <row r="644">
          <cell r="C644" t="str">
            <v>Banyak lintasan</v>
          </cell>
          <cell r="G644" t="str">
            <v>n</v>
          </cell>
          <cell r="H644">
            <v>10</v>
          </cell>
          <cell r="I644" t="str">
            <v>lintasan</v>
          </cell>
          <cell r="L644" t="str">
            <v>2.</v>
          </cell>
          <cell r="N644" t="str">
            <v>Dump Truck</v>
          </cell>
          <cell r="O644" t="str">
            <v>(E08)</v>
          </cell>
          <cell r="P644" t="str">
            <v>Jam</v>
          </cell>
          <cell r="Q644">
            <v>0.36926455823293175</v>
          </cell>
          <cell r="R644">
            <v>153645.58193291764</v>
          </cell>
          <cell r="U644">
            <v>56735.867936900555</v>
          </cell>
        </row>
        <row r="645">
          <cell r="C645" t="str">
            <v>Tebal lapis hamparan</v>
          </cell>
          <cell r="G645" t="str">
            <v>tp</v>
          </cell>
          <cell r="H645">
            <v>0.2</v>
          </cell>
          <cell r="I645" t="str">
            <v>M</v>
          </cell>
          <cell r="L645" t="str">
            <v>3.</v>
          </cell>
          <cell r="N645" t="str">
            <v>Alat  Bantu</v>
          </cell>
          <cell r="P645" t="str">
            <v>Ls</v>
          </cell>
          <cell r="Q645">
            <v>1</v>
          </cell>
          <cell r="R645">
            <v>1000</v>
          </cell>
          <cell r="U645">
            <v>1000</v>
          </cell>
        </row>
        <row r="648">
          <cell r="C648" t="str">
            <v>Kap. Prod. / Jam   =</v>
          </cell>
          <cell r="D648" t="str">
            <v>v x 1000 x Fa x Lb x 60</v>
          </cell>
          <cell r="G648" t="str">
            <v>Q1</v>
          </cell>
          <cell r="H648">
            <v>3.3200000000000003</v>
          </cell>
          <cell r="I648" t="str">
            <v xml:space="preserve">M3 / Jam </v>
          </cell>
        </row>
        <row r="649">
          <cell r="D649" t="str">
            <v xml:space="preserve">    n x tp</v>
          </cell>
        </row>
        <row r="651">
          <cell r="C651" t="str">
            <v>Koefisien Alat / m'</v>
          </cell>
          <cell r="D651" t="str">
            <v xml:space="preserve"> =  1  :  Q1 x Vp</v>
          </cell>
          <cell r="G651" t="str">
            <v>(E25)</v>
          </cell>
          <cell r="H651">
            <v>0.69578313253012058</v>
          </cell>
          <cell r="I651" t="str">
            <v>jam</v>
          </cell>
          <cell r="Q651" t="str">
            <v xml:space="preserve">JUMLAH HARGA PERALATAN   </v>
          </cell>
          <cell r="U651">
            <v>70727.647859624238</v>
          </cell>
        </row>
        <row r="653">
          <cell r="A653" t="str">
            <v>2.b.</v>
          </cell>
          <cell r="C653" t="str">
            <v>DUMP TRUCK</v>
          </cell>
          <cell r="G653" t="str">
            <v>(E08)</v>
          </cell>
          <cell r="L653" t="str">
            <v>D.</v>
          </cell>
          <cell r="N653" t="str">
            <v>JUMLAH HARGA TENAGA, BAHAN DAN PERALATAN  ( A + B + C )</v>
          </cell>
          <cell r="U653">
            <v>687956.99339064327</v>
          </cell>
        </row>
        <row r="654">
          <cell r="C654" t="str">
            <v>Kapasitas bak sekali muat</v>
          </cell>
          <cell r="G654" t="str">
            <v>V</v>
          </cell>
          <cell r="H654">
            <v>4</v>
          </cell>
          <cell r="I654" t="str">
            <v>Buah/M'</v>
          </cell>
          <cell r="L654" t="str">
            <v>E.</v>
          </cell>
          <cell r="N654" t="str">
            <v>OVERHEAD &amp; PROFIT</v>
          </cell>
          <cell r="P654">
            <v>10</v>
          </cell>
          <cell r="Q654" t="str">
            <v>%  x  D</v>
          </cell>
          <cell r="U654">
            <v>68795.699339064333</v>
          </cell>
        </row>
        <row r="655">
          <cell r="C655" t="str">
            <v>Faktor efisiensi alat</v>
          </cell>
          <cell r="G655" t="str">
            <v>Fa</v>
          </cell>
          <cell r="H655">
            <v>0.83</v>
          </cell>
          <cell r="L655" t="str">
            <v>F.</v>
          </cell>
          <cell r="N655" t="str">
            <v>HARGA SATUAN PEKERJAAN  ( D + E )</v>
          </cell>
          <cell r="U655">
            <v>756752.69272970757</v>
          </cell>
        </row>
        <row r="656">
          <cell r="C656" t="str">
            <v>Kecepatanrata-rata bermuatan</v>
          </cell>
          <cell r="G656" t="str">
            <v>v1</v>
          </cell>
          <cell r="H656">
            <v>40</v>
          </cell>
          <cell r="L656" t="str">
            <v>Note: 1</v>
          </cell>
          <cell r="N656" t="str">
            <v>SATUAN dapat berdasarkan atas jam operasi untuk Tenaga Kerja dan Peralatan, volume dan/atau ukuran</v>
          </cell>
        </row>
        <row r="657">
          <cell r="C657" t="str">
            <v>Kecepatan rata-rata kosong</v>
          </cell>
          <cell r="G657" t="str">
            <v>v2</v>
          </cell>
          <cell r="H657">
            <v>50</v>
          </cell>
          <cell r="N657" t="str">
            <v>berat untuk bahan-bahan.</v>
          </cell>
        </row>
        <row r="658">
          <cell r="C658" t="str">
            <v>Waktu siklus    :</v>
          </cell>
          <cell r="G658" t="str">
            <v>Ts</v>
          </cell>
          <cell r="L658">
            <v>2</v>
          </cell>
          <cell r="N658" t="str">
            <v>Kuantitas satuan adalah kuantitas setiap komponen untuk menyelesaikan satu satuan pekerjaan dari nomor</v>
          </cell>
        </row>
        <row r="659">
          <cell r="C659" t="str">
            <v>- Waktu  tempuh in  si    = (L : v1 ) x 60</v>
          </cell>
          <cell r="G659" t="str">
            <v>T1</v>
          </cell>
          <cell r="H659">
            <v>13.087499999999999</v>
          </cell>
          <cell r="I659" t="str">
            <v>menit</v>
          </cell>
          <cell r="N659" t="str">
            <v>mata pembayaran.</v>
          </cell>
        </row>
        <row r="660">
          <cell r="C660" t="str">
            <v>-  Waktutempuh kosong  = (L : v2)  x  60</v>
          </cell>
          <cell r="G660" t="str">
            <v>T2</v>
          </cell>
          <cell r="H660">
            <v>10.469999999999999</v>
          </cell>
          <cell r="I660" t="str">
            <v>menit</v>
          </cell>
          <cell r="L660">
            <v>3</v>
          </cell>
          <cell r="N660" t="str">
            <v>Biaya satuan untuk peralatan sudah termasuk bahan bakar, bahan habis dipakai dan operator.</v>
          </cell>
        </row>
        <row r="661">
          <cell r="C661" t="str">
            <v>- Muat, bongkar dan lain-lain</v>
          </cell>
          <cell r="G661" t="str">
            <v>T3</v>
          </cell>
          <cell r="H661">
            <v>50</v>
          </cell>
          <cell r="I661" t="str">
            <v>menit</v>
          </cell>
          <cell r="L661">
            <v>4</v>
          </cell>
          <cell r="N661" t="str">
            <v>Biaya satuan sudah termasuk pengeluaran untuk seluruh pajak yang berkaitan (tetapi tidak termasuk PPN</v>
          </cell>
        </row>
        <row r="662">
          <cell r="G662" t="str">
            <v>Ts</v>
          </cell>
          <cell r="H662">
            <v>73.557500000000005</v>
          </cell>
          <cell r="I662" t="str">
            <v>menit</v>
          </cell>
          <cell r="N662" t="str">
            <v>yang dibayar dari kontrak) dan biaya-biaya lainnya.</v>
          </cell>
        </row>
        <row r="663">
          <cell r="J663" t="str">
            <v>Berlanjut ke halaman berikut</v>
          </cell>
        </row>
        <row r="664">
          <cell r="A664" t="str">
            <v>ITEM PEMBAYARAN NO.</v>
          </cell>
          <cell r="D664" t="str">
            <v>:  2.3 (4)</v>
          </cell>
          <cell r="J664" t="str">
            <v>Analisa EI-234</v>
          </cell>
        </row>
        <row r="665">
          <cell r="A665" t="str">
            <v>JENIS PEKERJAAN</v>
          </cell>
          <cell r="D665" t="str">
            <v>:  Gorong2 Pipa Beton Bertulang, 1 m &lt; diameter dalam &lt; 1.3 m</v>
          </cell>
        </row>
        <row r="666">
          <cell r="A666" t="str">
            <v>SATUAN PEMBAYARAN</v>
          </cell>
          <cell r="D666" t="str">
            <v>:  M1</v>
          </cell>
          <cell r="J666" t="str">
            <v xml:space="preserve">         URAIAN ANALISA HARGA SATUAN</v>
          </cell>
        </row>
        <row r="667">
          <cell r="J667" t="str">
            <v>Lanjutan</v>
          </cell>
        </row>
        <row r="669">
          <cell r="A669" t="str">
            <v>No.</v>
          </cell>
          <cell r="C669" t="str">
            <v>U R A I A N</v>
          </cell>
          <cell r="G669" t="str">
            <v>KODE</v>
          </cell>
          <cell r="H669" t="str">
            <v>KOEF.</v>
          </cell>
          <cell r="I669" t="str">
            <v>SATUAN</v>
          </cell>
          <cell r="J669" t="str">
            <v>KETERANGAN</v>
          </cell>
        </row>
        <row r="672">
          <cell r="C672" t="str">
            <v>Kapasitas Produksi / Jam   =</v>
          </cell>
          <cell r="E672" t="str">
            <v>V x Fa x 60</v>
          </cell>
          <cell r="G672" t="str">
            <v>Q2</v>
          </cell>
          <cell r="H672">
            <v>2.7080855113346698</v>
          </cell>
          <cell r="I672" t="str">
            <v xml:space="preserve">M' / Jam </v>
          </cell>
        </row>
        <row r="673">
          <cell r="E673" t="str">
            <v xml:space="preserve">    Ts</v>
          </cell>
        </row>
        <row r="675">
          <cell r="C675" t="str">
            <v>Koefisien Alat / m'</v>
          </cell>
          <cell r="D675" t="str">
            <v xml:space="preserve"> =  1  :  Q2</v>
          </cell>
          <cell r="G675" t="str">
            <v>(E08)</v>
          </cell>
          <cell r="H675">
            <v>0.36926455823293175</v>
          </cell>
          <cell r="I675" t="str">
            <v>jam</v>
          </cell>
        </row>
        <row r="678">
          <cell r="A678" t="str">
            <v>2.c.</v>
          </cell>
          <cell r="C678" t="str">
            <v>ALAT  BANTU</v>
          </cell>
        </row>
        <row r="679">
          <cell r="C679" t="str">
            <v>Diperlukan alat-alat bantu kecil</v>
          </cell>
          <cell r="J679" t="str">
            <v>Lump Sump</v>
          </cell>
        </row>
        <row r="680">
          <cell r="C680" t="str">
            <v>- Sekop    =         3   buah</v>
          </cell>
        </row>
        <row r="681">
          <cell r="C681" t="str">
            <v>- Pacul     =         3   buah</v>
          </cell>
        </row>
        <row r="682">
          <cell r="C682" t="str">
            <v>- Alat-alat kecil lain</v>
          </cell>
        </row>
        <row r="684">
          <cell r="A684" t="str">
            <v xml:space="preserve">   3.</v>
          </cell>
          <cell r="C684" t="str">
            <v>TENAGA</v>
          </cell>
        </row>
        <row r="685">
          <cell r="C685" t="str">
            <v>Produksi Gorong-gorong / hari</v>
          </cell>
          <cell r="G685" t="str">
            <v>Qt</v>
          </cell>
          <cell r="H685">
            <v>6</v>
          </cell>
          <cell r="I685" t="str">
            <v>M'</v>
          </cell>
        </row>
        <row r="686">
          <cell r="C686" t="str">
            <v>Kebutuhan tenaga :</v>
          </cell>
        </row>
        <row r="687">
          <cell r="D687" t="str">
            <v>- Pekerja</v>
          </cell>
          <cell r="G687" t="str">
            <v>P</v>
          </cell>
          <cell r="H687">
            <v>8</v>
          </cell>
          <cell r="I687" t="str">
            <v>orang</v>
          </cell>
        </row>
        <row r="688">
          <cell r="D688" t="str">
            <v>- Tukang</v>
          </cell>
          <cell r="G688" t="str">
            <v>T</v>
          </cell>
          <cell r="H688">
            <v>1</v>
          </cell>
          <cell r="I688" t="str">
            <v>orang</v>
          </cell>
        </row>
        <row r="689">
          <cell r="D689" t="str">
            <v>- Mandor</v>
          </cell>
          <cell r="G689" t="str">
            <v>M</v>
          </cell>
          <cell r="H689">
            <v>1</v>
          </cell>
          <cell r="I689" t="str">
            <v>orang</v>
          </cell>
        </row>
        <row r="691">
          <cell r="C691" t="str">
            <v>Koefisien tenaga / M'   :</v>
          </cell>
        </row>
        <row r="692">
          <cell r="D692" t="str">
            <v>- Pekerja</v>
          </cell>
          <cell r="E692" t="str">
            <v>= (Tk x P) : Qt</v>
          </cell>
          <cell r="G692" t="str">
            <v>(L01)</v>
          </cell>
          <cell r="H692">
            <v>9.3333333333333339</v>
          </cell>
          <cell r="I692" t="str">
            <v>jam</v>
          </cell>
        </row>
        <row r="693">
          <cell r="D693" t="str">
            <v>- Tukang</v>
          </cell>
          <cell r="E693" t="str">
            <v>= (Tk x T) : Qt</v>
          </cell>
          <cell r="G693" t="str">
            <v>(L02)</v>
          </cell>
          <cell r="H693">
            <v>1.1666666666666667</v>
          </cell>
          <cell r="I693" t="str">
            <v>jam</v>
          </cell>
        </row>
        <row r="694">
          <cell r="D694" t="str">
            <v>- Mandor</v>
          </cell>
          <cell r="E694" t="str">
            <v>= (Tk x M) : Qt</v>
          </cell>
          <cell r="G694" t="str">
            <v>(L03)</v>
          </cell>
          <cell r="H694">
            <v>1.1666666666666667</v>
          </cell>
          <cell r="I694" t="str">
            <v>jam</v>
          </cell>
        </row>
        <row r="696">
          <cell r="A696" t="str">
            <v>4.</v>
          </cell>
          <cell r="C696" t="str">
            <v>HARGA DASAR SATUAN UPAH, BAHAN DAN ALAT</v>
          </cell>
        </row>
        <row r="697">
          <cell r="C697" t="str">
            <v>Lihat lampiran.</v>
          </cell>
        </row>
        <row r="700">
          <cell r="A700" t="str">
            <v>5.</v>
          </cell>
          <cell r="C700" t="str">
            <v>ANALISA HARGA SATUAN PEKERJAAN</v>
          </cell>
        </row>
        <row r="701">
          <cell r="C701" t="str">
            <v>Lihat perhitungan dalam FORMULIR STANDAR UNTUK</v>
          </cell>
        </row>
        <row r="702">
          <cell r="C702" t="str">
            <v>PEREKEMAN ANALISA MASING-MASING HARGA</v>
          </cell>
        </row>
        <row r="703">
          <cell r="C703" t="str">
            <v>SATUAN.</v>
          </cell>
        </row>
        <row r="704">
          <cell r="C704" t="str">
            <v>Didapat Harga Satuan Pekerjaan :</v>
          </cell>
        </row>
        <row r="706">
          <cell r="C706" t="str">
            <v xml:space="preserve">Rp.  </v>
          </cell>
          <cell r="D706">
            <v>756752.69272970757</v>
          </cell>
          <cell r="E706" t="str">
            <v xml:space="preserve"> / M'</v>
          </cell>
        </row>
        <row r="709">
          <cell r="A709" t="str">
            <v>6.</v>
          </cell>
          <cell r="C709" t="str">
            <v>WAKTU PELAKSANAAN YANG DIPERLUKAN</v>
          </cell>
        </row>
        <row r="710">
          <cell r="C710" t="str">
            <v>Masa Pelaksanaan :</v>
          </cell>
          <cell r="D710" t="str">
            <v>. . . . . . . . . . . .</v>
          </cell>
          <cell r="E710" t="str">
            <v>bulan</v>
          </cell>
        </row>
        <row r="712">
          <cell r="A712" t="str">
            <v>7.</v>
          </cell>
          <cell r="C712" t="str">
            <v>VOLUME PEKERJAAN YANG DIPERLUKAN</v>
          </cell>
        </row>
        <row r="713">
          <cell r="C713" t="str">
            <v>Volume pekerjaan  :</v>
          </cell>
          <cell r="D713">
            <v>1</v>
          </cell>
          <cell r="E713" t="str">
            <v>M'</v>
          </cell>
        </row>
        <row r="723">
          <cell r="A723" t="str">
            <v>ITEM PEMBAYARAN NO.</v>
          </cell>
          <cell r="D723" t="str">
            <v>:  2.3 (5)</v>
          </cell>
          <cell r="J723" t="str">
            <v>Analisa EI-236</v>
          </cell>
        </row>
        <row r="724">
          <cell r="A724" t="str">
            <v>JENIS PEKERJAAN</v>
          </cell>
          <cell r="D724" t="str">
            <v>: Gorong-Gorong Pipa Beton Bertulang, 1,3  m &lt; diameter dalam &lt; 1,5 m</v>
          </cell>
        </row>
        <row r="725">
          <cell r="A725" t="str">
            <v>SATUAN PEMBAYARAN</v>
          </cell>
          <cell r="D725" t="str">
            <v>: M1</v>
          </cell>
          <cell r="J725" t="str">
            <v xml:space="preserve">         URAIAN ANALISA HARGA SATUAN</v>
          </cell>
        </row>
        <row r="727">
          <cell r="A727" t="str">
            <v>ITEM PEMBAYARAN NO.</v>
          </cell>
          <cell r="D727" t="str">
            <v>:  2.3 (6)</v>
          </cell>
          <cell r="J727" t="str">
            <v>Analisa EI-236</v>
          </cell>
        </row>
        <row r="728">
          <cell r="A728" t="str">
            <v>JENIS PEKERJAAN</v>
          </cell>
          <cell r="D728" t="str">
            <v>: Gorong-Gorong Pipa Beton Bertulang, 1,5  m &lt; diameter dalam &lt;  2,3 m</v>
          </cell>
        </row>
        <row r="729">
          <cell r="A729" t="str">
            <v>SATUAN PEMBAYARAN</v>
          </cell>
          <cell r="D729" t="str">
            <v>: M1</v>
          </cell>
          <cell r="J729" t="str">
            <v xml:space="preserve">         URAIAN ANALISA HARGA SATUAN</v>
          </cell>
        </row>
        <row r="734">
          <cell r="A734" t="str">
            <v>ITEM PEMBAYARAN NO.</v>
          </cell>
          <cell r="D734" t="str">
            <v>:  2.3 (7)</v>
          </cell>
          <cell r="J734" t="str">
            <v>Analisa EI-236</v>
          </cell>
        </row>
        <row r="735">
          <cell r="A735" t="str">
            <v>JENIS PEKERJAAN</v>
          </cell>
          <cell r="D735" t="str">
            <v>:  Gorong2 Baja Bergelombang dengan dimensi … (mengacu pada SNI 03-6719-2002)</v>
          </cell>
        </row>
        <row r="736">
          <cell r="A736" t="str">
            <v>SATUAN PEMBAYARAN</v>
          </cell>
          <cell r="D736" t="str">
            <v>:  Ton</v>
          </cell>
          <cell r="J736" t="str">
            <v xml:space="preserve">         URAIAN ANALISA HARGA SATUAN</v>
          </cell>
        </row>
        <row r="739">
          <cell r="A739" t="str">
            <v>No.</v>
          </cell>
          <cell r="C739" t="str">
            <v>U R A I A N</v>
          </cell>
          <cell r="G739" t="str">
            <v>KODE</v>
          </cell>
          <cell r="H739" t="str">
            <v>KOEF.</v>
          </cell>
          <cell r="I739" t="str">
            <v>SATUAN</v>
          </cell>
          <cell r="J739" t="str">
            <v>KETERANGAN</v>
          </cell>
        </row>
        <row r="742">
          <cell r="A742" t="str">
            <v>I.</v>
          </cell>
          <cell r="C742" t="str">
            <v>ASUMSI</v>
          </cell>
        </row>
        <row r="743">
          <cell r="A743">
            <v>1</v>
          </cell>
          <cell r="C743" t="str">
            <v>Pekerjaan dilakukan secara mekanik/manual</v>
          </cell>
        </row>
        <row r="744">
          <cell r="A744">
            <v>2</v>
          </cell>
          <cell r="C744" t="str">
            <v>Lokasi pekerjaan : sepanjang jalan</v>
          </cell>
        </row>
        <row r="745">
          <cell r="A745">
            <v>3</v>
          </cell>
          <cell r="C745" t="str">
            <v>Diameter gorong-gorong baja</v>
          </cell>
          <cell r="G745" t="str">
            <v>d</v>
          </cell>
          <cell r="H745">
            <v>1</v>
          </cell>
          <cell r="I745" t="str">
            <v>m</v>
          </cell>
        </row>
        <row r="746">
          <cell r="A746">
            <v>4</v>
          </cell>
          <cell r="C746" t="str">
            <v>Jarak rata-rata Base Camp ke lokasi pekerjaan</v>
          </cell>
          <cell r="G746" t="str">
            <v>L</v>
          </cell>
          <cell r="H746">
            <v>8.7249999999999996</v>
          </cell>
          <cell r="I746" t="str">
            <v>Km</v>
          </cell>
        </row>
        <row r="747">
          <cell r="A747">
            <v>5</v>
          </cell>
          <cell r="C747" t="str">
            <v>Jam kerja efektif per-hari</v>
          </cell>
          <cell r="G747" t="str">
            <v>Tk</v>
          </cell>
          <cell r="H747">
            <v>7</v>
          </cell>
          <cell r="I747" t="str">
            <v>Jam</v>
          </cell>
        </row>
        <row r="748">
          <cell r="A748">
            <v>6</v>
          </cell>
          <cell r="C748" t="str">
            <v>Tebal gorong-gorong</v>
          </cell>
          <cell r="G748" t="str">
            <v>tg</v>
          </cell>
          <cell r="H748">
            <v>0.25</v>
          </cell>
          <cell r="I748" t="str">
            <v>Cm</v>
          </cell>
        </row>
        <row r="749">
          <cell r="A749">
            <v>7</v>
          </cell>
          <cell r="C749" t="str">
            <v>BJ Pipa Baja Bergelombang</v>
          </cell>
          <cell r="G749" t="str">
            <v>BJp</v>
          </cell>
          <cell r="H749">
            <v>7.9</v>
          </cell>
          <cell r="I749" t="str">
            <v>T/m3</v>
          </cell>
        </row>
        <row r="750">
          <cell r="G750" t="str">
            <v>BJp1</v>
          </cell>
          <cell r="H750">
            <v>0.12445321428571117</v>
          </cell>
          <cell r="I750" t="str">
            <v>T/m'</v>
          </cell>
        </row>
        <row r="751">
          <cell r="A751" t="str">
            <v>II.</v>
          </cell>
          <cell r="C751" t="str">
            <v>URUTAN KERJA</v>
          </cell>
        </row>
        <row r="753">
          <cell r="A753">
            <v>1</v>
          </cell>
          <cell r="C753" t="str">
            <v>Gorong-gorong baja diterima dari pemasok</v>
          </cell>
        </row>
        <row r="754">
          <cell r="C754" t="str">
            <v>di lokasi pekerjaan</v>
          </cell>
        </row>
        <row r="755">
          <cell r="A755">
            <v>3</v>
          </cell>
          <cell r="C755" t="str">
            <v>Dasar gorong-gorong digali sesuai kebutuhan dan ma-</v>
          </cell>
        </row>
        <row r="756">
          <cell r="C756" t="str">
            <v>terial backfill dipadatkan dengan Tamper</v>
          </cell>
        </row>
        <row r="757">
          <cell r="A757">
            <v>4</v>
          </cell>
          <cell r="C757" t="str">
            <v>Tebal lapis porus pada dasar gorong-gorong baja</v>
          </cell>
          <cell r="G757" t="str">
            <v>tp</v>
          </cell>
          <cell r="H757">
            <v>0.15</v>
          </cell>
          <cell r="I757" t="str">
            <v>M</v>
          </cell>
        </row>
        <row r="758">
          <cell r="A758">
            <v>5</v>
          </cell>
          <cell r="C758" t="str">
            <v>Material pilihan untuk penimbunan kembali (padat)</v>
          </cell>
        </row>
        <row r="759">
          <cell r="A759">
            <v>6</v>
          </cell>
          <cell r="C759" t="str">
            <v>Sekelompok pekerja akan melaksanakan pekerjaan</v>
          </cell>
        </row>
        <row r="760">
          <cell r="C760" t="str">
            <v>dengan cara manual dengan menggunakan alat bantu</v>
          </cell>
        </row>
        <row r="762">
          <cell r="A762" t="str">
            <v>III.</v>
          </cell>
          <cell r="C762" t="str">
            <v>PEMAKAIAN BAHAN, ALAT DAN TENAGA</v>
          </cell>
        </row>
        <row r="763">
          <cell r="A763" t="str">
            <v xml:space="preserve">   1.</v>
          </cell>
          <cell r="C763" t="str">
            <v>BAHAN</v>
          </cell>
        </row>
        <row r="764">
          <cell r="C764" t="str">
            <v>Untuk mendapatkan 1 M' gorong-gorong diperlukan</v>
          </cell>
        </row>
        <row r="765">
          <cell r="C765" t="str">
            <v>- Baja Bergelombang</v>
          </cell>
          <cell r="G765" t="str">
            <v>(M46)</v>
          </cell>
          <cell r="H765">
            <v>1050</v>
          </cell>
          <cell r="I765" t="str">
            <v>Kg</v>
          </cell>
        </row>
        <row r="766">
          <cell r="C766" t="str">
            <v>- Urugan Porus = {(tp*(0.5+2*tg/100+d+0.5)*1)*1.05} x (1/BJp1)</v>
          </cell>
          <cell r="G766" t="str">
            <v>(EI-241)</v>
          </cell>
          <cell r="H766">
            <v>2.5373993095512715</v>
          </cell>
          <cell r="I766" t="str">
            <v>M3</v>
          </cell>
        </row>
        <row r="767">
          <cell r="C767" t="str">
            <v>- Mat. Pilihan = {((2*tg/100+d+0.5)*(0.5+2*tg/100+d+0.5)</v>
          </cell>
          <cell r="G767" t="str">
            <v>(M09)</v>
          </cell>
          <cell r="H767">
            <v>18.763120248860478</v>
          </cell>
          <cell r="I767" t="str">
            <v>M3</v>
          </cell>
          <cell r="J767" t="str">
            <v xml:space="preserve"> = Vp</v>
          </cell>
        </row>
        <row r="768">
          <cell r="C768" t="str">
            <v xml:space="preserve">                      -(22/7*(0.5*(2*tg/100+d))^2)*1)*1.05} x (1/BJp1)</v>
          </cell>
        </row>
        <row r="770">
          <cell r="A770" t="str">
            <v xml:space="preserve">   2.</v>
          </cell>
          <cell r="C770" t="str">
            <v>ALAT</v>
          </cell>
        </row>
        <row r="771">
          <cell r="A771" t="str">
            <v>2.a.</v>
          </cell>
          <cell r="C771" t="str">
            <v>TAMPER</v>
          </cell>
          <cell r="G771" t="str">
            <v>(E25)</v>
          </cell>
        </row>
        <row r="772">
          <cell r="C772" t="str">
            <v>Kecepatan</v>
          </cell>
          <cell r="G772" t="str">
            <v>v</v>
          </cell>
          <cell r="H772">
            <v>0.5</v>
          </cell>
          <cell r="I772" t="str">
            <v>Km / Jam</v>
          </cell>
        </row>
        <row r="773">
          <cell r="C773" t="str">
            <v>Efisiensi alat</v>
          </cell>
          <cell r="G773" t="str">
            <v>Fa</v>
          </cell>
          <cell r="H773">
            <v>0.83</v>
          </cell>
          <cell r="I773" t="str">
            <v>-</v>
          </cell>
        </row>
        <row r="774">
          <cell r="C774" t="str">
            <v>Lebar pemadatan</v>
          </cell>
          <cell r="G774" t="str">
            <v>Lb</v>
          </cell>
          <cell r="H774">
            <v>0.4</v>
          </cell>
          <cell r="I774" t="str">
            <v>M</v>
          </cell>
        </row>
        <row r="775">
          <cell r="C775" t="str">
            <v>Banyak lintasan</v>
          </cell>
          <cell r="G775" t="str">
            <v>n</v>
          </cell>
          <cell r="H775">
            <v>10</v>
          </cell>
          <cell r="I775" t="str">
            <v>lintasan</v>
          </cell>
        </row>
        <row r="776">
          <cell r="C776" t="str">
            <v>Tebal lapis hamparan</v>
          </cell>
          <cell r="G776" t="str">
            <v>tp</v>
          </cell>
          <cell r="H776">
            <v>0.2</v>
          </cell>
          <cell r="I776" t="str">
            <v>M</v>
          </cell>
        </row>
        <row r="779">
          <cell r="C779" t="str">
            <v>Kap. Prod. / Jam   =</v>
          </cell>
          <cell r="D779" t="str">
            <v>v x 1000 x Fa x Lb x 60</v>
          </cell>
          <cell r="G779" t="str">
            <v>Q1</v>
          </cell>
          <cell r="H779">
            <v>3.3200000000000003</v>
          </cell>
          <cell r="I779" t="str">
            <v xml:space="preserve">M3 / Jam </v>
          </cell>
        </row>
        <row r="780">
          <cell r="D780" t="str">
            <v xml:space="preserve">    n x tp</v>
          </cell>
        </row>
        <row r="782">
          <cell r="C782" t="str">
            <v>Koefisien Alat / T</v>
          </cell>
          <cell r="D782" t="str">
            <v xml:space="preserve"> =  1  :  Q1 x Vp</v>
          </cell>
          <cell r="G782" t="str">
            <v>(E25)</v>
          </cell>
          <cell r="H782">
            <v>0.76427690046725039</v>
          </cell>
          <cell r="I782" t="str">
            <v>jam</v>
          </cell>
        </row>
        <row r="785">
          <cell r="A785" t="str">
            <v>2.c.</v>
          </cell>
          <cell r="C785" t="str">
            <v>ALAT  BANTU</v>
          </cell>
        </row>
        <row r="786">
          <cell r="C786" t="str">
            <v>Diperlukan alat-alat bantu kecil</v>
          </cell>
          <cell r="J786" t="str">
            <v>Lump Sump</v>
          </cell>
        </row>
        <row r="787">
          <cell r="C787" t="str">
            <v>- Sekop    =         3   buah</v>
          </cell>
        </row>
        <row r="788">
          <cell r="C788" t="str">
            <v>- Pacul     =         3   buah</v>
          </cell>
        </row>
        <row r="789">
          <cell r="C789" t="str">
            <v>- Alat-alat kecil lain</v>
          </cell>
        </row>
        <row r="794">
          <cell r="J794" t="str">
            <v>Berlanjut ke halaman berikut</v>
          </cell>
        </row>
        <row r="795">
          <cell r="A795" t="str">
            <v>ITEM PEMBAYARAN NO.</v>
          </cell>
          <cell r="D795" t="str">
            <v>:  2.3 (7)</v>
          </cell>
          <cell r="J795" t="str">
            <v>Analisa EI-236</v>
          </cell>
        </row>
        <row r="796">
          <cell r="A796" t="str">
            <v>JENIS PEKERJAAN</v>
          </cell>
          <cell r="D796" t="str">
            <v>:  Gorong2 Baja Bergelombang dengan dimensi … (mengacu pada SNI 03-6719-2002)</v>
          </cell>
        </row>
        <row r="797">
          <cell r="A797" t="str">
            <v>SATUAN PEMBAYARAN</v>
          </cell>
          <cell r="D797" t="str">
            <v>:  Ton</v>
          </cell>
          <cell r="J797" t="str">
            <v xml:space="preserve">         URAIAN ANALISA HARGA SATUAN</v>
          </cell>
        </row>
        <row r="798">
          <cell r="J798" t="str">
            <v>Lanjutan</v>
          </cell>
        </row>
        <row r="800">
          <cell r="A800" t="str">
            <v>No.</v>
          </cell>
          <cell r="C800" t="str">
            <v>U R A I A N</v>
          </cell>
          <cell r="G800" t="str">
            <v>KODE</v>
          </cell>
          <cell r="H800" t="str">
            <v>KOEF.</v>
          </cell>
          <cell r="I800" t="str">
            <v>SATUAN</v>
          </cell>
          <cell r="J800" t="str">
            <v>KETERANGAN</v>
          </cell>
        </row>
        <row r="803">
          <cell r="A803" t="str">
            <v xml:space="preserve">   3.</v>
          </cell>
          <cell r="C803" t="str">
            <v>TENAGA</v>
          </cell>
        </row>
        <row r="804">
          <cell r="C804" t="str">
            <v xml:space="preserve">Produksi Gorong-gorong / hari </v>
          </cell>
          <cell r="G804" t="str">
            <v>Qt</v>
          </cell>
          <cell r="H804">
            <v>1.3</v>
          </cell>
          <cell r="I804" t="str">
            <v>Ton</v>
          </cell>
          <cell r="J804">
            <v>10</v>
          </cell>
        </row>
        <row r="805">
          <cell r="J805" t="str">
            <v>M' per hari</v>
          </cell>
        </row>
        <row r="806">
          <cell r="C806" t="str">
            <v>Kebutuhan tenaga :</v>
          </cell>
        </row>
        <row r="807">
          <cell r="D807" t="str">
            <v>- Pekerja</v>
          </cell>
          <cell r="G807" t="str">
            <v>P</v>
          </cell>
          <cell r="H807">
            <v>12</v>
          </cell>
          <cell r="I807" t="str">
            <v>orang</v>
          </cell>
        </row>
        <row r="808">
          <cell r="D808" t="str">
            <v>- Tukang</v>
          </cell>
          <cell r="G808" t="str">
            <v>T</v>
          </cell>
          <cell r="H808">
            <v>1</v>
          </cell>
          <cell r="I808" t="str">
            <v>orang</v>
          </cell>
        </row>
        <row r="809">
          <cell r="D809" t="str">
            <v>- Mandor</v>
          </cell>
          <cell r="G809" t="str">
            <v>M</v>
          </cell>
          <cell r="H809">
            <v>1</v>
          </cell>
          <cell r="I809" t="str">
            <v>orang</v>
          </cell>
        </row>
        <row r="811">
          <cell r="C811" t="str">
            <v>Koefisien tenaga / Ton   :</v>
          </cell>
        </row>
        <row r="812">
          <cell r="D812" t="str">
            <v>- Pekerja</v>
          </cell>
          <cell r="E812" t="str">
            <v>= (Tk x P) : Qt</v>
          </cell>
          <cell r="G812" t="str">
            <v>(L01)</v>
          </cell>
          <cell r="H812">
            <v>64.615384615384613</v>
          </cell>
          <cell r="I812" t="str">
            <v>jam</v>
          </cell>
        </row>
        <row r="813">
          <cell r="D813" t="str">
            <v>- Tukang</v>
          </cell>
          <cell r="E813" t="str">
            <v>= (Tk x T) : Qt</v>
          </cell>
          <cell r="G813" t="str">
            <v>(L02)</v>
          </cell>
          <cell r="H813">
            <v>5.3846153846153841</v>
          </cell>
          <cell r="I813" t="str">
            <v>jam</v>
          </cell>
        </row>
        <row r="814">
          <cell r="D814" t="str">
            <v>- Mandor</v>
          </cell>
          <cell r="E814" t="str">
            <v>= (Tk x M) : Qt</v>
          </cell>
          <cell r="G814" t="str">
            <v>(L03)</v>
          </cell>
          <cell r="H814">
            <v>5.3846153846153841</v>
          </cell>
          <cell r="I814" t="str">
            <v>jam</v>
          </cell>
        </row>
        <row r="816">
          <cell r="A816" t="str">
            <v>4.</v>
          </cell>
          <cell r="C816" t="str">
            <v>HARGA DASAR SATUAN UPAH, BAHAN DAN ALAT</v>
          </cell>
        </row>
        <row r="817">
          <cell r="C817" t="str">
            <v>Lihat lampiran.</v>
          </cell>
        </row>
        <row r="819">
          <cell r="A819" t="str">
            <v>5.</v>
          </cell>
          <cell r="C819" t="str">
            <v>ANALISA HARGA SATUAN PEKERJAAN</v>
          </cell>
        </row>
        <row r="820">
          <cell r="C820" t="str">
            <v>Lihat perhitungan dalam FORMULIR STANDAR UNTUK</v>
          </cell>
        </row>
        <row r="821">
          <cell r="C821" t="str">
            <v>PEREKEMAN ANALISA MASING-MASING HARGA</v>
          </cell>
        </row>
        <row r="822">
          <cell r="C822" t="str">
            <v>SATUAN.</v>
          </cell>
        </row>
        <row r="823">
          <cell r="C823" t="str">
            <v>Didapat Harga Satuan Pekerjaan :</v>
          </cell>
        </row>
        <row r="825">
          <cell r="C825" t="str">
            <v xml:space="preserve">Rp.  </v>
          </cell>
          <cell r="D825">
            <v>9967201.2306805458</v>
          </cell>
          <cell r="E825" t="str">
            <v xml:space="preserve"> / M'</v>
          </cell>
        </row>
        <row r="828">
          <cell r="A828" t="str">
            <v>6.</v>
          </cell>
          <cell r="C828" t="str">
            <v>WAKTU PELAKSANAAN YANG DIPERLUKAN</v>
          </cell>
        </row>
        <row r="829">
          <cell r="C829" t="str">
            <v>Masa Pelaksanaan :</v>
          </cell>
          <cell r="D829" t="str">
            <v>. . . . . . . . . . . .</v>
          </cell>
          <cell r="E829" t="str">
            <v>bulan</v>
          </cell>
        </row>
        <row r="831">
          <cell r="A831" t="str">
            <v>7.</v>
          </cell>
          <cell r="C831" t="str">
            <v>VOLUME PEKERJAAN YANG DIPERLUKAN</v>
          </cell>
        </row>
        <row r="832">
          <cell r="C832" t="str">
            <v>Volume pekerjaan  :</v>
          </cell>
          <cell r="D832">
            <v>1</v>
          </cell>
          <cell r="E832" t="str">
            <v>M'</v>
          </cell>
        </row>
        <row r="854">
          <cell r="A854" t="str">
            <v>ITEM PEMBAYARAN NO.</v>
          </cell>
          <cell r="D854" t="str">
            <v>:  2.3 (8)</v>
          </cell>
          <cell r="J854" t="str">
            <v xml:space="preserve">Analisa EI-235 </v>
          </cell>
        </row>
        <row r="855">
          <cell r="A855" t="str">
            <v>JENIS PEKERJAAN</v>
          </cell>
          <cell r="D855" t="str">
            <v>: Gorong-Gorong Pipa beton tanpa tulangan diameter dalam 100 mm sampai 900 mm</v>
          </cell>
          <cell r="L855" t="str">
            <v>FORMULIR STANDAR UNTUK</v>
          </cell>
        </row>
        <row r="856">
          <cell r="A856" t="str">
            <v>SATUAN PEMBAYARAN</v>
          </cell>
          <cell r="D856" t="str">
            <v>:  M1</v>
          </cell>
          <cell r="J856" t="str">
            <v xml:space="preserve">         URAIAN ANALISA HARGA SATUAN</v>
          </cell>
          <cell r="L856" t="str">
            <v>PEREKAMAN ANALISA MASING-MASING HARGA SATUAN</v>
          </cell>
        </row>
        <row r="857">
          <cell r="L857" t="str">
            <v/>
          </cell>
        </row>
        <row r="859">
          <cell r="A859" t="str">
            <v>No.</v>
          </cell>
          <cell r="C859" t="str">
            <v>U R A I A N</v>
          </cell>
          <cell r="G859" t="str">
            <v>KODE</v>
          </cell>
          <cell r="H859" t="str">
            <v>KOEF.</v>
          </cell>
          <cell r="I859" t="str">
            <v>SATUAN</v>
          </cell>
          <cell r="J859" t="str">
            <v>KETERANGAN</v>
          </cell>
        </row>
        <row r="860">
          <cell r="L860" t="str">
            <v>PROYEK</v>
          </cell>
          <cell r="O860" t="str">
            <v>:</v>
          </cell>
        </row>
        <row r="861">
          <cell r="L861" t="str">
            <v>No. PAKET KONTRAK</v>
          </cell>
          <cell r="O861" t="str">
            <v>:</v>
          </cell>
        </row>
        <row r="862">
          <cell r="A862" t="str">
            <v>I.</v>
          </cell>
          <cell r="C862" t="str">
            <v>ASUMSI</v>
          </cell>
          <cell r="L862" t="str">
            <v>NAMA PAKET</v>
          </cell>
          <cell r="O862" t="str">
            <v>:</v>
          </cell>
        </row>
        <row r="863">
          <cell r="A863">
            <v>1</v>
          </cell>
          <cell r="C863" t="str">
            <v>Pekerjaan dilakukan secara mekanik/manual</v>
          </cell>
          <cell r="L863" t="str">
            <v>PROP / KAB / KODYA</v>
          </cell>
          <cell r="O863" t="str">
            <v>:</v>
          </cell>
        </row>
        <row r="864">
          <cell r="A864">
            <v>2</v>
          </cell>
          <cell r="C864" t="str">
            <v>Lokasi pekerjaan : sepanjang jalan</v>
          </cell>
          <cell r="L864" t="str">
            <v>ITEM PEMBAYARAN NO.</v>
          </cell>
          <cell r="O864" t="str">
            <v>:  2.3 (8)</v>
          </cell>
          <cell r="R864" t="str">
            <v>PERKIRAAN VOL. PEK.</v>
          </cell>
          <cell r="T864" t="str">
            <v>:</v>
          </cell>
          <cell r="U864">
            <v>1</v>
          </cell>
        </row>
        <row r="865">
          <cell r="A865">
            <v>3</v>
          </cell>
          <cell r="C865" t="str">
            <v>Diameter bagian dalam gorong-gorong</v>
          </cell>
          <cell r="G865" t="str">
            <v>d</v>
          </cell>
          <cell r="H865">
            <v>0.25</v>
          </cell>
          <cell r="I865" t="str">
            <v>m</v>
          </cell>
          <cell r="L865" t="str">
            <v>JENIS PEKERJAAN</v>
          </cell>
          <cell r="O865" t="str">
            <v>: Gorong-Gorong Pipa beton tanpa tulangan diameter dalam 100 mm sampai 900 mm</v>
          </cell>
          <cell r="R865" t="str">
            <v>TOTAL HARGA (Rp.)</v>
          </cell>
          <cell r="T865" t="str">
            <v>:</v>
          </cell>
          <cell r="U865">
            <v>218715.29344341051</v>
          </cell>
        </row>
        <row r="866">
          <cell r="A866">
            <v>4</v>
          </cell>
          <cell r="C866" t="str">
            <v>Jarak rata-rata Base Camp ke lokasi pekerjaan</v>
          </cell>
          <cell r="G866" t="str">
            <v>L</v>
          </cell>
          <cell r="H866">
            <v>8.7249999999999996</v>
          </cell>
          <cell r="I866" t="str">
            <v>Km</v>
          </cell>
          <cell r="L866" t="str">
            <v>SATUAN PEMBAYARAN</v>
          </cell>
          <cell r="O866" t="str">
            <v>:  M1</v>
          </cell>
          <cell r="Q866">
            <v>0</v>
          </cell>
          <cell r="R866" t="str">
            <v>% THD. BIAYA PROYEK</v>
          </cell>
          <cell r="T866" t="str">
            <v>:</v>
          </cell>
          <cell r="U866" t="e">
            <v>#DIV/0!</v>
          </cell>
        </row>
        <row r="867">
          <cell r="A867">
            <v>5</v>
          </cell>
          <cell r="C867" t="str">
            <v>Jam kerja efektif per-hari</v>
          </cell>
          <cell r="G867" t="str">
            <v>Tk</v>
          </cell>
          <cell r="H867">
            <v>7</v>
          </cell>
          <cell r="I867" t="str">
            <v>jam</v>
          </cell>
        </row>
        <row r="868">
          <cell r="A868">
            <v>6</v>
          </cell>
          <cell r="C868" t="str">
            <v>Tebal gorong-gorong</v>
          </cell>
          <cell r="G868" t="str">
            <v>tg</v>
          </cell>
          <cell r="H868">
            <v>6.5</v>
          </cell>
          <cell r="I868" t="str">
            <v>Cm</v>
          </cell>
        </row>
        <row r="869">
          <cell r="Q869" t="str">
            <v>PERKIRAAN</v>
          </cell>
          <cell r="R869" t="str">
            <v>HARGA</v>
          </cell>
          <cell r="S869" t="str">
            <v>JUMLAH</v>
          </cell>
        </row>
        <row r="870">
          <cell r="A870" t="str">
            <v>II.</v>
          </cell>
          <cell r="C870" t="str">
            <v>URUTAN KERJA</v>
          </cell>
          <cell r="L870" t="str">
            <v>NO.</v>
          </cell>
          <cell r="N870" t="str">
            <v>KOMPONEN</v>
          </cell>
          <cell r="P870" t="str">
            <v>SATUAN</v>
          </cell>
          <cell r="Q870" t="str">
            <v>KUANTITAS</v>
          </cell>
          <cell r="R870" t="str">
            <v>SATUAN</v>
          </cell>
          <cell r="S870" t="str">
            <v>HARGA</v>
          </cell>
        </row>
        <row r="871">
          <cell r="A871">
            <v>1</v>
          </cell>
          <cell r="C871" t="str">
            <v>Gorong-gorong dicetak di Base Camp</v>
          </cell>
          <cell r="R871" t="str">
            <v>(Rp.)</v>
          </cell>
          <cell r="S871" t="str">
            <v>(Rp.)</v>
          </cell>
        </row>
        <row r="872">
          <cell r="A872">
            <v>2</v>
          </cell>
          <cell r="C872" t="str">
            <v>Dump Truck mengangkut gorong-gorong jadi</v>
          </cell>
        </row>
        <row r="873">
          <cell r="C873" t="str">
            <v>ke lapangan</v>
          </cell>
        </row>
        <row r="874">
          <cell r="A874">
            <v>3</v>
          </cell>
          <cell r="C874" t="str">
            <v>Dasar gorong-gorong digali sesuai kebutuhan dan ma-</v>
          </cell>
          <cell r="L874" t="str">
            <v>A.</v>
          </cell>
          <cell r="N874" t="str">
            <v>TENAGA</v>
          </cell>
        </row>
        <row r="875">
          <cell r="C875" t="str">
            <v>terial backfill dipadatkan dengan Tamper</v>
          </cell>
        </row>
        <row r="876">
          <cell r="A876">
            <v>4</v>
          </cell>
          <cell r="C876" t="str">
            <v>Tebal lapis porus pada dasar gorong-gorong pipa baja</v>
          </cell>
          <cell r="G876" t="str">
            <v>tp</v>
          </cell>
          <cell r="H876">
            <v>0.1</v>
          </cell>
          <cell r="I876" t="str">
            <v>M</v>
          </cell>
          <cell r="J876" t="str">
            <v xml:space="preserve"> Sand bedding</v>
          </cell>
          <cell r="L876" t="str">
            <v>1.</v>
          </cell>
          <cell r="N876" t="str">
            <v>Pekerja</v>
          </cell>
          <cell r="O876" t="str">
            <v>(L01)</v>
          </cell>
          <cell r="P876" t="str">
            <v>jam</v>
          </cell>
          <cell r="Q876">
            <v>1.75</v>
          </cell>
          <cell r="R876">
            <v>2857.14</v>
          </cell>
          <cell r="U876">
            <v>4999.9949999999999</v>
          </cell>
        </row>
        <row r="877">
          <cell r="A877">
            <v>5</v>
          </cell>
          <cell r="C877" t="str">
            <v>Material pilihan untuk penimbunan kembali (padat)</v>
          </cell>
          <cell r="L877" t="str">
            <v>2.</v>
          </cell>
          <cell r="N877" t="str">
            <v>Tukang</v>
          </cell>
          <cell r="O877" t="str">
            <v>(L02)</v>
          </cell>
          <cell r="P877" t="str">
            <v>jam</v>
          </cell>
          <cell r="Q877">
            <v>0</v>
          </cell>
          <cell r="R877">
            <v>4285.71</v>
          </cell>
          <cell r="U877">
            <v>0</v>
          </cell>
        </row>
        <row r="878">
          <cell r="A878">
            <v>6</v>
          </cell>
          <cell r="C878" t="str">
            <v>Sekelompok pekerja akan melaksanakan pekerjaan</v>
          </cell>
          <cell r="L878" t="str">
            <v>3.</v>
          </cell>
          <cell r="N878" t="str">
            <v>Mandor</v>
          </cell>
          <cell r="O878" t="str">
            <v>(L03)</v>
          </cell>
          <cell r="P878" t="str">
            <v>jam</v>
          </cell>
          <cell r="Q878">
            <v>0.35</v>
          </cell>
          <cell r="R878">
            <v>3214.29</v>
          </cell>
          <cell r="U878">
            <v>1125.0014999999999</v>
          </cell>
        </row>
        <row r="879">
          <cell r="C879" t="str">
            <v>dengan cara manual dengan menggunakan alat bantu</v>
          </cell>
        </row>
        <row r="880">
          <cell r="Q880" t="str">
            <v xml:space="preserve">JUMLAH HARGA TENAGA   </v>
          </cell>
          <cell r="U880">
            <v>6124.9964999999993</v>
          </cell>
        </row>
        <row r="882">
          <cell r="A882" t="str">
            <v>III.</v>
          </cell>
          <cell r="C882" t="str">
            <v>PEMAKAIAN BAHAN, ALAT DAN TENAGA</v>
          </cell>
          <cell r="L882" t="str">
            <v>B.</v>
          </cell>
          <cell r="N882" t="str">
            <v>BAHAN</v>
          </cell>
        </row>
        <row r="883">
          <cell r="A883" t="str">
            <v xml:space="preserve">   1.</v>
          </cell>
          <cell r="C883" t="str">
            <v>BAHAN</v>
          </cell>
        </row>
        <row r="884">
          <cell r="C884" t="str">
            <v>Untuk mendapatkan 1 M' gorong-gorong diperlukan</v>
          </cell>
          <cell r="L884" t="str">
            <v>1.</v>
          </cell>
          <cell r="N884" t="str">
            <v>Beton K-175</v>
          </cell>
          <cell r="O884" t="str">
            <v>(EI-716)</v>
          </cell>
          <cell r="P884" t="str">
            <v>M3</v>
          </cell>
          <cell r="Q884">
            <v>6.4324109582251016E-2</v>
          </cell>
          <cell r="R884">
            <v>579443.14540291647</v>
          </cell>
          <cell r="U884">
            <v>37272.16438158141</v>
          </cell>
        </row>
        <row r="885">
          <cell r="C885" t="str">
            <v>- Beton K-175 = (22/7*((2*tg/100+d)/2)^2)-(22/7*(d/2)^2))*1</v>
          </cell>
          <cell r="G885" t="str">
            <v>(EI-716)</v>
          </cell>
          <cell r="H885">
            <v>6.4324109582251016E-2</v>
          </cell>
          <cell r="I885" t="str">
            <v>M3</v>
          </cell>
          <cell r="L885" t="str">
            <v>2.</v>
          </cell>
          <cell r="N885" t="str">
            <v>Urugan Porus</v>
          </cell>
          <cell r="O885" t="str">
            <v>(EI-241)</v>
          </cell>
          <cell r="P885" t="str">
            <v>M3</v>
          </cell>
          <cell r="Q885">
            <v>7.1400000000000005E-2</v>
          </cell>
          <cell r="R885">
            <v>186901.40625406182</v>
          </cell>
          <cell r="U885">
            <v>13344.760406540016</v>
          </cell>
        </row>
        <row r="886">
          <cell r="C886" t="str">
            <v>- Timbunan Porus      = {(tp*(0.15+2*tg/100+d+0.15)*1)*1.05}</v>
          </cell>
          <cell r="G886" t="str">
            <v>(EI-241)</v>
          </cell>
          <cell r="H886">
            <v>7.1400000000000005E-2</v>
          </cell>
          <cell r="I886" t="str">
            <v>M3</v>
          </cell>
          <cell r="L886" t="str">
            <v>3.</v>
          </cell>
          <cell r="N886" t="str">
            <v>Mat. Pilihan</v>
          </cell>
          <cell r="O886" t="str">
            <v>(M09)</v>
          </cell>
          <cell r="P886" t="str">
            <v>M3</v>
          </cell>
          <cell r="Q886">
            <v>0.25929000000000008</v>
          </cell>
          <cell r="R886">
            <v>25000</v>
          </cell>
          <cell r="U886">
            <v>6482.2500000000018</v>
          </cell>
        </row>
        <row r="887">
          <cell r="C887" t="str">
            <v>- Material Pilihan  = ((2*tg/100+d+0.15)*(0.15+2*tg/100+d+0.15)</v>
          </cell>
          <cell r="G887" t="str">
            <v>(M09)</v>
          </cell>
          <cell r="H887">
            <v>0.25929000000000008</v>
          </cell>
          <cell r="I887" t="str">
            <v>M3</v>
          </cell>
          <cell r="J887" t="str">
            <v xml:space="preserve"> = Vp</v>
          </cell>
        </row>
        <row r="888">
          <cell r="D888" t="str">
            <v>-(22/7*(0.5*(2*tg/100+d))^2))*1*1.05</v>
          </cell>
        </row>
        <row r="890">
          <cell r="A890" t="str">
            <v xml:space="preserve">   2.</v>
          </cell>
          <cell r="C890" t="str">
            <v>ALAT</v>
          </cell>
          <cell r="Q890" t="str">
            <v xml:space="preserve">JUMLAH HARGA BAHAN   </v>
          </cell>
          <cell r="U890">
            <v>57099.174788121425</v>
          </cell>
        </row>
        <row r="891">
          <cell r="A891" t="str">
            <v>2.a.</v>
          </cell>
          <cell r="C891" t="str">
            <v>TAMPER</v>
          </cell>
          <cell r="G891" t="str">
            <v>(E25)</v>
          </cell>
        </row>
        <row r="892">
          <cell r="C892" t="str">
            <v>Kecepatan</v>
          </cell>
          <cell r="G892" t="str">
            <v>v</v>
          </cell>
          <cell r="H892">
            <v>0.5</v>
          </cell>
          <cell r="I892" t="str">
            <v>Km / Jam</v>
          </cell>
          <cell r="L892" t="str">
            <v>C.</v>
          </cell>
          <cell r="N892" t="str">
            <v>PERALATAN</v>
          </cell>
        </row>
        <row r="893">
          <cell r="C893" t="str">
            <v>Efisiensi alat</v>
          </cell>
          <cell r="G893" t="str">
            <v>Fa</v>
          </cell>
          <cell r="H893">
            <v>0.83</v>
          </cell>
          <cell r="I893" t="str">
            <v>-</v>
          </cell>
        </row>
        <row r="894">
          <cell r="C894" t="str">
            <v>Lebar pemadatan</v>
          </cell>
          <cell r="G894" t="str">
            <v>Lb</v>
          </cell>
          <cell r="H894">
            <v>0.4</v>
          </cell>
          <cell r="I894" t="str">
            <v>M</v>
          </cell>
          <cell r="L894" t="str">
            <v>1.</v>
          </cell>
          <cell r="N894" t="str">
            <v>Tamper</v>
          </cell>
          <cell r="O894" t="str">
            <v>(E25)</v>
          </cell>
          <cell r="P894" t="str">
            <v>jam</v>
          </cell>
          <cell r="Q894">
            <v>7.8099397590361455E-2</v>
          </cell>
          <cell r="R894">
            <v>18672.16854694486</v>
          </cell>
          <cell r="U894">
            <v>1458.2851152220883</v>
          </cell>
        </row>
        <row r="895">
          <cell r="C895" t="str">
            <v>Banyak lintasan</v>
          </cell>
          <cell r="G895" t="str">
            <v>n</v>
          </cell>
          <cell r="H895">
            <v>10</v>
          </cell>
          <cell r="I895" t="str">
            <v>lintasan</v>
          </cell>
          <cell r="L895" t="str">
            <v>2.</v>
          </cell>
          <cell r="N895" t="str">
            <v>Dump Truck</v>
          </cell>
          <cell r="O895" t="str">
            <v>(E08)</v>
          </cell>
          <cell r="P895" t="str">
            <v>jam</v>
          </cell>
          <cell r="Q895">
            <v>7.210090361445784E-2</v>
          </cell>
          <cell r="R895">
            <v>153645.58193291764</v>
          </cell>
          <cell r="U895">
            <v>11077.98529373258</v>
          </cell>
        </row>
        <row r="896">
          <cell r="C896" t="str">
            <v>Tebal lapis hamparan</v>
          </cell>
          <cell r="G896" t="str">
            <v>tp</v>
          </cell>
          <cell r="H896">
            <v>0.2</v>
          </cell>
          <cell r="I896" t="str">
            <v>M</v>
          </cell>
          <cell r="L896" t="str">
            <v>3.</v>
          </cell>
          <cell r="N896" t="str">
            <v>Alat  Bantu</v>
          </cell>
          <cell r="P896" t="str">
            <v>Ls</v>
          </cell>
          <cell r="Q896">
            <v>1</v>
          </cell>
          <cell r="R896">
            <v>150</v>
          </cell>
          <cell r="U896">
            <v>150</v>
          </cell>
        </row>
        <row r="899">
          <cell r="C899" t="str">
            <v>Kap. Prod. / Jam   =</v>
          </cell>
          <cell r="D899" t="str">
            <v>v x 1000 x Fa x Lb x 60</v>
          </cell>
          <cell r="G899" t="str">
            <v>Q1</v>
          </cell>
          <cell r="H899">
            <v>3.3200000000000003</v>
          </cell>
          <cell r="I899" t="str">
            <v xml:space="preserve">M3 / Jam </v>
          </cell>
        </row>
        <row r="900">
          <cell r="D900" t="str">
            <v xml:space="preserve">    n x tp</v>
          </cell>
        </row>
        <row r="902">
          <cell r="C902" t="str">
            <v>Koefisien Alat / m'</v>
          </cell>
          <cell r="D902" t="str">
            <v xml:space="preserve"> =  1  :  Q1 x Vp</v>
          </cell>
          <cell r="G902" t="str">
            <v>(E25)</v>
          </cell>
          <cell r="H902">
            <v>7.8099397590361455E-2</v>
          </cell>
          <cell r="I902" t="str">
            <v>jam</v>
          </cell>
          <cell r="Q902" t="str">
            <v xml:space="preserve">JUMLAH HARGA PERALATAN   </v>
          </cell>
          <cell r="U902">
            <v>12686.270408954668</v>
          </cell>
        </row>
        <row r="904">
          <cell r="A904" t="str">
            <v>2.b.</v>
          </cell>
          <cell r="C904" t="str">
            <v>DUMP TRUCK</v>
          </cell>
          <cell r="G904" t="str">
            <v>(E08)</v>
          </cell>
          <cell r="L904" t="str">
            <v>D.</v>
          </cell>
          <cell r="N904" t="str">
            <v>JUMLAH HARGA TENAGA, BAHAN DAN PERALATAN  ( A + B + C )</v>
          </cell>
          <cell r="U904">
            <v>75910.441697076094</v>
          </cell>
        </row>
        <row r="905">
          <cell r="C905" t="str">
            <v>Kapasitas bak sekali muat</v>
          </cell>
          <cell r="G905" t="str">
            <v>V</v>
          </cell>
          <cell r="H905">
            <v>20</v>
          </cell>
          <cell r="I905" t="str">
            <v>Buah/M'</v>
          </cell>
          <cell r="L905" t="str">
            <v>E.</v>
          </cell>
          <cell r="N905" t="str">
            <v>OVERHEAD &amp; PROFIT</v>
          </cell>
          <cell r="P905">
            <v>10</v>
          </cell>
          <cell r="Q905" t="str">
            <v>%  x  D</v>
          </cell>
          <cell r="U905">
            <v>7591.0441697076094</v>
          </cell>
        </row>
        <row r="906">
          <cell r="C906" t="str">
            <v>Faktor efisiensi alat</v>
          </cell>
          <cell r="G906" t="str">
            <v>Fa</v>
          </cell>
          <cell r="H906">
            <v>0.83</v>
          </cell>
          <cell r="L906" t="str">
            <v>F.</v>
          </cell>
          <cell r="N906" t="str">
            <v>HARGA SATUAN PEKERJAAN  ( D + E )</v>
          </cell>
          <cell r="U906">
            <v>83501.485866783711</v>
          </cell>
        </row>
        <row r="907">
          <cell r="C907" t="str">
            <v>Kecepatanrata-rata bermuatan</v>
          </cell>
          <cell r="G907" t="str">
            <v>v1</v>
          </cell>
          <cell r="H907">
            <v>40</v>
          </cell>
          <cell r="I907" t="str">
            <v>Km/Jam</v>
          </cell>
          <cell r="L907" t="str">
            <v>Note: 1</v>
          </cell>
          <cell r="N907" t="str">
            <v>SATUAN dapat berdasarkan atas jam operasi untuk Tenaga Kerja dan Peralatan, volume dan/atau ukuran</v>
          </cell>
        </row>
        <row r="908">
          <cell r="C908" t="str">
            <v>Kecepatan rata-rata kosong</v>
          </cell>
          <cell r="G908" t="str">
            <v>v2</v>
          </cell>
          <cell r="H908">
            <v>60</v>
          </cell>
          <cell r="I908" t="str">
            <v>Km/Jam</v>
          </cell>
          <cell r="N908" t="str">
            <v>berat untuk bahan-bahan.</v>
          </cell>
        </row>
        <row r="909">
          <cell r="C909" t="str">
            <v>Waktu siklus    :</v>
          </cell>
          <cell r="G909" t="str">
            <v>Ts1</v>
          </cell>
          <cell r="L909">
            <v>2</v>
          </cell>
          <cell r="N909" t="str">
            <v>Kuantitas satuan adalah kuantitas setiap komponen untuk menyelesaikan satu satuan pekerjaan dari nomor</v>
          </cell>
        </row>
        <row r="910">
          <cell r="C910" t="str">
            <v>- Waktu  tempuh in  si  = (L : v1 ) x 60</v>
          </cell>
          <cell r="G910" t="str">
            <v>T1</v>
          </cell>
          <cell r="H910">
            <v>13.087499999999999</v>
          </cell>
          <cell r="I910" t="str">
            <v>menit</v>
          </cell>
          <cell r="N910" t="str">
            <v>mata pembayaran.</v>
          </cell>
        </row>
        <row r="911">
          <cell r="C911" t="str">
            <v>-  Waktutempuh kosong  = (L : v2)  x  60</v>
          </cell>
          <cell r="G911" t="str">
            <v>T2</v>
          </cell>
          <cell r="H911">
            <v>8.7249999999999996</v>
          </cell>
          <cell r="I911" t="str">
            <v>menit</v>
          </cell>
          <cell r="L911">
            <v>3</v>
          </cell>
          <cell r="N911" t="str">
            <v>Biaya satuan untuk peralatan sudah termasuk bahan bakar, bahan habis dipakai dan operator.</v>
          </cell>
        </row>
        <row r="912">
          <cell r="C912" t="str">
            <v>-  Muat, bongkar dan lain-lain</v>
          </cell>
          <cell r="G912" t="str">
            <v>T3</v>
          </cell>
          <cell r="H912">
            <v>50</v>
          </cell>
          <cell r="I912" t="str">
            <v>menit</v>
          </cell>
          <cell r="L912">
            <v>4</v>
          </cell>
          <cell r="N912" t="str">
            <v>Biaya satuan sudah termasuk pengeluaran untuk seluruh pajak yang berkaitan (tetapi tidak termasuk PPN</v>
          </cell>
        </row>
        <row r="913">
          <cell r="G913" t="str">
            <v>Ts1</v>
          </cell>
          <cell r="H913">
            <v>71.8125</v>
          </cell>
          <cell r="I913" t="str">
            <v>menit</v>
          </cell>
          <cell r="N913" t="str">
            <v>yang dibayar dari kontrak) dan biaya-biaya lainnya.</v>
          </cell>
        </row>
        <row r="914">
          <cell r="J914" t="str">
            <v>Berlanjut ke halaman berikut</v>
          </cell>
        </row>
        <row r="915">
          <cell r="A915" t="str">
            <v>ITEM PEMBAYARAN NO.</v>
          </cell>
          <cell r="D915" t="str">
            <v>:  2.3 (8)</v>
          </cell>
          <cell r="J915" t="str">
            <v xml:space="preserve">Analisa EI-235 </v>
          </cell>
        </row>
        <row r="916">
          <cell r="A916" t="str">
            <v>JENIS PEKERJAAN</v>
          </cell>
          <cell r="D916" t="str">
            <v>: Gorong-Gorong Pipa beton tanpa tulangan diameter dalam 100 mm sampai 900 mm</v>
          </cell>
        </row>
        <row r="917">
          <cell r="A917" t="str">
            <v>SATUAN PEMBAYARAN</v>
          </cell>
          <cell r="D917" t="str">
            <v>:  M1</v>
          </cell>
          <cell r="J917" t="str">
            <v xml:space="preserve">         URAIAN ANALISA HARGA SATUAN</v>
          </cell>
        </row>
        <row r="918">
          <cell r="J918" t="str">
            <v>Lanjutan</v>
          </cell>
        </row>
        <row r="920">
          <cell r="A920" t="str">
            <v>No.</v>
          </cell>
          <cell r="C920" t="str">
            <v>U R A I A N</v>
          </cell>
          <cell r="G920" t="str">
            <v>KODE</v>
          </cell>
          <cell r="H920" t="str">
            <v>KOEF.</v>
          </cell>
          <cell r="I920" t="str">
            <v>SATUAN</v>
          </cell>
          <cell r="J920" t="str">
            <v>KETERANGAN</v>
          </cell>
        </row>
        <row r="923">
          <cell r="C923" t="str">
            <v>Kapasitas Produksi / Jam   =</v>
          </cell>
          <cell r="E923" t="str">
            <v>V x Fa x 60</v>
          </cell>
          <cell r="G923" t="str">
            <v>Q2</v>
          </cell>
          <cell r="H923">
            <v>13.869451697127936</v>
          </cell>
          <cell r="I923" t="str">
            <v xml:space="preserve">M' / Jam </v>
          </cell>
        </row>
        <row r="924">
          <cell r="E924" t="str">
            <v>Ts1</v>
          </cell>
        </row>
        <row r="926">
          <cell r="C926" t="str">
            <v>Koefisien Alat / m'</v>
          </cell>
          <cell r="D926" t="str">
            <v xml:space="preserve"> =  1  :  Q2</v>
          </cell>
          <cell r="G926" t="str">
            <v>(E08)</v>
          </cell>
          <cell r="H926">
            <v>7.210090361445784E-2</v>
          </cell>
          <cell r="I926" t="str">
            <v>jam</v>
          </cell>
        </row>
        <row r="929">
          <cell r="A929" t="str">
            <v>2.c.</v>
          </cell>
          <cell r="C929" t="str">
            <v>ALAT  BANTU</v>
          </cell>
        </row>
        <row r="930">
          <cell r="C930" t="str">
            <v>Diperlukan alat-alat bantu kecil</v>
          </cell>
          <cell r="J930" t="str">
            <v>Lump Sump</v>
          </cell>
        </row>
        <row r="931">
          <cell r="C931" t="str">
            <v>- Sekop    =         3   buah</v>
          </cell>
        </row>
        <row r="932">
          <cell r="C932" t="str">
            <v>- Pacul     =         3   buah</v>
          </cell>
        </row>
        <row r="933">
          <cell r="C933" t="str">
            <v>- Alat-alat kecil lain</v>
          </cell>
        </row>
        <row r="935">
          <cell r="A935" t="str">
            <v xml:space="preserve">   3.</v>
          </cell>
          <cell r="C935" t="str">
            <v>TENAGA</v>
          </cell>
        </row>
        <row r="936">
          <cell r="C936" t="str">
            <v>Produksi Gorong-gorong / hari</v>
          </cell>
          <cell r="G936" t="str">
            <v>Qt</v>
          </cell>
          <cell r="H936">
            <v>20</v>
          </cell>
          <cell r="I936" t="str">
            <v>M'</v>
          </cell>
        </row>
        <row r="937">
          <cell r="C937" t="str">
            <v>Kebutuhan tenaga :</v>
          </cell>
        </row>
        <row r="938">
          <cell r="D938" t="str">
            <v>- Pekerja</v>
          </cell>
          <cell r="G938" t="str">
            <v>P</v>
          </cell>
          <cell r="H938">
            <v>5</v>
          </cell>
          <cell r="I938" t="str">
            <v>orang</v>
          </cell>
        </row>
        <row r="939">
          <cell r="D939" t="str">
            <v>- Tukang</v>
          </cell>
          <cell r="G939" t="str">
            <v>T</v>
          </cell>
          <cell r="H939">
            <v>0</v>
          </cell>
          <cell r="I939" t="str">
            <v>orang</v>
          </cell>
        </row>
        <row r="940">
          <cell r="D940" t="str">
            <v>- Mandor</v>
          </cell>
          <cell r="G940" t="str">
            <v>M</v>
          </cell>
          <cell r="H940">
            <v>1</v>
          </cell>
          <cell r="I940" t="str">
            <v>orang</v>
          </cell>
        </row>
        <row r="942">
          <cell r="C942" t="str">
            <v>Koefisien tenaga / M1   :</v>
          </cell>
        </row>
        <row r="943">
          <cell r="D943" t="str">
            <v>- Pekerja</v>
          </cell>
          <cell r="E943" t="str">
            <v>= (Tk x P) : Qt</v>
          </cell>
          <cell r="G943" t="str">
            <v>(L01)</v>
          </cell>
          <cell r="H943">
            <v>1.75</v>
          </cell>
          <cell r="I943" t="str">
            <v>Jam</v>
          </cell>
        </row>
        <row r="944">
          <cell r="D944" t="str">
            <v>- Tukang</v>
          </cell>
          <cell r="E944" t="str">
            <v>= (Tk x T) : Qt</v>
          </cell>
          <cell r="G944" t="str">
            <v>(L02)</v>
          </cell>
          <cell r="H944">
            <v>0</v>
          </cell>
          <cell r="I944" t="str">
            <v>Jam</v>
          </cell>
        </row>
        <row r="945">
          <cell r="D945" t="str">
            <v>- Mandor</v>
          </cell>
          <cell r="E945" t="str">
            <v>= (Tk x M) : Qt</v>
          </cell>
          <cell r="G945" t="str">
            <v>(L03)</v>
          </cell>
          <cell r="H945">
            <v>0.35</v>
          </cell>
          <cell r="I945" t="str">
            <v>Jam</v>
          </cell>
        </row>
        <row r="947">
          <cell r="A947" t="str">
            <v>4.</v>
          </cell>
          <cell r="C947" t="str">
            <v>HARGA DASAR SATUAN UPAH, BAHAN DAN ALAT</v>
          </cell>
        </row>
        <row r="948">
          <cell r="C948" t="str">
            <v>Lihat lampiran.</v>
          </cell>
        </row>
        <row r="951">
          <cell r="A951" t="str">
            <v>5.</v>
          </cell>
          <cell r="C951" t="str">
            <v>ANALISA HARGA SATUAN PEKERJAAN</v>
          </cell>
        </row>
        <row r="952">
          <cell r="C952" t="str">
            <v>Lihat perhitungan dalam FORMULIR STANDAR UNTUK</v>
          </cell>
        </row>
        <row r="953">
          <cell r="C953" t="str">
            <v>PEREKEMAN ANALISA MASING-MASING HARGA</v>
          </cell>
        </row>
        <row r="954">
          <cell r="C954" t="str">
            <v>SATUAN.</v>
          </cell>
        </row>
        <row r="955">
          <cell r="C955" t="str">
            <v>Didapat Harga Satuan Pekerjaan :</v>
          </cell>
        </row>
        <row r="957">
          <cell r="C957" t="str">
            <v xml:space="preserve">Rp.  </v>
          </cell>
          <cell r="D957">
            <v>83501.485866783711</v>
          </cell>
          <cell r="E957" t="str">
            <v xml:space="preserve"> / M'</v>
          </cell>
        </row>
        <row r="960">
          <cell r="A960" t="str">
            <v>6.</v>
          </cell>
          <cell r="C960" t="str">
            <v>WAKTU PELAKSANAAN YANG DIPERLUKAN</v>
          </cell>
        </row>
        <row r="961">
          <cell r="C961" t="str">
            <v>Masa Pelaksanaan :</v>
          </cell>
          <cell r="D961" t="str">
            <v>. . . . . . . . . . . .</v>
          </cell>
          <cell r="E961" t="str">
            <v>bulan</v>
          </cell>
        </row>
        <row r="963">
          <cell r="A963" t="str">
            <v>7.</v>
          </cell>
          <cell r="C963" t="str">
            <v>VOLUME PEKERJAAN YANG DIPERLUKAN</v>
          </cell>
        </row>
        <row r="964">
          <cell r="C964" t="str">
            <v>Volume pekerjaan  :</v>
          </cell>
          <cell r="D964">
            <v>1</v>
          </cell>
          <cell r="E964" t="str">
            <v>M'</v>
          </cell>
        </row>
        <row r="974">
          <cell r="A974" t="str">
            <v>ITEM PEMBAYARAN NO.</v>
          </cell>
          <cell r="D974" t="str">
            <v>:  2.3 (9)</v>
          </cell>
          <cell r="J974" t="str">
            <v xml:space="preserve">Analisa EI-241 </v>
          </cell>
        </row>
        <row r="975">
          <cell r="A975" t="str">
            <v>JENIS PEKERJAAN</v>
          </cell>
          <cell r="D975" t="str">
            <v>: Gorong-gorong persegi beton bertulang pracetak dengan dimensi………</v>
          </cell>
        </row>
        <row r="976">
          <cell r="A976" t="str">
            <v>SATUAN PEMBAYARAN</v>
          </cell>
          <cell r="D976" t="str">
            <v>:  M1</v>
          </cell>
          <cell r="J976" t="str">
            <v xml:space="preserve">         URAIAN ANALISA HARGA SATUAN</v>
          </cell>
        </row>
        <row r="978">
          <cell r="A978" t="str">
            <v>ITEM PEMBAYARAN NO.</v>
          </cell>
          <cell r="D978" t="str">
            <v>:  2.4 (1)</v>
          </cell>
          <cell r="J978" t="str">
            <v xml:space="preserve">Analisa EI-241 </v>
          </cell>
        </row>
        <row r="979">
          <cell r="A979" t="str">
            <v>JENIS PEKERJAAN</v>
          </cell>
          <cell r="D979" t="str">
            <v>:  Timbunan Porous / Bhn.Penyaring</v>
          </cell>
          <cell r="L979" t="str">
            <v>FORMULIR STANDAR UNTUK</v>
          </cell>
        </row>
        <row r="980">
          <cell r="A980" t="str">
            <v>SATUAN PEMBAYARAN</v>
          </cell>
          <cell r="D980" t="str">
            <v>:  M3</v>
          </cell>
          <cell r="J980" t="str">
            <v xml:space="preserve">         URAIAN ANALISA HARGA SATUAN</v>
          </cell>
          <cell r="L980" t="str">
            <v>PEREKAMAN ANALISA MASING-MASING HARGA SATUAN</v>
          </cell>
        </row>
        <row r="981">
          <cell r="L981" t="str">
            <v/>
          </cell>
        </row>
        <row r="983">
          <cell r="A983" t="str">
            <v>No.</v>
          </cell>
          <cell r="C983" t="str">
            <v>U R A I A N</v>
          </cell>
          <cell r="G983" t="str">
            <v>KODE</v>
          </cell>
          <cell r="H983" t="str">
            <v>KOEF.</v>
          </cell>
          <cell r="I983" t="str">
            <v>SATUAN</v>
          </cell>
          <cell r="J983" t="str">
            <v>KETERANGAN</v>
          </cell>
        </row>
        <row r="984">
          <cell r="L984" t="str">
            <v>PROYEK</v>
          </cell>
          <cell r="O984" t="str">
            <v>:</v>
          </cell>
        </row>
        <row r="985">
          <cell r="L985" t="str">
            <v>No. PAKET KONTRAK</v>
          </cell>
          <cell r="O985" t="str">
            <v>:</v>
          </cell>
        </row>
        <row r="986">
          <cell r="A986" t="str">
            <v>I.</v>
          </cell>
          <cell r="C986" t="str">
            <v>ASUMSI</v>
          </cell>
          <cell r="L986" t="str">
            <v>NAMA PAKET</v>
          </cell>
          <cell r="O986" t="str">
            <v>:</v>
          </cell>
        </row>
        <row r="987">
          <cell r="A987">
            <v>1</v>
          </cell>
          <cell r="C987" t="str">
            <v>Pekerjaan dilakukan secara manual</v>
          </cell>
          <cell r="L987" t="str">
            <v>PROP / KAB / KODYA</v>
          </cell>
          <cell r="O987" t="str">
            <v>:</v>
          </cell>
        </row>
        <row r="988">
          <cell r="A988">
            <v>2</v>
          </cell>
          <cell r="C988" t="str">
            <v>Lokasi pekerjaan : sepanjang jalan</v>
          </cell>
          <cell r="L988" t="str">
            <v>ITEM PEMBAYARAN NO.</v>
          </cell>
          <cell r="O988" t="str">
            <v>:  2.4 (1)</v>
          </cell>
          <cell r="R988" t="str">
            <v>PERKIRAAN VOL. PEK.</v>
          </cell>
          <cell r="T988" t="str">
            <v>:</v>
          </cell>
          <cell r="U988">
            <v>1</v>
          </cell>
        </row>
        <row r="989">
          <cell r="A989">
            <v>3</v>
          </cell>
          <cell r="C989" t="str">
            <v>Kondisi Jalan   :  sedang / baik</v>
          </cell>
          <cell r="L989" t="str">
            <v>JENIS PEKERJAAN</v>
          </cell>
          <cell r="O989" t="str">
            <v>:  Timbunan Porous / Bhn.Penyaring</v>
          </cell>
          <cell r="R989" t="str">
            <v>TOTAL HARGA (Rp.)</v>
          </cell>
          <cell r="T989" t="str">
            <v>:</v>
          </cell>
          <cell r="U989">
            <v>83501.485866783711</v>
          </cell>
        </row>
        <row r="990">
          <cell r="A990">
            <v>4</v>
          </cell>
          <cell r="C990" t="str">
            <v>Jam kerja efektif per-hari</v>
          </cell>
          <cell r="G990" t="str">
            <v>Tk</v>
          </cell>
          <cell r="H990">
            <v>7</v>
          </cell>
          <cell r="I990" t="str">
            <v>Jam</v>
          </cell>
          <cell r="L990" t="str">
            <v>SATUAN PEMBAYARAN</v>
          </cell>
          <cell r="O990" t="str">
            <v>:  M3</v>
          </cell>
          <cell r="R990" t="str">
            <v>% THD. BIAYA PROYEK</v>
          </cell>
          <cell r="T990" t="str">
            <v>:</v>
          </cell>
          <cell r="U990" t="e">
            <v>#DIV/0!</v>
          </cell>
        </row>
        <row r="991">
          <cell r="A991">
            <v>5</v>
          </cell>
          <cell r="C991" t="str">
            <v>Faktor kehilangan material</v>
          </cell>
          <cell r="G991" t="str">
            <v>Fh</v>
          </cell>
          <cell r="H991">
            <v>1.1000000000000001</v>
          </cell>
          <cell r="I991" t="str">
            <v>-</v>
          </cell>
        </row>
        <row r="992">
          <cell r="A992">
            <v>6</v>
          </cell>
          <cell r="C992" t="str">
            <v>Material Porous terdiri dari batu pecah dan pasir</v>
          </cell>
        </row>
        <row r="993">
          <cell r="Q993" t="str">
            <v>PERKIRAAN</v>
          </cell>
          <cell r="R993" t="str">
            <v>HARGA</v>
          </cell>
          <cell r="S993" t="str">
            <v>JUMLAH</v>
          </cell>
        </row>
        <row r="994">
          <cell r="A994" t="str">
            <v>II.</v>
          </cell>
          <cell r="C994" t="str">
            <v>URUTAN KERJA</v>
          </cell>
          <cell r="L994" t="str">
            <v>NO.</v>
          </cell>
          <cell r="N994" t="str">
            <v>KOMPONEN</v>
          </cell>
          <cell r="P994" t="str">
            <v>SATUAN</v>
          </cell>
          <cell r="Q994" t="str">
            <v>KUANTITAS</v>
          </cell>
          <cell r="R994" t="str">
            <v>SATUAN</v>
          </cell>
          <cell r="S994" t="str">
            <v>HARGA</v>
          </cell>
        </row>
        <row r="995">
          <cell r="A995">
            <v>1</v>
          </cell>
          <cell r="C995" t="str">
            <v>Material Porous diterima dilokasi pekerjaan</v>
          </cell>
          <cell r="R995" t="str">
            <v>(Rp.)</v>
          </cell>
          <cell r="S995" t="str">
            <v>(Rp.)</v>
          </cell>
        </row>
        <row r="996">
          <cell r="A996">
            <v>2</v>
          </cell>
          <cell r="C996" t="str">
            <v>Material dipadatkan dengan menggunakan</v>
          </cell>
        </row>
        <row r="997">
          <cell r="C997" t="str">
            <v>Tamper</v>
          </cell>
        </row>
        <row r="998">
          <cell r="A998">
            <v>3</v>
          </cell>
          <cell r="C998" t="str">
            <v>Pemadatan dilakukan lapis demi lapis</v>
          </cell>
          <cell r="G998" t="str">
            <v>t</v>
          </cell>
          <cell r="H998">
            <v>0.15</v>
          </cell>
          <cell r="I998" t="str">
            <v>M</v>
          </cell>
          <cell r="L998" t="str">
            <v>A.</v>
          </cell>
          <cell r="N998" t="str">
            <v>TENAGA</v>
          </cell>
        </row>
        <row r="999">
          <cell r="A999">
            <v>4</v>
          </cell>
          <cell r="C999" t="str">
            <v>Pekerjaan galian dilaksanakan oleh pekerja</v>
          </cell>
        </row>
        <row r="1000">
          <cell r="L1000" t="str">
            <v>1.</v>
          </cell>
          <cell r="N1000" t="str">
            <v>Pekerja</v>
          </cell>
          <cell r="O1000" t="str">
            <v>(L01)</v>
          </cell>
          <cell r="P1000" t="str">
            <v>Jam</v>
          </cell>
          <cell r="Q1000">
            <v>2.8</v>
          </cell>
          <cell r="R1000">
            <v>2857.14</v>
          </cell>
          <cell r="U1000">
            <v>7999.9919999999993</v>
          </cell>
        </row>
        <row r="1001">
          <cell r="A1001" t="str">
            <v>III.</v>
          </cell>
          <cell r="C1001" t="str">
            <v>PEMAKAIAN BAHAN, ALAT DAN TENAGA</v>
          </cell>
          <cell r="L1001" t="str">
            <v>2.</v>
          </cell>
          <cell r="N1001" t="str">
            <v>Mandor</v>
          </cell>
          <cell r="O1001" t="str">
            <v>(L03)</v>
          </cell>
          <cell r="P1001" t="str">
            <v>Jam</v>
          </cell>
          <cell r="Q1001">
            <v>0.7</v>
          </cell>
          <cell r="R1001">
            <v>3214.29</v>
          </cell>
          <cell r="U1001">
            <v>2250.0029999999997</v>
          </cell>
        </row>
        <row r="1002">
          <cell r="A1002" t="str">
            <v xml:space="preserve">   1.</v>
          </cell>
          <cell r="C1002" t="str">
            <v>BAHAN</v>
          </cell>
        </row>
        <row r="1003">
          <cell r="C1003" t="str">
            <v>Material Porous terdiri dari :</v>
          </cell>
        </row>
        <row r="1004">
          <cell r="C1004" t="str">
            <v>- Batu pecah</v>
          </cell>
          <cell r="G1004" t="str">
            <v>Bt</v>
          </cell>
          <cell r="H1004">
            <v>50</v>
          </cell>
          <cell r="I1004" t="str">
            <v>%</v>
          </cell>
          <cell r="Q1004" t="str">
            <v xml:space="preserve">JUMLAH HARGA TENAGA   </v>
          </cell>
          <cell r="U1004">
            <v>10249.994999999999</v>
          </cell>
        </row>
        <row r="1005">
          <cell r="C1005" t="str">
            <v>- Pasir</v>
          </cell>
          <cell r="G1005" t="str">
            <v>Ps</v>
          </cell>
          <cell r="H1005">
            <v>50</v>
          </cell>
          <cell r="I1005" t="str">
            <v>%</v>
          </cell>
        </row>
        <row r="1006">
          <cell r="L1006" t="str">
            <v>B.</v>
          </cell>
          <cell r="N1006" t="str">
            <v>BAHAN</v>
          </cell>
        </row>
        <row r="1007">
          <cell r="C1007" t="str">
            <v>Kebutuhan Batu Pecah / M3  = (Bt : 100) x Fh</v>
          </cell>
          <cell r="G1007" t="str">
            <v>(M03)</v>
          </cell>
          <cell r="H1007">
            <v>0.55000000000000004</v>
          </cell>
          <cell r="I1007" t="str">
            <v>M3</v>
          </cell>
          <cell r="J1007" t="str">
            <v xml:space="preserve"> Agregat Kasar</v>
          </cell>
        </row>
        <row r="1008">
          <cell r="C1008" t="str">
            <v>Kebutuhan Pasir / M3   =  (Ps : 100) x Fh</v>
          </cell>
          <cell r="G1008" t="str">
            <v>(M01)</v>
          </cell>
          <cell r="H1008">
            <v>0.55000000000000004</v>
          </cell>
          <cell r="I1008" t="str">
            <v>M3</v>
          </cell>
          <cell r="L1008" t="str">
            <v>1.</v>
          </cell>
          <cell r="N1008" t="str">
            <v>Agregat Kasar</v>
          </cell>
          <cell r="O1008" t="str">
            <v>(M03)</v>
          </cell>
          <cell r="P1008" t="str">
            <v>M3</v>
          </cell>
          <cell r="Q1008">
            <v>0.55000000000000004</v>
          </cell>
          <cell r="R1008">
            <v>222345.54558042376</v>
          </cell>
          <cell r="U1008">
            <v>122290.05006923308</v>
          </cell>
        </row>
        <row r="1009">
          <cell r="L1009" t="str">
            <v>2.</v>
          </cell>
          <cell r="N1009" t="str">
            <v>Pasir</v>
          </cell>
          <cell r="O1009" t="str">
            <v>(M01)</v>
          </cell>
          <cell r="P1009" t="str">
            <v>M3</v>
          </cell>
          <cell r="Q1009">
            <v>0.55000000000000004</v>
          </cell>
          <cell r="R1009">
            <v>54300</v>
          </cell>
          <cell r="U1009">
            <v>29865.000000000004</v>
          </cell>
        </row>
        <row r="1011">
          <cell r="A1011" t="str">
            <v xml:space="preserve">   2.</v>
          </cell>
          <cell r="C1011" t="str">
            <v>ALAT</v>
          </cell>
        </row>
        <row r="1012">
          <cell r="A1012" t="str">
            <v>2.a.</v>
          </cell>
          <cell r="C1012" t="str">
            <v>HAND COMPACTOR</v>
          </cell>
          <cell r="G1012" t="str">
            <v>(E25)</v>
          </cell>
        </row>
        <row r="1013">
          <cell r="C1013" t="str">
            <v>Kecepatan</v>
          </cell>
          <cell r="G1013" t="str">
            <v>v</v>
          </cell>
          <cell r="H1013">
            <v>0.25</v>
          </cell>
          <cell r="I1013" t="str">
            <v>Km / Jam</v>
          </cell>
        </row>
        <row r="1014">
          <cell r="C1014" t="str">
            <v>Efisiensi alat</v>
          </cell>
          <cell r="G1014" t="str">
            <v>Fa</v>
          </cell>
          <cell r="H1014">
            <v>0.83</v>
          </cell>
          <cell r="I1014" t="str">
            <v>-</v>
          </cell>
          <cell r="Q1014" t="str">
            <v xml:space="preserve">JUMLAH HARGA BAHAN   </v>
          </cell>
          <cell r="U1014">
            <v>152155.05006923308</v>
          </cell>
        </row>
        <row r="1015">
          <cell r="C1015" t="str">
            <v>Lebar pemadatan</v>
          </cell>
          <cell r="G1015" t="str">
            <v>b</v>
          </cell>
          <cell r="H1015">
            <v>0.25</v>
          </cell>
          <cell r="I1015" t="str">
            <v>M</v>
          </cell>
        </row>
        <row r="1016">
          <cell r="C1016" t="str">
            <v>Banyak lintasan</v>
          </cell>
          <cell r="G1016" t="str">
            <v>n</v>
          </cell>
          <cell r="H1016">
            <v>10</v>
          </cell>
          <cell r="I1016" t="str">
            <v>lintasan</v>
          </cell>
          <cell r="L1016" t="str">
            <v>C.</v>
          </cell>
          <cell r="N1016" t="str">
            <v>PERALATAN</v>
          </cell>
        </row>
        <row r="1018">
          <cell r="L1018" t="str">
            <v>1.</v>
          </cell>
          <cell r="N1018" t="str">
            <v>Tamper</v>
          </cell>
          <cell r="O1018" t="str">
            <v>(E25)</v>
          </cell>
          <cell r="P1018" t="str">
            <v>Jam</v>
          </cell>
          <cell r="Q1018">
            <v>1.285140562248996</v>
          </cell>
          <cell r="R1018">
            <v>18672.16854694486</v>
          </cell>
          <cell r="U1018">
            <v>23996.361184828736</v>
          </cell>
        </row>
        <row r="1019">
          <cell r="C1019" t="str">
            <v>Kap. Prod. / Jam   =</v>
          </cell>
          <cell r="D1019" t="str">
            <v>v x 1000 x Fa x b x t</v>
          </cell>
          <cell r="G1019" t="str">
            <v>Q1</v>
          </cell>
          <cell r="H1019">
            <v>0.77812499999999996</v>
          </cell>
          <cell r="I1019" t="str">
            <v xml:space="preserve">M3 / Jam </v>
          </cell>
          <cell r="L1019" t="str">
            <v>2.</v>
          </cell>
          <cell r="N1019" t="str">
            <v>Alat  Bantu</v>
          </cell>
          <cell r="P1019" t="str">
            <v>Ls</v>
          </cell>
          <cell r="Q1019">
            <v>1</v>
          </cell>
          <cell r="R1019">
            <v>500</v>
          </cell>
          <cell r="U1019">
            <v>500</v>
          </cell>
        </row>
        <row r="1020">
          <cell r="D1020" t="str">
            <v xml:space="preserve">        n</v>
          </cell>
        </row>
        <row r="1022">
          <cell r="C1022" t="str">
            <v>Koefisien Alat / M3</v>
          </cell>
          <cell r="D1022" t="str">
            <v xml:space="preserve"> =  1  :  Q1</v>
          </cell>
          <cell r="G1022" t="str">
            <v>(E25)</v>
          </cell>
          <cell r="H1022">
            <v>1.285140562248996</v>
          </cell>
          <cell r="I1022" t="str">
            <v>Jam</v>
          </cell>
        </row>
        <row r="1025">
          <cell r="A1025" t="str">
            <v>2.b.</v>
          </cell>
          <cell r="C1025" t="str">
            <v>ALAT  BANTU</v>
          </cell>
        </row>
        <row r="1026">
          <cell r="C1026" t="str">
            <v>Diperlukan alat-alat bantu kecil</v>
          </cell>
          <cell r="J1026" t="str">
            <v>Lump Sump</v>
          </cell>
          <cell r="Q1026" t="str">
            <v xml:space="preserve">JUMLAH HARGA PERALATAN   </v>
          </cell>
          <cell r="U1026">
            <v>24496.361184828736</v>
          </cell>
        </row>
        <row r="1027">
          <cell r="C1027" t="str">
            <v>- Sekop    =         3   buah</v>
          </cell>
        </row>
        <row r="1028">
          <cell r="C1028" t="str">
            <v>- Alat-alat kecil lain</v>
          </cell>
          <cell r="L1028" t="str">
            <v>D.</v>
          </cell>
          <cell r="N1028" t="str">
            <v>JUMLAH HARGA TENAGA, BAHAN DAN PERALATAN  ( A + B + C )</v>
          </cell>
          <cell r="U1028">
            <v>186901.40625406182</v>
          </cell>
        </row>
        <row r="1029">
          <cell r="L1029" t="str">
            <v>E.</v>
          </cell>
          <cell r="N1029" t="str">
            <v>OVERHEAD &amp; PROFIT</v>
          </cell>
          <cell r="P1029">
            <v>10</v>
          </cell>
          <cell r="Q1029" t="str">
            <v>%  x  D</v>
          </cell>
          <cell r="U1029">
            <v>18690.140625406184</v>
          </cell>
        </row>
        <row r="1030">
          <cell r="L1030" t="str">
            <v>F.</v>
          </cell>
          <cell r="N1030" t="str">
            <v>HARGA SATUAN PEKERJAAN  ( D + E )</v>
          </cell>
          <cell r="U1030">
            <v>205591.54687946799</v>
          </cell>
        </row>
        <row r="1031">
          <cell r="L1031" t="str">
            <v>Note: 1</v>
          </cell>
          <cell r="N1031" t="str">
            <v>SATUAN dapat berdasarkan atas jam operasi untuk Tenaga Kerja dan Peralatan, volume dan/atau ukuran</v>
          </cell>
        </row>
        <row r="1032">
          <cell r="N1032" t="str">
            <v>berat untuk bahan-bahan.</v>
          </cell>
        </row>
        <row r="1033">
          <cell r="L1033">
            <v>2</v>
          </cell>
          <cell r="N1033" t="str">
            <v>Kuantitas satuan adalah kuantitas setiap komponen untuk menyelesaikan satu satuan pekerjaan dari nomor</v>
          </cell>
        </row>
        <row r="1034">
          <cell r="N1034" t="str">
            <v>mata pembayaran.</v>
          </cell>
        </row>
        <row r="1035">
          <cell r="L1035">
            <v>3</v>
          </cell>
          <cell r="N1035" t="str">
            <v>Biaya satuan untuk peralatan sudah termasuk bahan bakar, bahan habis dipakai dan operator.</v>
          </cell>
        </row>
        <row r="1036">
          <cell r="L1036">
            <v>4</v>
          </cell>
          <cell r="N1036" t="str">
            <v>Biaya satuan sudah termasuk pengeluaran untuk seluruh pajak yang berkaitan (tetapi tidak termasuk PPN</v>
          </cell>
        </row>
        <row r="1037">
          <cell r="N1037" t="str">
            <v>yang dibayar dari kontrak) dan biaya-biaya lainnya.</v>
          </cell>
        </row>
        <row r="1038">
          <cell r="J1038" t="str">
            <v>Berlanjut ke halaman berikut</v>
          </cell>
        </row>
        <row r="1039">
          <cell r="A1039" t="str">
            <v>ITEM PEMBAYARAN NO.</v>
          </cell>
          <cell r="D1039" t="str">
            <v>:  2.4 (1)</v>
          </cell>
          <cell r="J1039" t="str">
            <v xml:space="preserve">Analisa EI-241 </v>
          </cell>
        </row>
        <row r="1040">
          <cell r="A1040" t="str">
            <v>JENIS PEKERJAAN</v>
          </cell>
          <cell r="D1040" t="str">
            <v>:  Timbunan Porous / Bhn.Penyaring</v>
          </cell>
        </row>
        <row r="1041">
          <cell r="A1041" t="str">
            <v>SATUAN PEMBAYARAN</v>
          </cell>
          <cell r="D1041" t="str">
            <v>:  M3</v>
          </cell>
          <cell r="J1041" t="str">
            <v xml:space="preserve">         URAIAN ANALISA HARGA SATUAN</v>
          </cell>
        </row>
        <row r="1042">
          <cell r="J1042" t="str">
            <v>Lanjutan</v>
          </cell>
        </row>
        <row r="1044">
          <cell r="A1044" t="str">
            <v>No.</v>
          </cell>
          <cell r="C1044" t="str">
            <v>U R A I A N</v>
          </cell>
          <cell r="G1044" t="str">
            <v>KODE</v>
          </cell>
          <cell r="H1044" t="str">
            <v>KOEF.</v>
          </cell>
          <cell r="I1044" t="str">
            <v>SATUAN</v>
          </cell>
          <cell r="J1044" t="str">
            <v>KETERANGAN</v>
          </cell>
        </row>
        <row r="1047">
          <cell r="A1047" t="str">
            <v xml:space="preserve">   3.</v>
          </cell>
          <cell r="C1047" t="str">
            <v>TENAGA</v>
          </cell>
        </row>
        <row r="1048">
          <cell r="C1048" t="str">
            <v>Produksi yang dapat diselesaikan / hari</v>
          </cell>
          <cell r="G1048" t="str">
            <v>Qt</v>
          </cell>
          <cell r="H1048">
            <v>10</v>
          </cell>
          <cell r="I1048" t="str">
            <v>M3</v>
          </cell>
        </row>
        <row r="1049">
          <cell r="C1049" t="str">
            <v>Kebutuhan tenaga :</v>
          </cell>
        </row>
        <row r="1050">
          <cell r="D1050" t="str">
            <v>- Pekerja</v>
          </cell>
          <cell r="G1050" t="str">
            <v>P</v>
          </cell>
          <cell r="H1050">
            <v>4</v>
          </cell>
          <cell r="I1050" t="str">
            <v>orang</v>
          </cell>
        </row>
        <row r="1051">
          <cell r="D1051" t="str">
            <v>- Mandor</v>
          </cell>
          <cell r="G1051" t="str">
            <v>M</v>
          </cell>
          <cell r="H1051">
            <v>1</v>
          </cell>
          <cell r="I1051" t="str">
            <v>orang</v>
          </cell>
        </row>
        <row r="1054">
          <cell r="C1054" t="str">
            <v>Koefisien tenaga / M3   :</v>
          </cell>
        </row>
        <row r="1055">
          <cell r="D1055" t="str">
            <v>- Pekerja</v>
          </cell>
          <cell r="E1055" t="str">
            <v>= (Tk x P) : Qt</v>
          </cell>
          <cell r="G1055" t="str">
            <v>(L01)</v>
          </cell>
          <cell r="H1055">
            <v>2.8</v>
          </cell>
          <cell r="I1055" t="str">
            <v>Jam</v>
          </cell>
        </row>
        <row r="1056">
          <cell r="D1056" t="str">
            <v>- Mandor</v>
          </cell>
          <cell r="E1056" t="str">
            <v>= (Tk x M) : Qt</v>
          </cell>
          <cell r="G1056" t="str">
            <v>(L03)</v>
          </cell>
          <cell r="H1056">
            <v>0.7</v>
          </cell>
          <cell r="I1056" t="str">
            <v>Jam</v>
          </cell>
        </row>
        <row r="1059">
          <cell r="A1059" t="str">
            <v>4.</v>
          </cell>
          <cell r="C1059" t="str">
            <v>HARGA DASAR SATUAN UPAH, BAHAN DAN ALAT</v>
          </cell>
        </row>
        <row r="1060">
          <cell r="C1060" t="str">
            <v>Lihat lampiran.</v>
          </cell>
        </row>
        <row r="1063">
          <cell r="A1063" t="str">
            <v>5.</v>
          </cell>
          <cell r="C1063" t="str">
            <v>ANALISA HARGA SATUAN PEKERJAAN</v>
          </cell>
        </row>
        <row r="1064">
          <cell r="C1064" t="str">
            <v>Lihat perhitungan dalam FORMULIR STANDAR UNTUK</v>
          </cell>
        </row>
        <row r="1065">
          <cell r="C1065" t="str">
            <v>PEREKEMAN ANALISA MASING-MASING HARGA</v>
          </cell>
        </row>
        <row r="1066">
          <cell r="C1066" t="str">
            <v>SATUAN.</v>
          </cell>
        </row>
        <row r="1067">
          <cell r="C1067" t="str">
            <v>Didapat Harga Satuan Pekerjaan :</v>
          </cell>
        </row>
        <row r="1069">
          <cell r="C1069" t="str">
            <v xml:space="preserve">Rp.  </v>
          </cell>
          <cell r="D1069">
            <v>205591.54687946799</v>
          </cell>
          <cell r="E1069" t="str">
            <v xml:space="preserve"> / M3</v>
          </cell>
        </row>
        <row r="1072">
          <cell r="A1072" t="str">
            <v>6.</v>
          </cell>
          <cell r="C1072" t="str">
            <v>WAKTU PELAKSANAAN YANG DIPERLUKAN</v>
          </cell>
        </row>
        <row r="1073">
          <cell r="C1073" t="str">
            <v>Masa Pelaksanaan :</v>
          </cell>
          <cell r="D1073" t="str">
            <v>. . . . . . . . . . . .</v>
          </cell>
          <cell r="E1073" t="str">
            <v>bulan</v>
          </cell>
        </row>
        <row r="1075">
          <cell r="A1075" t="str">
            <v>7.</v>
          </cell>
          <cell r="C1075" t="str">
            <v>VOLUME PEKERJAAN YANG DIPERLUKAN</v>
          </cell>
        </row>
        <row r="1076">
          <cell r="C1076" t="str">
            <v>Volume pekerjaan  :</v>
          </cell>
          <cell r="D1076">
            <v>1</v>
          </cell>
          <cell r="E1076" t="str">
            <v>M3</v>
          </cell>
        </row>
        <row r="1097">
          <cell r="T1097" t="str">
            <v xml:space="preserve">Analisa LI-242 </v>
          </cell>
        </row>
        <row r="1098">
          <cell r="A1098" t="str">
            <v>ITEM PEMBAYARAN NO.</v>
          </cell>
          <cell r="D1098" t="str">
            <v>:  2.4 (2)</v>
          </cell>
          <cell r="J1098" t="str">
            <v xml:space="preserve">Analisa LI-242 </v>
          </cell>
        </row>
        <row r="1099">
          <cell r="A1099" t="str">
            <v>JENIS PEKERJAAN</v>
          </cell>
          <cell r="D1099" t="str">
            <v>:  Anyaman Filter Plastik</v>
          </cell>
          <cell r="L1099" t="str">
            <v>FORMULIR STANDAR UNTUK</v>
          </cell>
        </row>
        <row r="1100">
          <cell r="A1100" t="str">
            <v>SATUAN PEMBAYARAN</v>
          </cell>
          <cell r="D1100" t="str">
            <v>:  M2</v>
          </cell>
          <cell r="J1100" t="str">
            <v xml:space="preserve">         URAIAN ANALISA HARGA SATUAN</v>
          </cell>
          <cell r="L1100" t="str">
            <v>PEREKAMAN ANALISA MASING-MASING HARGA SATUAN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3"/>
    </sheetNames>
    <sheetDataSet>
      <sheetData sheetId="0">
        <row r="1">
          <cell r="A1" t="str">
            <v>ITEM PEMBAYARAN NO.</v>
          </cell>
          <cell r="D1" t="str">
            <v>:  3.1 (1)</v>
          </cell>
          <cell r="J1" t="str">
            <v>Analisa EI-311</v>
          </cell>
          <cell r="T1" t="str">
            <v>Analisa EI-311</v>
          </cell>
        </row>
        <row r="2">
          <cell r="A2" t="str">
            <v>JENIS PEKERJAAN</v>
          </cell>
          <cell r="D2" t="str">
            <v>:  Galian Biasa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Jalan   :  sedang / baik</v>
          </cell>
          <cell r="L12" t="str">
            <v>ITEM PEMBAYARAN NO.</v>
          </cell>
          <cell r="O12" t="str">
            <v>:  3.1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Jam kerja efektif per-hari</v>
          </cell>
          <cell r="G13" t="str">
            <v>Tk</v>
          </cell>
          <cell r="H13">
            <v>7</v>
          </cell>
          <cell r="I13" t="str">
            <v>Jam</v>
          </cell>
          <cell r="L13" t="str">
            <v>JENIS PEKERJAAN</v>
          </cell>
          <cell r="O13" t="str">
            <v>:  Galian Biasa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Faktor pengembangan bahan</v>
          </cell>
          <cell r="G14" t="str">
            <v>Fk</v>
          </cell>
          <cell r="H14">
            <v>1.2</v>
          </cell>
          <cell r="I14" t="str">
            <v>-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7">
          <cell r="A17" t="str">
            <v>II.</v>
          </cell>
          <cell r="C17" t="str">
            <v>URUTAN KERJA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1</v>
          </cell>
          <cell r="C18" t="str">
            <v>Tanah yang dipotong umumnya berada disisi jalan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>
            <v>2</v>
          </cell>
          <cell r="C19" t="str">
            <v>Penggalian dilakukan dengan menggunakan Excavator</v>
          </cell>
          <cell r="R19" t="str">
            <v>(Rp.)</v>
          </cell>
          <cell r="S19" t="str">
            <v>(Rp.)</v>
          </cell>
        </row>
        <row r="20">
          <cell r="A20">
            <v>3</v>
          </cell>
          <cell r="C20" t="str">
            <v>Selanjutnya Excavator menuangkan material hasil</v>
          </cell>
        </row>
        <row r="21">
          <cell r="C21" t="str">
            <v>galian kedalam Dump Truck</v>
          </cell>
        </row>
        <row r="22">
          <cell r="A22">
            <v>4</v>
          </cell>
          <cell r="C22" t="str">
            <v>Dump Truck membuang material hasil galian keluar</v>
          </cell>
          <cell r="L22" t="str">
            <v>A.</v>
          </cell>
          <cell r="N22" t="str">
            <v>TENAGA</v>
          </cell>
        </row>
        <row r="23">
          <cell r="C23" t="str">
            <v>lokasi jalan sejauh</v>
          </cell>
          <cell r="G23" t="str">
            <v>L</v>
          </cell>
          <cell r="H23">
            <v>5</v>
          </cell>
          <cell r="I23" t="str">
            <v>Km</v>
          </cell>
        </row>
        <row r="24"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1.6426998315844023E-2</v>
          </cell>
          <cell r="R24">
            <v>2857.14</v>
          </cell>
          <cell r="U24">
            <v>46.934233968130592</v>
          </cell>
        </row>
        <row r="25"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8.2134991579220114E-3</v>
          </cell>
          <cell r="R25">
            <v>3214.29</v>
          </cell>
          <cell r="U25">
            <v>26.400568208317143</v>
          </cell>
        </row>
        <row r="26">
          <cell r="A26" t="str">
            <v>III.</v>
          </cell>
          <cell r="C26" t="str">
            <v>PEMAKAIAN BAHAN, ALAT DAN TENAGA</v>
          </cell>
        </row>
        <row r="28">
          <cell r="A28" t="str">
            <v xml:space="preserve">   1.</v>
          </cell>
          <cell r="C28" t="str">
            <v>BAHAN</v>
          </cell>
          <cell r="Q28" t="str">
            <v xml:space="preserve">JUMLAH HARGA TENAGA   </v>
          </cell>
          <cell r="U28">
            <v>73.334802176447738</v>
          </cell>
        </row>
        <row r="29">
          <cell r="C29" t="str">
            <v>Tidak ada bahan yang diperlukan</v>
          </cell>
        </row>
        <row r="30">
          <cell r="L30" t="str">
            <v>B.</v>
          </cell>
          <cell r="N30" t="str">
            <v>BAHAN</v>
          </cell>
        </row>
        <row r="32">
          <cell r="A32" t="str">
            <v xml:space="preserve">   2.</v>
          </cell>
          <cell r="C32" t="str">
            <v>ALAT</v>
          </cell>
        </row>
        <row r="33">
          <cell r="A33" t="str">
            <v xml:space="preserve">   2.a.</v>
          </cell>
          <cell r="C33" t="str">
            <v>EXCAVATOR</v>
          </cell>
          <cell r="G33" t="str">
            <v>(E10)</v>
          </cell>
        </row>
        <row r="34">
          <cell r="C34" t="str">
            <v>Kapasitas Bucket</v>
          </cell>
          <cell r="G34" t="str">
            <v>V</v>
          </cell>
          <cell r="H34">
            <v>0.93</v>
          </cell>
          <cell r="I34" t="str">
            <v>M3</v>
          </cell>
        </row>
        <row r="35">
          <cell r="C35" t="str">
            <v>Faktor Bucket</v>
          </cell>
          <cell r="G35" t="str">
            <v>Fb</v>
          </cell>
          <cell r="H35">
            <v>1</v>
          </cell>
          <cell r="I35" t="str">
            <v>-</v>
          </cell>
        </row>
        <row r="36">
          <cell r="C36" t="str">
            <v>Faktor  Efisiensi alat</v>
          </cell>
          <cell r="G36" t="str">
            <v>Fa</v>
          </cell>
          <cell r="H36">
            <v>0.83</v>
          </cell>
          <cell r="I36" t="str">
            <v>-</v>
          </cell>
        </row>
        <row r="38">
          <cell r="C38" t="str">
            <v>Waktu siklus</v>
          </cell>
          <cell r="G38" t="str">
            <v>Ts1</v>
          </cell>
          <cell r="I38" t="str">
            <v>menit</v>
          </cell>
          <cell r="Q38" t="str">
            <v xml:space="preserve">JUMLAH HARGA BAHAN   </v>
          </cell>
          <cell r="U38">
            <v>0</v>
          </cell>
        </row>
        <row r="39">
          <cell r="C39" t="str">
            <v>- Menggali / memuat</v>
          </cell>
          <cell r="G39" t="str">
            <v>T1</v>
          </cell>
          <cell r="H39">
            <v>0.317</v>
          </cell>
          <cell r="I39" t="str">
            <v>menit</v>
          </cell>
        </row>
        <row r="40">
          <cell r="C40" t="str">
            <v>- Lain-lain</v>
          </cell>
          <cell r="G40" t="str">
            <v>T2</v>
          </cell>
          <cell r="I40" t="str">
            <v>menit</v>
          </cell>
        </row>
        <row r="41">
          <cell r="G41" t="str">
            <v>Ts1</v>
          </cell>
          <cell r="H41">
            <v>0.317</v>
          </cell>
          <cell r="I41" t="str">
            <v>menit</v>
          </cell>
          <cell r="L41" t="str">
            <v>C.</v>
          </cell>
          <cell r="N41" t="str">
            <v>PERALATAN</v>
          </cell>
        </row>
        <row r="43">
          <cell r="C43" t="str">
            <v>Kap. Prod. / jam =</v>
          </cell>
          <cell r="D43" t="str">
            <v>V  x Fb x Fa x 60</v>
          </cell>
          <cell r="G43" t="str">
            <v>Q1</v>
          </cell>
          <cell r="H43">
            <v>121.75078864353311</v>
          </cell>
          <cell r="I43" t="str">
            <v>M3/Jam</v>
          </cell>
          <cell r="L43" t="str">
            <v>1.</v>
          </cell>
          <cell r="N43" t="str">
            <v>Excavator</v>
          </cell>
          <cell r="O43" t="str">
            <v>(E10)</v>
          </cell>
          <cell r="P43" t="str">
            <v>Jam</v>
          </cell>
          <cell r="Q43">
            <v>8.2134991579220114E-3</v>
          </cell>
          <cell r="R43">
            <v>238185.05650827778</v>
          </cell>
          <cell r="U43">
            <v>1956.3327610603462</v>
          </cell>
        </row>
        <row r="44">
          <cell r="D44" t="str">
            <v>Ts1 x Fh</v>
          </cell>
          <cell r="L44" t="str">
            <v>2.</v>
          </cell>
          <cell r="N44" t="str">
            <v>Dump Truck</v>
          </cell>
          <cell r="O44" t="str">
            <v>(E08)</v>
          </cell>
          <cell r="P44" t="str">
            <v>Jam</v>
          </cell>
          <cell r="Q44">
            <v>5.7658071071694475E-2</v>
          </cell>
          <cell r="R44">
            <v>153645.58193291764</v>
          </cell>
          <cell r="U44">
            <v>8858.9078829400223</v>
          </cell>
        </row>
        <row r="45">
          <cell r="L45" t="str">
            <v>3.</v>
          </cell>
          <cell r="N45" t="str">
            <v>Alat Bantu</v>
          </cell>
          <cell r="P45" t="str">
            <v>Ls</v>
          </cell>
          <cell r="Q45">
            <v>1</v>
          </cell>
          <cell r="R45">
            <v>75</v>
          </cell>
          <cell r="U45">
            <v>75</v>
          </cell>
        </row>
        <row r="46">
          <cell r="C46" t="str">
            <v>Koefisien Alat / M3</v>
          </cell>
          <cell r="D46" t="str">
            <v xml:space="preserve"> =  1  :  Q1</v>
          </cell>
          <cell r="G46" t="str">
            <v>(E10)</v>
          </cell>
          <cell r="H46">
            <v>8.2134991579220114E-3</v>
          </cell>
          <cell r="I46" t="str">
            <v>Jam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(E08)</v>
          </cell>
          <cell r="Q50" t="str">
            <v xml:space="preserve">JUMLAH HARGA PERALATAN   </v>
          </cell>
          <cell r="U50">
            <v>10890.240644000369</v>
          </cell>
        </row>
        <row r="51">
          <cell r="C51" t="str">
            <v>Kapasitas bak</v>
          </cell>
          <cell r="G51" t="str">
            <v>V</v>
          </cell>
          <cell r="H51">
            <v>6.666666666666667</v>
          </cell>
          <cell r="I51" t="str">
            <v>M3</v>
          </cell>
        </row>
        <row r="52">
          <cell r="C52" t="str">
            <v>Faktor 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D.</v>
          </cell>
          <cell r="N52" t="str">
            <v>JUMLAH HARGA TENAGA, BAHAN DAN PERALATAN  ( A + B + C )</v>
          </cell>
          <cell r="U52">
            <v>10963.575446176816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1096.3575446176817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F.</v>
          </cell>
          <cell r="N54" t="str">
            <v>HARGA SATUAN PEKERJAAN  ( D + E )</v>
          </cell>
          <cell r="U54">
            <v>12059.932990794498</v>
          </cell>
        </row>
        <row r="55">
          <cell r="C55" t="str">
            <v>Waktu  siklus</v>
          </cell>
          <cell r="G55" t="str">
            <v>Ts2</v>
          </cell>
          <cell r="I55" t="str">
            <v>menit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- Waktu tempuh isi</v>
          </cell>
          <cell r="E56" t="str">
            <v>=   (L  :  v1)  x  60</v>
          </cell>
          <cell r="G56" t="str">
            <v>T1</v>
          </cell>
          <cell r="H56">
            <v>6.6666666666666661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kosong</v>
          </cell>
          <cell r="E57" t="str">
            <v>=   (L  :  v2)  x  60</v>
          </cell>
          <cell r="G57" t="str">
            <v>T2</v>
          </cell>
          <cell r="H57">
            <v>5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Muat</v>
          </cell>
          <cell r="E58" t="str">
            <v>=   (V  :  Q1) x 60</v>
          </cell>
          <cell r="G58" t="str">
            <v>T3</v>
          </cell>
          <cell r="H58">
            <v>3.2853996631688047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</v>
          </cell>
          <cell r="G59" t="str">
            <v>T4</v>
          </cell>
          <cell r="H59">
            <v>1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15.952066329835471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3.1 (1)</v>
          </cell>
          <cell r="J62" t="str">
            <v>Analisa EI-311</v>
          </cell>
        </row>
        <row r="63">
          <cell r="A63" t="str">
            <v>JENIS PEKERJAAN</v>
          </cell>
          <cell r="D63" t="str">
            <v>:  Galian Biasa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Kapasitas Produksi / Jam   =</v>
          </cell>
          <cell r="E70" t="str">
            <v>V x Fa x 60</v>
          </cell>
          <cell r="G70" t="str">
            <v>Q2</v>
          </cell>
          <cell r="H70">
            <v>17.343625643607776</v>
          </cell>
          <cell r="I70" t="str">
            <v xml:space="preserve">M3/Jam </v>
          </cell>
        </row>
        <row r="71">
          <cell r="E71" t="str">
            <v xml:space="preserve">    Fk x Ts2</v>
          </cell>
        </row>
        <row r="74">
          <cell r="C74" t="str">
            <v>Koefisien Alat / M3</v>
          </cell>
          <cell r="D74" t="str">
            <v xml:space="preserve"> =  1  :  Q2</v>
          </cell>
          <cell r="G74" t="str">
            <v>(E08)</v>
          </cell>
          <cell r="H74">
            <v>5.7658071071694475E-2</v>
          </cell>
          <cell r="I74" t="str">
            <v>Jam</v>
          </cell>
        </row>
        <row r="77">
          <cell r="A77" t="str">
            <v>2.d.</v>
          </cell>
          <cell r="C77" t="str">
            <v>ALAT  BANTU</v>
          </cell>
        </row>
        <row r="78">
          <cell r="C78" t="str">
            <v>Diperlukan alat-alat bantu kecil</v>
          </cell>
          <cell r="J78" t="str">
            <v>Lump Sump</v>
          </cell>
        </row>
        <row r="79">
          <cell r="C79" t="str">
            <v>- Sekop</v>
          </cell>
        </row>
        <row r="80">
          <cell r="C80" t="str">
            <v>- Keranjang</v>
          </cell>
        </row>
        <row r="82">
          <cell r="A82" t="str">
            <v xml:space="preserve">   3.</v>
          </cell>
          <cell r="C82" t="str">
            <v>TENAGA</v>
          </cell>
        </row>
        <row r="83">
          <cell r="C83" t="str">
            <v>Produksi menentukan : EXCAVATOR</v>
          </cell>
          <cell r="G83" t="str">
            <v>Q1</v>
          </cell>
          <cell r="H83">
            <v>121.75078864353311</v>
          </cell>
          <cell r="I83" t="str">
            <v>M3/Jam</v>
          </cell>
        </row>
        <row r="84">
          <cell r="C84" t="str">
            <v>Produksi Galian / hari  =  Tk x Q1</v>
          </cell>
          <cell r="G84" t="str">
            <v>Qt</v>
          </cell>
          <cell r="H84">
            <v>852.25552050473175</v>
          </cell>
          <cell r="I84" t="str">
            <v>M3</v>
          </cell>
        </row>
        <row r="85">
          <cell r="C85" t="str">
            <v>Kebutuhan tenaga :</v>
          </cell>
        </row>
        <row r="86">
          <cell r="D86" t="str">
            <v>- Pekerja</v>
          </cell>
          <cell r="G86" t="str">
            <v>P</v>
          </cell>
          <cell r="H86">
            <v>2</v>
          </cell>
          <cell r="I86" t="str">
            <v>orang</v>
          </cell>
        </row>
        <row r="87">
          <cell r="D87" t="str">
            <v>- Mandor</v>
          </cell>
          <cell r="G87" t="str">
            <v>M</v>
          </cell>
          <cell r="H87">
            <v>1</v>
          </cell>
          <cell r="I87" t="str">
            <v>orang</v>
          </cell>
        </row>
        <row r="89">
          <cell r="C89" t="str">
            <v>Koefisien tenaga / M3   :</v>
          </cell>
        </row>
        <row r="90">
          <cell r="D90" t="str">
            <v>- Pekerja</v>
          </cell>
          <cell r="E90" t="str">
            <v>= (Tk x P) : Qt</v>
          </cell>
          <cell r="G90" t="str">
            <v>(L01)</v>
          </cell>
          <cell r="H90">
            <v>1.6426998315844023E-2</v>
          </cell>
          <cell r="I90" t="str">
            <v>Jam</v>
          </cell>
        </row>
        <row r="91">
          <cell r="D91" t="str">
            <v>- Mandor</v>
          </cell>
          <cell r="E91" t="str">
            <v>= (Tk x M) : Qt</v>
          </cell>
          <cell r="G91" t="str">
            <v>(L03)</v>
          </cell>
          <cell r="H91">
            <v>8.2134991579220114E-3</v>
          </cell>
          <cell r="I91" t="str">
            <v>Jam</v>
          </cell>
        </row>
        <row r="93">
          <cell r="A93" t="str">
            <v>4.</v>
          </cell>
          <cell r="C93" t="str">
            <v>HARGA DASAR SATUAN UPAH, BAHAN DAN ALAT</v>
          </cell>
        </row>
        <row r="94">
          <cell r="C94" t="str">
            <v>Lihat lampiran.</v>
          </cell>
        </row>
        <row r="96">
          <cell r="A96" t="str">
            <v>5.</v>
          </cell>
          <cell r="C96" t="str">
            <v>ANALISA HARGA SATUAN PEKERJAAN</v>
          </cell>
        </row>
        <row r="97">
          <cell r="C97" t="str">
            <v>Lihat perhitungan dalam FORMULIR STANDAR UNTUK</v>
          </cell>
        </row>
        <row r="98">
          <cell r="C98" t="str">
            <v>PEREKEMAN ANALISA MASING-MASING HARGA</v>
          </cell>
        </row>
        <row r="99">
          <cell r="C99" t="str">
            <v>SATUAN.</v>
          </cell>
        </row>
        <row r="100">
          <cell r="C100" t="str">
            <v>Didapat Harga Satuan Pekerjaan :</v>
          </cell>
        </row>
        <row r="102">
          <cell r="C102" t="str">
            <v xml:space="preserve">Rp.  </v>
          </cell>
          <cell r="D102">
            <v>12059.932990794498</v>
          </cell>
          <cell r="E102" t="str">
            <v xml:space="preserve"> / M3</v>
          </cell>
        </row>
        <row r="105">
          <cell r="A105" t="str">
            <v>6.</v>
          </cell>
          <cell r="C105" t="str">
            <v>WAKTU PELAKSANAAN YANG DIPERLUKAN</v>
          </cell>
        </row>
        <row r="106">
          <cell r="C106" t="str">
            <v>Masa Pelaksanaan :</v>
          </cell>
          <cell r="D106" t="str">
            <v>. . . . . . . . . . . .</v>
          </cell>
          <cell r="E106" t="str">
            <v>bulan</v>
          </cell>
        </row>
        <row r="108">
          <cell r="A108" t="str">
            <v>7.</v>
          </cell>
          <cell r="C108" t="str">
            <v>VOLUME PEKERJAAN YANG DIPERLUKAN</v>
          </cell>
        </row>
        <row r="109">
          <cell r="C109" t="str">
            <v>Volume pekerjaan  :</v>
          </cell>
          <cell r="D109">
            <v>0</v>
          </cell>
          <cell r="E109" t="str">
            <v>M3</v>
          </cell>
        </row>
        <row r="121">
          <cell r="A121" t="str">
            <v>ITEM PEMBAYARAN NO.</v>
          </cell>
          <cell r="D121" t="str">
            <v>:  3.1 (2)</v>
          </cell>
          <cell r="J121" t="str">
            <v>Analisa EI-312</v>
          </cell>
          <cell r="T121" t="str">
            <v>Analisa EI-312</v>
          </cell>
        </row>
        <row r="122">
          <cell r="A122" t="str">
            <v>JENIS PEKERJAAN</v>
          </cell>
          <cell r="D122" t="str">
            <v>:  Galian Batu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  <cell r="L123" t="str">
            <v>FORMULIR STANDAR UNTUK</v>
          </cell>
        </row>
        <row r="124">
          <cell r="L124" t="str">
            <v>PEREKAMAN ANALISA MASING-MASING HARGA SATUAN</v>
          </cell>
        </row>
        <row r="125">
          <cell r="L125" t="str">
            <v/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8">
          <cell r="L128" t="str">
            <v>PROYEK</v>
          </cell>
          <cell r="O128" t="str">
            <v>:</v>
          </cell>
        </row>
        <row r="129">
          <cell r="A129" t="str">
            <v>I.</v>
          </cell>
          <cell r="C129" t="str">
            <v>ASUMSI</v>
          </cell>
          <cell r="L129" t="str">
            <v>No. PAKET KONTRAK</v>
          </cell>
          <cell r="O129" t="str">
            <v>:</v>
          </cell>
        </row>
        <row r="130">
          <cell r="A130">
            <v>1</v>
          </cell>
          <cell r="C130" t="str">
            <v>Pekerjaan dilakukan secara manual</v>
          </cell>
          <cell r="L130" t="str">
            <v>NAMA PAKET</v>
          </cell>
          <cell r="O130" t="str">
            <v>:</v>
          </cell>
        </row>
        <row r="131">
          <cell r="A131">
            <v>2</v>
          </cell>
          <cell r="C131" t="str">
            <v>Lokasi pekerjaan : sepanjang jalan</v>
          </cell>
          <cell r="L131" t="str">
            <v>PROP / KAB / KODYA</v>
          </cell>
          <cell r="O131" t="str">
            <v>:</v>
          </cell>
        </row>
        <row r="132">
          <cell r="A132">
            <v>3</v>
          </cell>
          <cell r="C132" t="str">
            <v>Kondisi Jalan   :  sedang / baik</v>
          </cell>
          <cell r="L132" t="str">
            <v>ITEM PEMBAYARAN NO.</v>
          </cell>
          <cell r="O132" t="str">
            <v>:  3.1 (2)</v>
          </cell>
          <cell r="R132" t="str">
            <v>PERKIRAAN VOL. PEK.</v>
          </cell>
          <cell r="T132" t="str">
            <v>:</v>
          </cell>
          <cell r="U132">
            <v>0</v>
          </cell>
        </row>
        <row r="133">
          <cell r="A133">
            <v>4</v>
          </cell>
          <cell r="C133" t="str">
            <v>Jam kerja efektif per-hari</v>
          </cell>
          <cell r="G133" t="str">
            <v>Tk</v>
          </cell>
          <cell r="H133">
            <v>7</v>
          </cell>
          <cell r="I133" t="str">
            <v>Jam</v>
          </cell>
          <cell r="L133" t="str">
            <v>JENIS PEKERJAAN</v>
          </cell>
          <cell r="O133" t="str">
            <v>:  Galian Batu</v>
          </cell>
          <cell r="R133" t="str">
            <v>TOTAL HARGA (Rp.)</v>
          </cell>
          <cell r="T133" t="str">
            <v>:</v>
          </cell>
          <cell r="U133">
            <v>0</v>
          </cell>
        </row>
        <row r="134">
          <cell r="A134">
            <v>5</v>
          </cell>
          <cell r="C134" t="str">
            <v>Faktor pengembangan bahan</v>
          </cell>
          <cell r="G134" t="str">
            <v>Fk</v>
          </cell>
          <cell r="H134">
            <v>1.2</v>
          </cell>
          <cell r="I134" t="str">
            <v>-</v>
          </cell>
          <cell r="L134" t="str">
            <v>SATUAN PEMBAYARAN</v>
          </cell>
          <cell r="O134" t="str">
            <v>:  M3</v>
          </cell>
          <cell r="R134" t="str">
            <v>% THD. BIAYA PROYEK</v>
          </cell>
          <cell r="T134" t="str">
            <v>:</v>
          </cell>
          <cell r="U134" t="e">
            <v>#DIV/0!</v>
          </cell>
        </row>
        <row r="137">
          <cell r="A137" t="str">
            <v>II.</v>
          </cell>
          <cell r="C137" t="str">
            <v>URUTAN KERJA</v>
          </cell>
          <cell r="Q137" t="str">
            <v>PERKIRAAN</v>
          </cell>
          <cell r="R137" t="str">
            <v>HARGA</v>
          </cell>
          <cell r="S137" t="str">
            <v>JUMLAH</v>
          </cell>
        </row>
        <row r="138">
          <cell r="A138">
            <v>1</v>
          </cell>
          <cell r="C138" t="str">
            <v>Batu yg dipotong umumnya berada disisi jalan</v>
          </cell>
          <cell r="L138" t="str">
            <v>NO.</v>
          </cell>
          <cell r="N138" t="str">
            <v>KOMPONEN</v>
          </cell>
          <cell r="P138" t="str">
            <v>SATUAN</v>
          </cell>
          <cell r="Q138" t="str">
            <v>KUANTITAS</v>
          </cell>
          <cell r="R138" t="str">
            <v>SATUAN</v>
          </cell>
          <cell r="S138" t="str">
            <v>HARGA</v>
          </cell>
        </row>
        <row r="139">
          <cell r="A139">
            <v>2</v>
          </cell>
          <cell r="C139" t="str">
            <v>Penggalian dilakukan dengan Excavator, Compresor</v>
          </cell>
          <cell r="R139" t="str">
            <v>(Rp.)</v>
          </cell>
          <cell r="S139" t="str">
            <v>(Rp.)</v>
          </cell>
        </row>
        <row r="140">
          <cell r="C140" t="str">
            <v>dan Jack Hammer, dimuat ke dlm Truk dengan Loader.</v>
          </cell>
        </row>
        <row r="141">
          <cell r="A141">
            <v>3</v>
          </cell>
          <cell r="C141" t="str">
            <v>Dump Truck membuang material hasil galian keluar</v>
          </cell>
        </row>
        <row r="142">
          <cell r="C142" t="str">
            <v>lokasi jalan sejauh :</v>
          </cell>
          <cell r="G142" t="str">
            <v>L</v>
          </cell>
          <cell r="H142">
            <v>5</v>
          </cell>
          <cell r="I142" t="str">
            <v>Km</v>
          </cell>
          <cell r="L142" t="str">
            <v>A.</v>
          </cell>
          <cell r="N142" t="str">
            <v>TENAGA</v>
          </cell>
        </row>
        <row r="144">
          <cell r="L144" t="str">
            <v>1.</v>
          </cell>
          <cell r="N144" t="str">
            <v>Pekerja</v>
          </cell>
          <cell r="O144" t="str">
            <v>(L01)</v>
          </cell>
          <cell r="P144" t="str">
            <v>Jam</v>
          </cell>
          <cell r="Q144">
            <v>1</v>
          </cell>
          <cell r="R144">
            <v>2857.14</v>
          </cell>
          <cell r="U144">
            <v>2857.14</v>
          </cell>
        </row>
        <row r="145">
          <cell r="L145" t="str">
            <v>2.</v>
          </cell>
          <cell r="N145" t="str">
            <v>Mandor</v>
          </cell>
          <cell r="O145" t="str">
            <v>(L03)</v>
          </cell>
          <cell r="P145" t="str">
            <v>Jam</v>
          </cell>
          <cell r="Q145">
            <v>0.125</v>
          </cell>
          <cell r="R145">
            <v>3214.29</v>
          </cell>
          <cell r="U145">
            <v>401.78625</v>
          </cell>
        </row>
        <row r="146">
          <cell r="A146" t="str">
            <v>III.</v>
          </cell>
          <cell r="C146" t="str">
            <v>PEMAKAIAN BAHAN, ALAT DAN TENAGA</v>
          </cell>
        </row>
        <row r="148">
          <cell r="A148" t="str">
            <v xml:space="preserve">   1.</v>
          </cell>
          <cell r="C148" t="str">
            <v>BAHAN</v>
          </cell>
          <cell r="Q148" t="str">
            <v xml:space="preserve">JUMLAH HARGA TENAGA   </v>
          </cell>
          <cell r="U148">
            <v>3258.92625</v>
          </cell>
        </row>
        <row r="149">
          <cell r="C149" t="str">
            <v>Tidak ada bahan yang diperlukan</v>
          </cell>
        </row>
        <row r="150">
          <cell r="L150" t="str">
            <v>B.</v>
          </cell>
          <cell r="N150" t="str">
            <v>BAHAN</v>
          </cell>
        </row>
        <row r="152">
          <cell r="A152" t="str">
            <v xml:space="preserve">   2.</v>
          </cell>
          <cell r="C152" t="str">
            <v>ALAT</v>
          </cell>
        </row>
        <row r="153">
          <cell r="A153" t="str">
            <v xml:space="preserve">   2.a.</v>
          </cell>
          <cell r="C153" t="str">
            <v>COMPRESSOR, EXCAVATOR, JACK HAMMER &amp; LOADER</v>
          </cell>
          <cell r="J153" t="str">
            <v xml:space="preserve"> (E05/26/10/15)</v>
          </cell>
        </row>
        <row r="154">
          <cell r="C154" t="str">
            <v>Produksi per jam</v>
          </cell>
          <cell r="G154" t="str">
            <v>Q1</v>
          </cell>
          <cell r="H154">
            <v>8</v>
          </cell>
          <cell r="I154" t="str">
            <v>M3 / Jam</v>
          </cell>
        </row>
        <row r="156">
          <cell r="C156" t="str">
            <v>Koefisien Alat / m3</v>
          </cell>
          <cell r="D156" t="str">
            <v xml:space="preserve"> =  1  :  Q1</v>
          </cell>
          <cell r="G156" t="str">
            <v>(E05/26)</v>
          </cell>
          <cell r="H156">
            <v>0.125</v>
          </cell>
          <cell r="I156" t="str">
            <v>Jam</v>
          </cell>
        </row>
        <row r="158">
          <cell r="Q158" t="str">
            <v xml:space="preserve">JUMLAH HARGA BAHAN   </v>
          </cell>
          <cell r="U158">
            <v>0</v>
          </cell>
        </row>
        <row r="159">
          <cell r="A159" t="str">
            <v xml:space="preserve">   2.b.</v>
          </cell>
          <cell r="C159" t="str">
            <v>DUMP TRUCK</v>
          </cell>
          <cell r="G159" t="str">
            <v>(E08)</v>
          </cell>
        </row>
        <row r="160">
          <cell r="C160" t="str">
            <v>Kapasitas bak</v>
          </cell>
          <cell r="G160" t="str">
            <v>V</v>
          </cell>
          <cell r="H160">
            <v>4</v>
          </cell>
          <cell r="I160" t="str">
            <v>M3</v>
          </cell>
          <cell r="L160" t="str">
            <v>C.</v>
          </cell>
          <cell r="N160" t="str">
            <v>PERALATAN</v>
          </cell>
        </row>
        <row r="161">
          <cell r="C161" t="str">
            <v>Faktor  efisiensi alat</v>
          </cell>
          <cell r="G161" t="str">
            <v>Fa</v>
          </cell>
          <cell r="H161">
            <v>0.83</v>
          </cell>
          <cell r="I161" t="str">
            <v>-</v>
          </cell>
          <cell r="L161" t="str">
            <v>1.</v>
          </cell>
          <cell r="N161" t="str">
            <v>Compressor</v>
          </cell>
          <cell r="O161" t="str">
            <v>(E05)</v>
          </cell>
          <cell r="P161" t="str">
            <v>Jam</v>
          </cell>
          <cell r="Q161">
            <v>0.125</v>
          </cell>
          <cell r="R161">
            <v>53840.365312835944</v>
          </cell>
          <cell r="U161">
            <v>6730.045664104493</v>
          </cell>
        </row>
        <row r="162">
          <cell r="C162" t="str">
            <v>Kecepatan rata-rata bermuatan</v>
          </cell>
          <cell r="G162" t="str">
            <v>v1</v>
          </cell>
          <cell r="H162">
            <v>45</v>
          </cell>
          <cell r="I162" t="str">
            <v>KM/Jam</v>
          </cell>
          <cell r="L162" t="str">
            <v>2.</v>
          </cell>
          <cell r="N162" t="str">
            <v>Jack Hammer</v>
          </cell>
          <cell r="O162" t="str">
            <v>(E26)</v>
          </cell>
          <cell r="P162" t="str">
            <v>Jam</v>
          </cell>
          <cell r="Q162">
            <v>0.125</v>
          </cell>
          <cell r="R162">
            <v>16417.550326811437</v>
          </cell>
          <cell r="U162">
            <v>2052.1937908514296</v>
          </cell>
        </row>
        <row r="163">
          <cell r="C163" t="str">
            <v>Kecepatan rata-rata kosong</v>
          </cell>
          <cell r="G163" t="str">
            <v>v2</v>
          </cell>
          <cell r="H163">
            <v>60</v>
          </cell>
          <cell r="I163" t="str">
            <v>KM/Jam</v>
          </cell>
          <cell r="L163" t="str">
            <v>3.</v>
          </cell>
          <cell r="N163" t="str">
            <v>Wheel Loader</v>
          </cell>
          <cell r="O163" t="str">
            <v>(E15)</v>
          </cell>
          <cell r="P163" t="str">
            <v>Jam</v>
          </cell>
          <cell r="Q163">
            <v>0.125</v>
          </cell>
          <cell r="R163">
            <v>163808.13869490434</v>
          </cell>
          <cell r="U163">
            <v>20476.017336863042</v>
          </cell>
        </row>
        <row r="164">
          <cell r="C164" t="str">
            <v>Waktu  siklus</v>
          </cell>
          <cell r="G164" t="str">
            <v>Ts1</v>
          </cell>
          <cell r="I164" t="str">
            <v>menit</v>
          </cell>
          <cell r="L164" t="str">
            <v>4.</v>
          </cell>
          <cell r="N164" t="str">
            <v>Excavator</v>
          </cell>
          <cell r="O164" t="str">
            <v>(E10)</v>
          </cell>
          <cell r="P164" t="str">
            <v>Jam</v>
          </cell>
          <cell r="Q164">
            <v>0.125</v>
          </cell>
          <cell r="R164">
            <v>238185.05650827778</v>
          </cell>
          <cell r="U164">
            <v>29773.132063534722</v>
          </cell>
        </row>
        <row r="165">
          <cell r="C165" t="str">
            <v>- Waktu tempuh isi</v>
          </cell>
          <cell r="E165" t="str">
            <v>=   (L  :  v1)  x  60</v>
          </cell>
          <cell r="G165" t="str">
            <v>T1</v>
          </cell>
          <cell r="H165">
            <v>6.6666666666666661</v>
          </cell>
          <cell r="I165" t="str">
            <v>menit</v>
          </cell>
          <cell r="L165">
            <v>5</v>
          </cell>
          <cell r="N165" t="str">
            <v>Dump Truck</v>
          </cell>
          <cell r="O165" t="str">
            <v>(E08)</v>
          </cell>
          <cell r="P165" t="str">
            <v>Jam</v>
          </cell>
          <cell r="Q165">
            <v>0.26305220883534136</v>
          </cell>
          <cell r="R165">
            <v>153645.58193291764</v>
          </cell>
          <cell r="U165">
            <v>40416.809705245403</v>
          </cell>
        </row>
        <row r="166">
          <cell r="C166" t="str">
            <v>- Waktu tempuh kosong</v>
          </cell>
          <cell r="E166" t="str">
            <v>=   (L  :  v2)  x  60</v>
          </cell>
          <cell r="G166" t="str">
            <v>T2</v>
          </cell>
          <cell r="H166">
            <v>5</v>
          </cell>
          <cell r="I166" t="str">
            <v>menit</v>
          </cell>
          <cell r="N166" t="str">
            <v>Alat  bantu</v>
          </cell>
          <cell r="P166" t="str">
            <v>Ls</v>
          </cell>
          <cell r="Q166">
            <v>1</v>
          </cell>
          <cell r="R166">
            <v>225</v>
          </cell>
          <cell r="U166">
            <v>225</v>
          </cell>
        </row>
        <row r="167">
          <cell r="C167" t="str">
            <v>- Muat</v>
          </cell>
          <cell r="E167" t="str">
            <v>=   (V  :  Q1) x 60</v>
          </cell>
          <cell r="G167" t="str">
            <v>T3</v>
          </cell>
          <cell r="H167">
            <v>30</v>
          </cell>
          <cell r="I167" t="str">
            <v>menit</v>
          </cell>
        </row>
        <row r="168">
          <cell r="C168" t="str">
            <v>- Lain-lain</v>
          </cell>
          <cell r="G168" t="str">
            <v>T4</v>
          </cell>
          <cell r="H168">
            <v>2</v>
          </cell>
          <cell r="I168" t="str">
            <v>menit</v>
          </cell>
        </row>
        <row r="169">
          <cell r="G169" t="str">
            <v>Ts1</v>
          </cell>
          <cell r="H169">
            <v>43.666666666666664</v>
          </cell>
          <cell r="I169" t="str">
            <v>menit</v>
          </cell>
        </row>
        <row r="170">
          <cell r="Q170" t="str">
            <v xml:space="preserve">JUMLAH HARGA PERALATAN   </v>
          </cell>
          <cell r="U170">
            <v>99673.198560599092</v>
          </cell>
        </row>
        <row r="172">
          <cell r="C172" t="str">
            <v>Kapasitas Produksi / Jam   =</v>
          </cell>
          <cell r="E172" t="str">
            <v>V x Fa x 60</v>
          </cell>
          <cell r="G172" t="str">
            <v>Q2</v>
          </cell>
          <cell r="H172">
            <v>3.8015267175572518</v>
          </cell>
          <cell r="I172" t="str">
            <v xml:space="preserve">M3 / Jam </v>
          </cell>
          <cell r="L172" t="str">
            <v>D.</v>
          </cell>
          <cell r="N172" t="str">
            <v>JUMLAH HARGA TENAGA, BAHAN DAN PERALATAN  ( A + B + C )</v>
          </cell>
          <cell r="U172">
            <v>102932.1248105991</v>
          </cell>
        </row>
        <row r="173">
          <cell r="E173" t="str">
            <v xml:space="preserve">    Fk x Ts1</v>
          </cell>
          <cell r="L173" t="str">
            <v>E.</v>
          </cell>
          <cell r="N173" t="str">
            <v>OVERHEAD &amp; PROFIT</v>
          </cell>
          <cell r="P173">
            <v>10</v>
          </cell>
          <cell r="Q173" t="str">
            <v>%  x  D</v>
          </cell>
          <cell r="U173">
            <v>10293.212481059911</v>
          </cell>
        </row>
        <row r="174">
          <cell r="L174" t="str">
            <v>F.</v>
          </cell>
          <cell r="N174" t="str">
            <v>HARGA SATUAN PEKERJAAN  ( D + E )</v>
          </cell>
          <cell r="U174">
            <v>113225.337291659</v>
          </cell>
        </row>
        <row r="175">
          <cell r="L175" t="str">
            <v>Note: 1</v>
          </cell>
          <cell r="N175" t="str">
            <v>SATUAN dapat berdasarkan atas jam operasi untuk Tenaga Kerja dan Peralatan, volume dan/atau ukuran</v>
          </cell>
        </row>
        <row r="176">
          <cell r="C176" t="str">
            <v>Koefisien Alat / m3</v>
          </cell>
          <cell r="D176" t="str">
            <v xml:space="preserve"> =  1  :  Q2</v>
          </cell>
          <cell r="G176" t="str">
            <v>(E08)</v>
          </cell>
          <cell r="H176">
            <v>0.26305220883534136</v>
          </cell>
          <cell r="I176" t="str">
            <v>Jam</v>
          </cell>
          <cell r="N176" t="str">
            <v>berat untuk bahan-bahan.</v>
          </cell>
        </row>
        <row r="177">
          <cell r="L177">
            <v>2</v>
          </cell>
          <cell r="N177" t="str">
            <v>Kuantitas satuan adalah kuantitas setiap komponen untuk menyelesaikan satu satuan pekerjaan dari nomor</v>
          </cell>
        </row>
        <row r="178">
          <cell r="N178" t="str">
            <v>mata pembayaran.</v>
          </cell>
        </row>
        <row r="179">
          <cell r="L179">
            <v>3</v>
          </cell>
          <cell r="N179" t="str">
            <v>Biaya satuan untuk peralatan sudah termasuk bahan bakar, bahan habis dipakai dan operator.</v>
          </cell>
        </row>
        <row r="180">
          <cell r="L180">
            <v>4</v>
          </cell>
          <cell r="N180" t="str">
            <v>Biaya satuan sudah termasuk pengeluaran untuk seluruh pajak yang berkaitan (tetapi tidak termasuk PPN</v>
          </cell>
        </row>
        <row r="181">
          <cell r="J181" t="str">
            <v>Berlanjut ke halaman berikut</v>
          </cell>
          <cell r="N181" t="str">
            <v>yang dibayar dari kontrak) dan biaya-biaya lainnya.</v>
          </cell>
        </row>
        <row r="182">
          <cell r="A182" t="str">
            <v>ITEM PEMBAYARAN NO.</v>
          </cell>
          <cell r="D182" t="str">
            <v>:  3.1 (2)</v>
          </cell>
          <cell r="J182" t="str">
            <v>Analisa EI-312</v>
          </cell>
        </row>
        <row r="183">
          <cell r="A183" t="str">
            <v>JENIS PEKERJAAN</v>
          </cell>
          <cell r="D183" t="str">
            <v>:  Galian Batu</v>
          </cell>
        </row>
        <row r="184">
          <cell r="A184" t="str">
            <v>SATUAN PEMBAYARAN</v>
          </cell>
          <cell r="D184" t="str">
            <v>:  M3</v>
          </cell>
          <cell r="H184" t="str">
            <v xml:space="preserve">         URAIAN ANALISA HARGA SATUAN</v>
          </cell>
        </row>
        <row r="185">
          <cell r="J185" t="str">
            <v>Lanjutan</v>
          </cell>
        </row>
        <row r="187">
          <cell r="A187" t="str">
            <v>No.</v>
          </cell>
          <cell r="C187" t="str">
            <v>U R A I A N</v>
          </cell>
          <cell r="G187" t="str">
            <v>KODE</v>
          </cell>
          <cell r="H187" t="str">
            <v>KOEF.</v>
          </cell>
          <cell r="I187" t="str">
            <v>SATUAN</v>
          </cell>
          <cell r="J187" t="str">
            <v>KETERANGAN</v>
          </cell>
        </row>
        <row r="190">
          <cell r="A190" t="str">
            <v>2.d.</v>
          </cell>
          <cell r="C190" t="str">
            <v>ALAT  BANTU</v>
          </cell>
        </row>
        <row r="191">
          <cell r="C191" t="str">
            <v>Diperlukan alat-alat bantu kecil</v>
          </cell>
          <cell r="J191" t="str">
            <v>Lump Sump</v>
          </cell>
        </row>
        <row r="192">
          <cell r="C192" t="str">
            <v>- Pahat / Tatah</v>
          </cell>
          <cell r="D192" t="str">
            <v>=  2  buah</v>
          </cell>
        </row>
        <row r="193">
          <cell r="C193" t="str">
            <v>- Palu Besar</v>
          </cell>
          <cell r="D193" t="str">
            <v>=  2  buah</v>
          </cell>
        </row>
        <row r="195">
          <cell r="A195" t="str">
            <v xml:space="preserve">   3.</v>
          </cell>
          <cell r="C195" t="str">
            <v>TENAGA</v>
          </cell>
        </row>
        <row r="196">
          <cell r="C196" t="str">
            <v>Produksi menentukan : JACK HAMMER</v>
          </cell>
          <cell r="G196" t="str">
            <v>Q1</v>
          </cell>
          <cell r="H196">
            <v>8</v>
          </cell>
          <cell r="I196" t="str">
            <v>M3/Jam</v>
          </cell>
        </row>
        <row r="197">
          <cell r="C197" t="str">
            <v>Produksi Galian / hari  =  Tk x Q1</v>
          </cell>
          <cell r="G197" t="str">
            <v>Qt</v>
          </cell>
          <cell r="H197">
            <v>56</v>
          </cell>
          <cell r="I197" t="str">
            <v>M3</v>
          </cell>
        </row>
        <row r="198">
          <cell r="C198" t="str">
            <v>Kebutuhan tenaga :</v>
          </cell>
        </row>
        <row r="199">
          <cell r="D199" t="str">
            <v>- Pekerja</v>
          </cell>
          <cell r="G199" t="str">
            <v>P</v>
          </cell>
          <cell r="H199">
            <v>8</v>
          </cell>
          <cell r="I199" t="str">
            <v>orang</v>
          </cell>
        </row>
        <row r="200">
          <cell r="D200" t="str">
            <v>- Mandor</v>
          </cell>
          <cell r="G200" t="str">
            <v>M</v>
          </cell>
          <cell r="H200">
            <v>1</v>
          </cell>
          <cell r="I200" t="str">
            <v>orang</v>
          </cell>
        </row>
        <row r="202">
          <cell r="C202" t="str">
            <v>Koefisien tenaga / M3   :</v>
          </cell>
        </row>
        <row r="203">
          <cell r="D203" t="str">
            <v>- Pekerja</v>
          </cell>
          <cell r="E203" t="str">
            <v>= (Tk x P) : Qt</v>
          </cell>
          <cell r="G203" t="str">
            <v>(L01)</v>
          </cell>
          <cell r="H203">
            <v>1</v>
          </cell>
          <cell r="I203" t="str">
            <v>Jam</v>
          </cell>
        </row>
        <row r="204">
          <cell r="D204" t="str">
            <v>- Mandor</v>
          </cell>
          <cell r="E204" t="str">
            <v>= (Tk x M) : Qt</v>
          </cell>
          <cell r="G204" t="str">
            <v>(L03)</v>
          </cell>
          <cell r="H204">
            <v>0.125</v>
          </cell>
          <cell r="I204" t="str">
            <v>Jam</v>
          </cell>
        </row>
        <row r="206">
          <cell r="A206" t="str">
            <v>4.</v>
          </cell>
          <cell r="C206" t="str">
            <v>HARGA DASAR SATUAN UPAH, BAHAN DAN ALAT</v>
          </cell>
        </row>
        <row r="207">
          <cell r="C207" t="str">
            <v>Lihat lampiran.</v>
          </cell>
        </row>
        <row r="209">
          <cell r="A209" t="str">
            <v>5.</v>
          </cell>
          <cell r="C209" t="str">
            <v>ANALISA HARGA SATUAN PEKERJAAN</v>
          </cell>
        </row>
        <row r="210">
          <cell r="C210" t="str">
            <v>Lihat perhitungan dalam FORMULIR STANDAR UNTUK</v>
          </cell>
        </row>
        <row r="211">
          <cell r="C211" t="str">
            <v>PEREKEMAN ANALISA MASING-MASING HARGA</v>
          </cell>
        </row>
        <row r="212">
          <cell r="C212" t="str">
            <v>SATUAN.</v>
          </cell>
        </row>
        <row r="213">
          <cell r="C213" t="str">
            <v>Didapat Harga Satuan Pekerjaan :</v>
          </cell>
        </row>
        <row r="215">
          <cell r="C215" t="str">
            <v xml:space="preserve">Rp.  </v>
          </cell>
          <cell r="D215">
            <v>113225.337291659</v>
          </cell>
          <cell r="E215" t="str">
            <v xml:space="preserve"> / M3</v>
          </cell>
        </row>
        <row r="218">
          <cell r="A218" t="str">
            <v>6.</v>
          </cell>
          <cell r="C218" t="str">
            <v>WAKTU PELAKSANAAN YANG DIPERLUKAN</v>
          </cell>
        </row>
        <row r="219">
          <cell r="C219" t="str">
            <v>Masa Pelaksanaan :</v>
          </cell>
          <cell r="D219" t="str">
            <v>. . . . . . . . . . . .</v>
          </cell>
          <cell r="E219" t="str">
            <v>bulan</v>
          </cell>
        </row>
        <row r="221">
          <cell r="A221" t="str">
            <v>7.</v>
          </cell>
          <cell r="C221" t="str">
            <v>VOLUME PEKERJAAN YANG DIPERLUKAN</v>
          </cell>
        </row>
        <row r="222">
          <cell r="C222" t="str">
            <v>Volume pekerjaan  :</v>
          </cell>
          <cell r="D222">
            <v>0</v>
          </cell>
          <cell r="E222" t="str">
            <v>M3</v>
          </cell>
        </row>
        <row r="255">
          <cell r="A255" t="str">
            <v>ITEM PEMBAYARAN NO.</v>
          </cell>
          <cell r="D255" t="str">
            <v>:  3.1 (6)</v>
          </cell>
          <cell r="J255" t="str">
            <v>Analisa EI-313</v>
          </cell>
          <cell r="T255" t="str">
            <v>Analisa EI-313</v>
          </cell>
        </row>
        <row r="256">
          <cell r="A256" t="str">
            <v>JENIS PEKERJAAN</v>
          </cell>
          <cell r="D256" t="str">
            <v>:  Galian Struktur dengan Kedalaman 0 - 2 M</v>
          </cell>
        </row>
        <row r="257">
          <cell r="A257" t="str">
            <v>SATUAN PEMBAYARAN</v>
          </cell>
          <cell r="D257" t="str">
            <v>:  M3</v>
          </cell>
          <cell r="H257" t="str">
            <v xml:space="preserve">         URAIAN ANALISA HARGA SATUAN</v>
          </cell>
          <cell r="L257" t="str">
            <v>FORMULIR STANDAR UNTUK</v>
          </cell>
        </row>
        <row r="258">
          <cell r="L258" t="str">
            <v>PEREKAMAN ANALISA MASING-MASING HARGA SATUAN</v>
          </cell>
        </row>
        <row r="259">
          <cell r="L259" t="str">
            <v/>
          </cell>
        </row>
        <row r="260">
          <cell r="A260" t="str">
            <v>No.</v>
          </cell>
          <cell r="C260" t="str">
            <v>U R A I A N</v>
          </cell>
          <cell r="G260" t="str">
            <v>KODE</v>
          </cell>
          <cell r="H260" t="str">
            <v>KOEF.</v>
          </cell>
          <cell r="I260" t="str">
            <v>SATUAN</v>
          </cell>
          <cell r="J260" t="str">
            <v>KETERANGAN</v>
          </cell>
        </row>
        <row r="262">
          <cell r="L262" t="str">
            <v>PROYEK</v>
          </cell>
          <cell r="O262" t="str">
            <v>:</v>
          </cell>
        </row>
        <row r="263">
          <cell r="A263" t="str">
            <v>I.</v>
          </cell>
          <cell r="C263" t="str">
            <v>ASUMSI</v>
          </cell>
          <cell r="L263" t="str">
            <v>No. PAKET KONTRAK</v>
          </cell>
          <cell r="O263" t="str">
            <v>:</v>
          </cell>
        </row>
        <row r="264">
          <cell r="A264">
            <v>1</v>
          </cell>
          <cell r="C264" t="str">
            <v>Pekerjaan dilakukan secara manual</v>
          </cell>
          <cell r="L264" t="str">
            <v>NAMA PAKET</v>
          </cell>
          <cell r="O264" t="str">
            <v>:</v>
          </cell>
        </row>
        <row r="265">
          <cell r="A265">
            <v>2</v>
          </cell>
          <cell r="C265" t="str">
            <v>Lokasi pekerjaan : sekitar jembatan</v>
          </cell>
          <cell r="L265" t="str">
            <v>PROP / KAB / KODYA</v>
          </cell>
          <cell r="O265" t="str">
            <v>:</v>
          </cell>
        </row>
        <row r="266">
          <cell r="A266">
            <v>3</v>
          </cell>
          <cell r="C266" t="str">
            <v>Kondisi Jalan   :  sedang / baik</v>
          </cell>
          <cell r="L266" t="str">
            <v>ITEM PEMBAYARAN NO.</v>
          </cell>
          <cell r="O266" t="str">
            <v>:  3.1 (6)</v>
          </cell>
          <cell r="R266" t="str">
            <v>PERKIRAAN VOL. PEK.</v>
          </cell>
          <cell r="T266" t="str">
            <v>:</v>
          </cell>
          <cell r="U266">
            <v>0</v>
          </cell>
        </row>
        <row r="267">
          <cell r="A267">
            <v>4</v>
          </cell>
          <cell r="C267" t="str">
            <v>Jam kerja efektif per-hari</v>
          </cell>
          <cell r="G267" t="str">
            <v>Tk</v>
          </cell>
          <cell r="H267">
            <v>7</v>
          </cell>
          <cell r="I267" t="str">
            <v>Jam</v>
          </cell>
          <cell r="L267" t="str">
            <v>JENIS PEKERJAAN</v>
          </cell>
          <cell r="O267" t="str">
            <v>:  Galian Struktur dengan Kedalaman 0 - 2 M</v>
          </cell>
          <cell r="R267" t="str">
            <v>TOTAL HARGA (Rp.)</v>
          </cell>
          <cell r="T267" t="str">
            <v>:</v>
          </cell>
          <cell r="U267">
            <v>0</v>
          </cell>
        </row>
        <row r="268">
          <cell r="A268">
            <v>5</v>
          </cell>
          <cell r="C268" t="str">
            <v>Faktor pengembangan bahan</v>
          </cell>
          <cell r="G268" t="str">
            <v>Fh</v>
          </cell>
          <cell r="H268">
            <v>1.2</v>
          </cell>
          <cell r="I268" t="str">
            <v>-</v>
          </cell>
          <cell r="L268" t="str">
            <v>SATUAN PEMBAYARAN</v>
          </cell>
          <cell r="O268" t="str">
            <v>:  M3</v>
          </cell>
          <cell r="R268" t="str">
            <v>% THD. BIAYA PROYEK</v>
          </cell>
          <cell r="T268" t="str">
            <v>:</v>
          </cell>
          <cell r="U268" t="e">
            <v>#DIV/0!</v>
          </cell>
        </row>
        <row r="269">
          <cell r="A269">
            <v>6</v>
          </cell>
          <cell r="C269" t="str">
            <v>Pengurugan kembali (backfill) untuk struktur</v>
          </cell>
          <cell r="G269" t="str">
            <v>Uk</v>
          </cell>
          <cell r="H269">
            <v>50</v>
          </cell>
          <cell r="I269" t="str">
            <v>%/M3</v>
          </cell>
        </row>
        <row r="271">
          <cell r="A271" t="str">
            <v>II.</v>
          </cell>
          <cell r="C271" t="str">
            <v>METHODE PELAKSANAAN</v>
          </cell>
          <cell r="Q271" t="str">
            <v>PERKIRAAN</v>
          </cell>
          <cell r="R271" t="str">
            <v>HARGA</v>
          </cell>
          <cell r="S271" t="str">
            <v>JUMLAH</v>
          </cell>
        </row>
        <row r="272">
          <cell r="A272">
            <v>1</v>
          </cell>
          <cell r="C272" t="str">
            <v>Tanah yang dipotong berada disekitar lokasi</v>
          </cell>
          <cell r="L272" t="str">
            <v>NO.</v>
          </cell>
          <cell r="N272" t="str">
            <v>KOMPONEN</v>
          </cell>
          <cell r="P272" t="str">
            <v>SATUAN</v>
          </cell>
          <cell r="Q272" t="str">
            <v>KUANTITAS</v>
          </cell>
          <cell r="R272" t="str">
            <v>SATUAN</v>
          </cell>
          <cell r="S272" t="str">
            <v>HARGA</v>
          </cell>
        </row>
        <row r="273">
          <cell r="A273">
            <v>2</v>
          </cell>
          <cell r="C273" t="str">
            <v>Penggalian dilakukan dengan menggunakan alat</v>
          </cell>
          <cell r="R273" t="str">
            <v>(Rp.)</v>
          </cell>
          <cell r="S273" t="str">
            <v>(Rp.)</v>
          </cell>
        </row>
        <row r="274">
          <cell r="C274" t="str">
            <v>Excavator</v>
          </cell>
        </row>
        <row r="275">
          <cell r="A275">
            <v>3</v>
          </cell>
          <cell r="C275" t="str">
            <v>Bulldozer mengangkut/mengusur hasil galian ke tempat</v>
          </cell>
        </row>
        <row r="276">
          <cell r="C276" t="str">
            <v>pembuangan di sekitar lokasi pekerjaan</v>
          </cell>
          <cell r="G276" t="str">
            <v>L</v>
          </cell>
          <cell r="H276">
            <v>0.1</v>
          </cell>
          <cell r="I276" t="str">
            <v>Km</v>
          </cell>
          <cell r="L276" t="str">
            <v>A.</v>
          </cell>
          <cell r="N276" t="str">
            <v>TENAGA</v>
          </cell>
        </row>
        <row r="278">
          <cell r="A278" t="str">
            <v>III.</v>
          </cell>
          <cell r="C278" t="str">
            <v>PEMAKAIAN BAHAN, ALAT DAN TENAGA</v>
          </cell>
          <cell r="L278" t="str">
            <v>1.</v>
          </cell>
          <cell r="N278" t="str">
            <v>Pekerja</v>
          </cell>
          <cell r="O278" t="str">
            <v>(L01)</v>
          </cell>
          <cell r="P278" t="str">
            <v>Jam</v>
          </cell>
          <cell r="Q278">
            <v>0.12701025480797318</v>
          </cell>
          <cell r="R278">
            <v>2857.14</v>
          </cell>
          <cell r="U278">
            <v>362.88607942205249</v>
          </cell>
        </row>
        <row r="279">
          <cell r="L279" t="str">
            <v>2.</v>
          </cell>
          <cell r="N279" t="str">
            <v>Mandor</v>
          </cell>
          <cell r="O279" t="str">
            <v>(L03)</v>
          </cell>
          <cell r="P279" t="str">
            <v>Jam</v>
          </cell>
          <cell r="Q279">
            <v>3.1752563701993294E-2</v>
          </cell>
          <cell r="R279">
            <v>3214.29</v>
          </cell>
          <cell r="U279">
            <v>102.06194798168002</v>
          </cell>
        </row>
        <row r="280">
          <cell r="A280" t="str">
            <v xml:space="preserve">   1.</v>
          </cell>
          <cell r="C280" t="str">
            <v>BAHAN</v>
          </cell>
        </row>
        <row r="281">
          <cell r="C281" t="str">
            <v>- Urugan Pilihan (untuk backfill)</v>
          </cell>
          <cell r="E281" t="str">
            <v>= Uk x 1M3</v>
          </cell>
          <cell r="G281" t="str">
            <v>(EI-322)</v>
          </cell>
          <cell r="H281">
            <v>0.5</v>
          </cell>
          <cell r="I281" t="str">
            <v>M3</v>
          </cell>
        </row>
        <row r="282">
          <cell r="Q282" t="str">
            <v xml:space="preserve">JUMLAH HARGA TENAGA   </v>
          </cell>
          <cell r="U282">
            <v>464.94802740373251</v>
          </cell>
        </row>
        <row r="283">
          <cell r="A283" t="str">
            <v xml:space="preserve">   2.</v>
          </cell>
          <cell r="C283" t="str">
            <v>ALAT</v>
          </cell>
        </row>
        <row r="284">
          <cell r="A284" t="str">
            <v xml:space="preserve">   2.a.</v>
          </cell>
          <cell r="C284" t="str">
            <v>EXCAVATOR</v>
          </cell>
          <cell r="G284" t="str">
            <v>(E10)</v>
          </cell>
          <cell r="L284" t="str">
            <v>B.</v>
          </cell>
          <cell r="N284" t="str">
            <v>BAHAN</v>
          </cell>
        </row>
        <row r="285">
          <cell r="C285" t="str">
            <v>Kapasitas Bucket</v>
          </cell>
          <cell r="G285" t="str">
            <v>V</v>
          </cell>
          <cell r="H285">
            <v>0.93</v>
          </cell>
          <cell r="I285" t="str">
            <v>M3</v>
          </cell>
        </row>
        <row r="286">
          <cell r="C286" t="str">
            <v>Faktor Bucket</v>
          </cell>
          <cell r="G286" t="str">
            <v>Fb</v>
          </cell>
          <cell r="H286">
            <v>0.9</v>
          </cell>
          <cell r="I286" t="str">
            <v>-</v>
          </cell>
          <cell r="L286" t="str">
            <v>1.</v>
          </cell>
          <cell r="N286" t="str">
            <v xml:space="preserve">Urugan Pilihan </v>
          </cell>
          <cell r="O286" t="str">
            <v>(EI-322)</v>
          </cell>
          <cell r="P286" t="str">
            <v>M3</v>
          </cell>
          <cell r="Q286">
            <v>0.5</v>
          </cell>
          <cell r="R286">
            <v>455558.60740011773</v>
          </cell>
          <cell r="U286">
            <v>227779.30370005887</v>
          </cell>
        </row>
        <row r="287">
          <cell r="C287" t="str">
            <v>Faktor  Efisiensi alat</v>
          </cell>
          <cell r="G287" t="str">
            <v>Fa</v>
          </cell>
          <cell r="H287">
            <v>0.83</v>
          </cell>
          <cell r="I287" t="str">
            <v>-</v>
          </cell>
        </row>
        <row r="288">
          <cell r="C288" t="str">
            <v>Faktor kedalaman</v>
          </cell>
          <cell r="G288" t="str">
            <v>Fd</v>
          </cell>
          <cell r="H288">
            <v>0.8</v>
          </cell>
          <cell r="I288" t="str">
            <v>-</v>
          </cell>
        </row>
        <row r="289">
          <cell r="C289" t="str">
            <v>Berat isi material</v>
          </cell>
          <cell r="G289" t="str">
            <v>Bim</v>
          </cell>
          <cell r="H289">
            <v>0.85</v>
          </cell>
          <cell r="I289" t="str">
            <v>-</v>
          </cell>
        </row>
        <row r="291">
          <cell r="C291" t="str">
            <v>Waktu siklus</v>
          </cell>
        </row>
        <row r="292">
          <cell r="C292" t="str">
            <v>- Menggali / memuat</v>
          </cell>
          <cell r="G292" t="str">
            <v>Te1</v>
          </cell>
          <cell r="H292">
            <v>0.5</v>
          </cell>
          <cell r="I292" t="str">
            <v>menit</v>
          </cell>
          <cell r="Q292" t="str">
            <v xml:space="preserve">JUMLAH HARGA BAHAN   </v>
          </cell>
          <cell r="U292">
            <v>227779.30370005887</v>
          </cell>
        </row>
        <row r="293">
          <cell r="C293" t="str">
            <v>- Lain-lain</v>
          </cell>
          <cell r="G293" t="str">
            <v>Te2</v>
          </cell>
          <cell r="H293">
            <v>0.25</v>
          </cell>
          <cell r="I293" t="str">
            <v>menit</v>
          </cell>
        </row>
        <row r="294">
          <cell r="G294" t="str">
            <v>Te</v>
          </cell>
          <cell r="H294">
            <v>0.75</v>
          </cell>
          <cell r="I294" t="str">
            <v>menit</v>
          </cell>
          <cell r="L294" t="str">
            <v>C.</v>
          </cell>
          <cell r="N294" t="str">
            <v>PERALATAN</v>
          </cell>
        </row>
        <row r="295">
          <cell r="L295" t="str">
            <v>1.</v>
          </cell>
          <cell r="N295" t="str">
            <v>Excavator</v>
          </cell>
          <cell r="O295" t="str">
            <v>(E10)</v>
          </cell>
          <cell r="P295" t="str">
            <v>Jam</v>
          </cell>
          <cell r="Q295">
            <v>3.1752563701993294E-2</v>
          </cell>
          <cell r="R295">
            <v>238185.05650827778</v>
          </cell>
          <cell r="U295">
            <v>7562.9861796419627</v>
          </cell>
        </row>
        <row r="296">
          <cell r="L296" t="str">
            <v>2.</v>
          </cell>
          <cell r="N296" t="str">
            <v>Bulldozer</v>
          </cell>
          <cell r="O296" t="str">
            <v>(E04)</v>
          </cell>
          <cell r="P296" t="str">
            <v>Jam</v>
          </cell>
          <cell r="Q296">
            <v>1.0213694283306062E-4</v>
          </cell>
          <cell r="R296">
            <v>256721.09983229413</v>
          </cell>
          <cell r="U296">
            <v>26.220708297611473</v>
          </cell>
        </row>
        <row r="297">
          <cell r="C297" t="str">
            <v>Kap. Prod. / jam =</v>
          </cell>
          <cell r="D297" t="str">
            <v>V  x Fb x Fa x Fd x Bim x 60</v>
          </cell>
          <cell r="G297" t="str">
            <v>Q1</v>
          </cell>
          <cell r="H297">
            <v>31.493520000000004</v>
          </cell>
          <cell r="I297" t="str">
            <v>M3/Jam</v>
          </cell>
          <cell r="L297" t="str">
            <v>3.</v>
          </cell>
          <cell r="N297" t="str">
            <v>Alat  bantu</v>
          </cell>
          <cell r="P297" t="str">
            <v>Ls</v>
          </cell>
          <cell r="Q297">
            <v>1</v>
          </cell>
          <cell r="R297">
            <v>100</v>
          </cell>
          <cell r="U297">
            <v>100</v>
          </cell>
        </row>
        <row r="298">
          <cell r="D298" t="str">
            <v>Te x Fh</v>
          </cell>
        </row>
        <row r="300">
          <cell r="C300" t="str">
            <v>Koefisien Alat / M3</v>
          </cell>
          <cell r="D300" t="str">
            <v xml:space="preserve"> =  1  :  Q1</v>
          </cell>
          <cell r="G300" t="str">
            <v>(E10)</v>
          </cell>
          <cell r="H300">
            <v>3.1752563701993294E-2</v>
          </cell>
          <cell r="I300" t="str">
            <v>Jam</v>
          </cell>
        </row>
        <row r="303">
          <cell r="A303" t="str">
            <v>2.a.</v>
          </cell>
          <cell r="C303" t="str">
            <v>BULLDOZER</v>
          </cell>
          <cell r="G303" t="str">
            <v>(E04)</v>
          </cell>
        </row>
        <row r="304">
          <cell r="C304" t="str">
            <v>Faktor pisau (blade)</v>
          </cell>
          <cell r="G304" t="str">
            <v>Fb</v>
          </cell>
          <cell r="H304">
            <v>1</v>
          </cell>
          <cell r="I304" t="str">
            <v>-</v>
          </cell>
          <cell r="Q304" t="str">
            <v xml:space="preserve">JUMLAH HARGA PERALATAN   </v>
          </cell>
          <cell r="U304">
            <v>7689.2068879395738</v>
          </cell>
        </row>
        <row r="305">
          <cell r="C305" t="str">
            <v>Faktor  efisiensi kerja</v>
          </cell>
          <cell r="G305" t="str">
            <v>Fa</v>
          </cell>
          <cell r="H305">
            <v>0.83</v>
          </cell>
          <cell r="I305" t="str">
            <v>-</v>
          </cell>
        </row>
        <row r="306">
          <cell r="C306" t="str">
            <v>Kecepatan mengupas</v>
          </cell>
          <cell r="G306" t="str">
            <v>Vf</v>
          </cell>
          <cell r="H306">
            <v>3</v>
          </cell>
          <cell r="I306" t="str">
            <v>Km/Jam</v>
          </cell>
          <cell r="L306" t="str">
            <v>D.</v>
          </cell>
          <cell r="N306" t="str">
            <v>JUMLAH HARGA TENAGA, BAHAN DAN PERALATAN  ( A + B + C )</v>
          </cell>
          <cell r="U306">
            <v>235933.45861540217</v>
          </cell>
        </row>
        <row r="307">
          <cell r="C307" t="str">
            <v>Kecepatan mundur</v>
          </cell>
          <cell r="G307" t="str">
            <v>Vr</v>
          </cell>
          <cell r="H307">
            <v>5</v>
          </cell>
          <cell r="I307" t="str">
            <v>Km/Jam</v>
          </cell>
          <cell r="L307" t="str">
            <v>E.</v>
          </cell>
          <cell r="N307" t="str">
            <v>OVERHEAD &amp; PROFIT</v>
          </cell>
          <cell r="P307">
            <v>10</v>
          </cell>
          <cell r="Q307" t="str">
            <v>%  x  D</v>
          </cell>
          <cell r="U307">
            <v>23593.34586154022</v>
          </cell>
        </row>
        <row r="308">
          <cell r="C308" t="str">
            <v>Kapasitas pisau</v>
          </cell>
          <cell r="G308" t="str">
            <v>q</v>
          </cell>
          <cell r="H308">
            <v>5.4</v>
          </cell>
          <cell r="I308" t="str">
            <v>M3</v>
          </cell>
          <cell r="L308" t="str">
            <v>F.</v>
          </cell>
          <cell r="N308" t="str">
            <v>HARGA SATUAN PEKERJAAN  ( D + E )</v>
          </cell>
          <cell r="U308">
            <v>259526.8044769424</v>
          </cell>
        </row>
        <row r="309">
          <cell r="A309" t="str">
            <v>`</v>
          </cell>
          <cell r="C309" t="str">
            <v>Faktor kemiringan (grade)</v>
          </cell>
          <cell r="G309" t="str">
            <v>Fm</v>
          </cell>
          <cell r="H309">
            <v>1</v>
          </cell>
          <cell r="L309" t="str">
            <v>Note: 1</v>
          </cell>
          <cell r="N309" t="str">
            <v>SATUAN dapat berdasarkan atas jam operasi untuk Tenaga Kerja dan Peralatan, volume dan/atau ukuran</v>
          </cell>
        </row>
        <row r="310">
          <cell r="N310" t="str">
            <v>berat untuk bahan-bahan.</v>
          </cell>
        </row>
        <row r="311">
          <cell r="L311">
            <v>2</v>
          </cell>
          <cell r="N311" t="str">
            <v>Kuantitas satuan adalah kuantitas setiap komponen untuk menyelesaikan satu satuan pekerjaan dari nomor</v>
          </cell>
        </row>
        <row r="312">
          <cell r="N312" t="str">
            <v>mata pembayaran.</v>
          </cell>
        </row>
        <row r="313">
          <cell r="L313">
            <v>3</v>
          </cell>
          <cell r="N313" t="str">
            <v>Biaya satuan untuk peralatan sudah termasuk bahan bakar, bahan habis dipakai dan operator.</v>
          </cell>
        </row>
        <row r="314">
          <cell r="L314">
            <v>4</v>
          </cell>
          <cell r="N314" t="str">
            <v>Biaya satuan sudah termasuk pengeluaran untuk seluruh pajak yang berkaitan (tetapi tidak termasuk PPN</v>
          </cell>
        </row>
        <row r="315">
          <cell r="J315" t="str">
            <v>Berlanjut ke halaman berikut</v>
          </cell>
          <cell r="N315" t="str">
            <v>yang dibayar dari kontrak) dan biaya-biaya lainnya.</v>
          </cell>
        </row>
        <row r="316">
          <cell r="A316" t="str">
            <v>ITEM PEMBAYARAN NO.</v>
          </cell>
          <cell r="D316" t="str">
            <v>:  3.1 (6)</v>
          </cell>
          <cell r="J316" t="str">
            <v>Analisa EI-313</v>
          </cell>
        </row>
        <row r="317">
          <cell r="A317" t="str">
            <v>JENIS PEKERJAAN</v>
          </cell>
          <cell r="D317" t="str">
            <v>:  Galian Struktur dengan Kedalaman 0 - 2 M</v>
          </cell>
        </row>
        <row r="318">
          <cell r="A318" t="str">
            <v>SATUAN PEMBAYARAN</v>
          </cell>
          <cell r="D318" t="str">
            <v>:  M3</v>
          </cell>
          <cell r="H318" t="str">
            <v xml:space="preserve">         URAIAN ANALISA HARGA SATUAN</v>
          </cell>
        </row>
        <row r="319">
          <cell r="J319" t="str">
            <v>Lanjutan</v>
          </cell>
        </row>
        <row r="321">
          <cell r="A321" t="str">
            <v>No.</v>
          </cell>
          <cell r="C321" t="str">
            <v>U R A I A N</v>
          </cell>
          <cell r="G321" t="str">
            <v>KODE</v>
          </cell>
          <cell r="H321" t="str">
            <v>KOEF.</v>
          </cell>
          <cell r="I321" t="str">
            <v>SATUAN</v>
          </cell>
          <cell r="J321" t="str">
            <v>KETERANGAN</v>
          </cell>
        </row>
        <row r="324">
          <cell r="C324" t="str">
            <v>Waktu Siklus</v>
          </cell>
          <cell r="G324" t="str">
            <v>Ts</v>
          </cell>
        </row>
        <row r="325">
          <cell r="C325" t="str">
            <v>- Waktu gusur</v>
          </cell>
          <cell r="D325" t="str">
            <v>= l / Vf</v>
          </cell>
          <cell r="G325" t="str">
            <v>T1</v>
          </cell>
          <cell r="H325">
            <v>1.6666666666666666E-2</v>
          </cell>
          <cell r="I325" t="str">
            <v>menit</v>
          </cell>
        </row>
        <row r="326">
          <cell r="C326" t="str">
            <v>- Waktu kembali</v>
          </cell>
          <cell r="D326" t="str">
            <v>= l / Vr</v>
          </cell>
          <cell r="G326" t="str">
            <v>T2</v>
          </cell>
          <cell r="H326">
            <v>0.01</v>
          </cell>
          <cell r="I326" t="str">
            <v>menit</v>
          </cell>
        </row>
        <row r="327">
          <cell r="C327" t="str">
            <v>- Waktu lain-lain</v>
          </cell>
          <cell r="G327" t="str">
            <v>T3</v>
          </cell>
          <cell r="H327">
            <v>8.0000000000000004E-4</v>
          </cell>
          <cell r="I327" t="str">
            <v>menit</v>
          </cell>
        </row>
        <row r="328">
          <cell r="G328" t="str">
            <v>Ts</v>
          </cell>
          <cell r="H328">
            <v>2.7466666666666664E-2</v>
          </cell>
          <cell r="I328" t="str">
            <v>menit</v>
          </cell>
        </row>
        <row r="330">
          <cell r="C330" t="str">
            <v>Kapasitas Produksi / Jam   =</v>
          </cell>
          <cell r="E330" t="str">
            <v>q x Fb x Fm x Fa x 60/Ts</v>
          </cell>
          <cell r="G330" t="str">
            <v>Q2</v>
          </cell>
          <cell r="H330">
            <v>9790.7766990291275</v>
          </cell>
          <cell r="I330" t="str">
            <v>M3</v>
          </cell>
        </row>
        <row r="333">
          <cell r="C333" t="str">
            <v>Koefisien Alat / M3</v>
          </cell>
          <cell r="D333" t="str">
            <v xml:space="preserve"> =  1  :  Q2</v>
          </cell>
          <cell r="G333" t="str">
            <v>(E04)</v>
          </cell>
          <cell r="H333">
            <v>1.0213694283306062E-4</v>
          </cell>
          <cell r="I333" t="str">
            <v>Jam</v>
          </cell>
        </row>
        <row r="336">
          <cell r="A336" t="str">
            <v>2.d.</v>
          </cell>
          <cell r="C336" t="str">
            <v>ALAT  BANTU</v>
          </cell>
        </row>
        <row r="337">
          <cell r="C337" t="str">
            <v>Diperlukan alat-alat bantu kecil</v>
          </cell>
          <cell r="J337" t="str">
            <v>Lump Sump</v>
          </cell>
        </row>
        <row r="338">
          <cell r="C338" t="str">
            <v>- Pacul</v>
          </cell>
          <cell r="D338" t="str">
            <v>=  2  buah</v>
          </cell>
        </row>
        <row r="339">
          <cell r="C339" t="str">
            <v>- Sekop</v>
          </cell>
          <cell r="D339" t="str">
            <v>=  2  buah</v>
          </cell>
        </row>
        <row r="342">
          <cell r="A342" t="str">
            <v xml:space="preserve">   3.</v>
          </cell>
          <cell r="C342" t="str">
            <v>TENAGA</v>
          </cell>
        </row>
        <row r="343">
          <cell r="C343" t="str">
            <v>Produksi menentukan : EXCAVATOR</v>
          </cell>
          <cell r="G343" t="str">
            <v>Q1</v>
          </cell>
          <cell r="H343">
            <v>31.493520000000004</v>
          </cell>
          <cell r="I343" t="str">
            <v>M3/Jam</v>
          </cell>
        </row>
        <row r="344">
          <cell r="C344" t="str">
            <v>Produksi Galian / hari  =  Tk x Q1</v>
          </cell>
          <cell r="G344" t="str">
            <v>Qt</v>
          </cell>
          <cell r="H344">
            <v>220.45464000000004</v>
          </cell>
          <cell r="I344" t="str">
            <v>M3</v>
          </cell>
        </row>
        <row r="345">
          <cell r="C345" t="str">
            <v>Kebutuhan tenaga :</v>
          </cell>
        </row>
        <row r="346">
          <cell r="D346" t="str">
            <v>- Pekerja</v>
          </cell>
          <cell r="G346" t="str">
            <v>P</v>
          </cell>
          <cell r="H346">
            <v>4</v>
          </cell>
          <cell r="I346" t="str">
            <v>orang</v>
          </cell>
        </row>
        <row r="347">
          <cell r="D347" t="str">
            <v>- Mandor</v>
          </cell>
          <cell r="G347" t="str">
            <v>M</v>
          </cell>
          <cell r="H347">
            <v>1</v>
          </cell>
          <cell r="I347" t="str">
            <v>orang</v>
          </cell>
        </row>
        <row r="349">
          <cell r="C349" t="str">
            <v>Koefisien tenaga / M3   :</v>
          </cell>
        </row>
        <row r="350">
          <cell r="D350" t="str">
            <v>- Pekerja</v>
          </cell>
          <cell r="E350" t="str">
            <v>= (Tk x P) : Qt</v>
          </cell>
          <cell r="G350" t="str">
            <v>(L01)</v>
          </cell>
          <cell r="H350">
            <v>0.12701025480797318</v>
          </cell>
          <cell r="I350" t="str">
            <v>Jam</v>
          </cell>
        </row>
        <row r="351">
          <cell r="D351" t="str">
            <v>- Mandor</v>
          </cell>
          <cell r="E351" t="str">
            <v>= (Tk x M) : Qt</v>
          </cell>
          <cell r="G351" t="str">
            <v>(L03)</v>
          </cell>
          <cell r="H351">
            <v>3.1752563701993294E-2</v>
          </cell>
          <cell r="I351" t="str">
            <v>Jam</v>
          </cell>
        </row>
        <row r="353">
          <cell r="A353" t="str">
            <v>4.</v>
          </cell>
          <cell r="C353" t="str">
            <v>HARGA DASAR SATUAN UPAH, BAHAN DAN ALAT</v>
          </cell>
        </row>
        <row r="354">
          <cell r="C354" t="str">
            <v>Lihat lampiran.</v>
          </cell>
        </row>
        <row r="356">
          <cell r="A356" t="str">
            <v>5.</v>
          </cell>
          <cell r="C356" t="str">
            <v>ANALISA HARGA SATUAN PEKERJAAN</v>
          </cell>
        </row>
        <row r="357">
          <cell r="C357" t="str">
            <v>Lihat perhitungan dalam FORMULIR STANDAR UNTUK</v>
          </cell>
        </row>
        <row r="358">
          <cell r="C358" t="str">
            <v>PEREKEMAN ANALISA MASING-MASING HARGA</v>
          </cell>
        </row>
        <row r="359">
          <cell r="C359" t="str">
            <v>SATUAN.</v>
          </cell>
        </row>
        <row r="360">
          <cell r="C360" t="str">
            <v>Didapat Harga Satuan Pekerjaan :</v>
          </cell>
        </row>
        <row r="362">
          <cell r="C362" t="str">
            <v xml:space="preserve">Rp.  </v>
          </cell>
          <cell r="D362">
            <v>259526.8044769424</v>
          </cell>
          <cell r="E362" t="str">
            <v xml:space="preserve"> / M3</v>
          </cell>
        </row>
        <row r="365">
          <cell r="A365" t="str">
            <v>6.</v>
          </cell>
          <cell r="C365" t="str">
            <v>WAKTU PELAKSANAAN YANG DIPERLUKAN</v>
          </cell>
        </row>
        <row r="366">
          <cell r="C366" t="str">
            <v>Masa Pelaksanaan :</v>
          </cell>
          <cell r="D366" t="str">
            <v>. . . . . . . . . . . .</v>
          </cell>
          <cell r="E366" t="str">
            <v>bulan</v>
          </cell>
        </row>
        <row r="368">
          <cell r="A368" t="str">
            <v>7.</v>
          </cell>
          <cell r="C368" t="str">
            <v>VOLUME PEKERJAAN YANG DIPERLUKAN</v>
          </cell>
        </row>
        <row r="369">
          <cell r="C369" t="str">
            <v>Volume pekerjaan  :</v>
          </cell>
          <cell r="D369">
            <v>102.06194798168002</v>
          </cell>
          <cell r="E369" t="str">
            <v>M3</v>
          </cell>
        </row>
        <row r="375">
          <cell r="A375" t="str">
            <v>ITEM PEMBAYARAN NO.</v>
          </cell>
          <cell r="D375" t="str">
            <v>:  3.1 (7)</v>
          </cell>
          <cell r="J375" t="str">
            <v>Analisa EI-314</v>
          </cell>
          <cell r="T375" t="str">
            <v>Analisa EI-314</v>
          </cell>
        </row>
        <row r="376">
          <cell r="A376" t="str">
            <v>JENIS PEKERJAAN</v>
          </cell>
          <cell r="D376" t="str">
            <v>:  Galian Struktur dengan Kedalaman 2 - 4 M</v>
          </cell>
        </row>
        <row r="377">
          <cell r="A377" t="str">
            <v>SATUAN PEMBAYARAN</v>
          </cell>
          <cell r="D377" t="str">
            <v>:  M3</v>
          </cell>
          <cell r="H377" t="str">
            <v xml:space="preserve">         URAIAN ANALISA HARGA SATUAN</v>
          </cell>
          <cell r="L377" t="str">
            <v>FORMULIR STANDAR UNTUK</v>
          </cell>
        </row>
        <row r="378">
          <cell r="L378" t="str">
            <v>PEREKAMAN ANALISA MASING-MASING HARGA SATUAN</v>
          </cell>
        </row>
        <row r="379">
          <cell r="L379" t="str">
            <v/>
          </cell>
        </row>
        <row r="380">
          <cell r="A380" t="str">
            <v>No.</v>
          </cell>
          <cell r="C380" t="str">
            <v>U R A I A N</v>
          </cell>
          <cell r="G380" t="str">
            <v>KODE</v>
          </cell>
          <cell r="H380" t="str">
            <v>KOEF.</v>
          </cell>
          <cell r="I380" t="str">
            <v>SATUAN</v>
          </cell>
          <cell r="J380" t="str">
            <v>KETERANGAN</v>
          </cell>
        </row>
        <row r="382">
          <cell r="L382" t="str">
            <v>PROYEK</v>
          </cell>
          <cell r="O382" t="str">
            <v>:</v>
          </cell>
        </row>
        <row r="383">
          <cell r="A383" t="str">
            <v>I.</v>
          </cell>
          <cell r="C383" t="str">
            <v>ASUMSI</v>
          </cell>
          <cell r="L383" t="str">
            <v>No. PAKET KONTRAK</v>
          </cell>
          <cell r="O383" t="str">
            <v>:</v>
          </cell>
        </row>
        <row r="384">
          <cell r="A384">
            <v>1</v>
          </cell>
          <cell r="C384" t="str">
            <v>Pekerjaan dilakukan secara manual</v>
          </cell>
          <cell r="L384" t="str">
            <v>NAMA PAKET</v>
          </cell>
          <cell r="O384" t="str">
            <v>:</v>
          </cell>
        </row>
        <row r="385">
          <cell r="A385">
            <v>2</v>
          </cell>
          <cell r="C385" t="str">
            <v>Lokasi pekerjaan : sekitar jembatan</v>
          </cell>
          <cell r="L385" t="str">
            <v>PROP / KAB / KODYA</v>
          </cell>
          <cell r="O385" t="str">
            <v>:</v>
          </cell>
        </row>
        <row r="386">
          <cell r="A386">
            <v>3</v>
          </cell>
          <cell r="C386" t="str">
            <v>Kondisi Jalan   :  sedang / baik</v>
          </cell>
          <cell r="L386" t="str">
            <v>ITEM PEMBAYARAN NO.</v>
          </cell>
          <cell r="O386" t="str">
            <v>:  3.1 (7)</v>
          </cell>
          <cell r="R386" t="str">
            <v>PERKIRAAN VOL. PEK.</v>
          </cell>
          <cell r="T386" t="str">
            <v>:</v>
          </cell>
          <cell r="U386">
            <v>0</v>
          </cell>
        </row>
        <row r="387">
          <cell r="A387">
            <v>4</v>
          </cell>
          <cell r="C387" t="str">
            <v>Jam kerja efektif per-hari</v>
          </cell>
          <cell r="G387" t="str">
            <v>Tk</v>
          </cell>
          <cell r="H387">
            <v>7</v>
          </cell>
          <cell r="I387" t="str">
            <v>Jam</v>
          </cell>
          <cell r="L387" t="str">
            <v>JENIS PEKERJAAN</v>
          </cell>
          <cell r="O387" t="str">
            <v>:  Galian Struktur dengan Kedalaman 2 - 4 M</v>
          </cell>
          <cell r="R387" t="str">
            <v>TOTAL HARGA (Rp.)</v>
          </cell>
          <cell r="T387" t="str">
            <v>:</v>
          </cell>
          <cell r="U387">
            <v>0</v>
          </cell>
        </row>
        <row r="388">
          <cell r="A388">
            <v>5</v>
          </cell>
          <cell r="C388" t="str">
            <v>Faktor pengembangan bahan</v>
          </cell>
          <cell r="G388" t="str">
            <v>Fh</v>
          </cell>
          <cell r="H388">
            <v>1.2</v>
          </cell>
          <cell r="I388" t="str">
            <v>-</v>
          </cell>
          <cell r="L388" t="str">
            <v>SATUAN PEMBAYARAN</v>
          </cell>
          <cell r="O388" t="str">
            <v>:  M3</v>
          </cell>
          <cell r="R388" t="str">
            <v>% THD. BIAYA PROYEK</v>
          </cell>
          <cell r="T388" t="str">
            <v>:</v>
          </cell>
          <cell r="U388" t="e">
            <v>#DIV/0!</v>
          </cell>
        </row>
        <row r="389">
          <cell r="A389">
            <v>6</v>
          </cell>
          <cell r="C389" t="str">
            <v>Pengurugan kembali (backfill) untuk struktur</v>
          </cell>
          <cell r="G389" t="str">
            <v>Uk</v>
          </cell>
          <cell r="H389">
            <v>50</v>
          </cell>
          <cell r="I389" t="str">
            <v>%/M3</v>
          </cell>
        </row>
        <row r="391">
          <cell r="A391" t="str">
            <v>II.</v>
          </cell>
          <cell r="C391" t="str">
            <v>METHODE PELAKSANAAN</v>
          </cell>
          <cell r="Q391" t="str">
            <v>PERKIRAAN</v>
          </cell>
          <cell r="R391" t="str">
            <v>HARGA</v>
          </cell>
          <cell r="S391" t="str">
            <v>JUMLAH</v>
          </cell>
        </row>
        <row r="392">
          <cell r="A392">
            <v>1</v>
          </cell>
          <cell r="C392" t="str">
            <v>Tanah yang dipotong berada disekitar jembatan</v>
          </cell>
          <cell r="L392" t="str">
            <v>NO.</v>
          </cell>
          <cell r="N392" t="str">
            <v>KOMPONEN</v>
          </cell>
          <cell r="P392" t="str">
            <v>SATUAN</v>
          </cell>
          <cell r="Q392" t="str">
            <v>KUANTITAS</v>
          </cell>
          <cell r="R392" t="str">
            <v>SATUAN</v>
          </cell>
          <cell r="S392" t="str">
            <v>HARGA</v>
          </cell>
        </row>
        <row r="393">
          <cell r="A393">
            <v>2</v>
          </cell>
          <cell r="C393" t="str">
            <v>Penggalian dilakukan dengan menggunakan alat</v>
          </cell>
          <cell r="R393" t="str">
            <v>(Rp.)</v>
          </cell>
          <cell r="S393" t="str">
            <v>(Rp.)</v>
          </cell>
        </row>
        <row r="394">
          <cell r="C394" t="str">
            <v>Excavator</v>
          </cell>
        </row>
        <row r="395">
          <cell r="A395">
            <v>3</v>
          </cell>
          <cell r="C395" t="str">
            <v>Bulldozer mengangkut/mengusur hasil galian ke tempat</v>
          </cell>
        </row>
        <row r="396">
          <cell r="C396" t="str">
            <v>pembuangan di sekitar lokasi pekerjaan</v>
          </cell>
          <cell r="G396" t="str">
            <v>L</v>
          </cell>
          <cell r="H396">
            <v>0.1</v>
          </cell>
          <cell r="I396" t="str">
            <v>Km</v>
          </cell>
          <cell r="L396" t="str">
            <v>A.</v>
          </cell>
          <cell r="N396" t="str">
            <v>TENAGA</v>
          </cell>
        </row>
        <row r="398">
          <cell r="A398" t="str">
            <v>III.</v>
          </cell>
          <cell r="C398" t="str">
            <v>PEMAKAIAN BAHAN, ALAT DAN TENAGA</v>
          </cell>
          <cell r="L398" t="str">
            <v>1.</v>
          </cell>
          <cell r="N398" t="str">
            <v>Pekerja</v>
          </cell>
          <cell r="O398" t="str">
            <v>(L01)</v>
          </cell>
          <cell r="P398" t="str">
            <v>Jam</v>
          </cell>
          <cell r="Q398">
            <v>0.41685416962616839</v>
          </cell>
          <cell r="R398">
            <v>2857.14</v>
          </cell>
          <cell r="U398">
            <v>1191.0107222057106</v>
          </cell>
        </row>
        <row r="399">
          <cell r="L399" t="str">
            <v>2.</v>
          </cell>
          <cell r="N399" t="str">
            <v>Mandor</v>
          </cell>
          <cell r="O399" t="str">
            <v>(L03)</v>
          </cell>
          <cell r="P399" t="str">
            <v>Jam</v>
          </cell>
          <cell r="Q399">
            <v>4.1685416962616843E-2</v>
          </cell>
          <cell r="R399">
            <v>3214.29</v>
          </cell>
          <cell r="U399">
            <v>133.98901888876969</v>
          </cell>
        </row>
        <row r="400">
          <cell r="A400" t="str">
            <v xml:space="preserve">   1.</v>
          </cell>
          <cell r="C400" t="str">
            <v>BAHAN</v>
          </cell>
        </row>
        <row r="401">
          <cell r="C401" t="str">
            <v>- Urugan Pilihan (untuk backfill)</v>
          </cell>
          <cell r="E401" t="str">
            <v>= Uk x 1M3</v>
          </cell>
          <cell r="G401" t="str">
            <v>(EI-322)</v>
          </cell>
          <cell r="H401">
            <v>0.5</v>
          </cell>
          <cell r="I401" t="str">
            <v>M3</v>
          </cell>
        </row>
        <row r="402">
          <cell r="Q402" t="str">
            <v xml:space="preserve">JUMLAH HARGA TENAGA   </v>
          </cell>
          <cell r="U402">
            <v>1324.9997410944802</v>
          </cell>
        </row>
        <row r="403">
          <cell r="A403" t="str">
            <v xml:space="preserve">   2.</v>
          </cell>
          <cell r="C403" t="str">
            <v>ALAT</v>
          </cell>
        </row>
        <row r="404">
          <cell r="A404" t="str">
            <v xml:space="preserve">   2.a.</v>
          </cell>
          <cell r="C404" t="str">
            <v>EXCAVATOR</v>
          </cell>
          <cell r="G404" t="str">
            <v>(E10)</v>
          </cell>
          <cell r="L404" t="str">
            <v>B.</v>
          </cell>
          <cell r="N404" t="str">
            <v>BAHAN</v>
          </cell>
        </row>
        <row r="405">
          <cell r="C405" t="str">
            <v>Kapasitas Bucket</v>
          </cell>
          <cell r="G405" t="str">
            <v>V</v>
          </cell>
          <cell r="H405">
            <v>0.93</v>
          </cell>
          <cell r="I405" t="str">
            <v>M3</v>
          </cell>
        </row>
        <row r="406">
          <cell r="C406" t="str">
            <v>Faktor Bucket</v>
          </cell>
          <cell r="G406" t="str">
            <v>Fb</v>
          </cell>
          <cell r="H406">
            <v>0.9</v>
          </cell>
          <cell r="I406" t="str">
            <v>-</v>
          </cell>
          <cell r="L406" t="str">
            <v>1.</v>
          </cell>
          <cell r="N406" t="str">
            <v xml:space="preserve">Urugan Pilihan </v>
          </cell>
          <cell r="O406" t="str">
            <v>(EI-322)</v>
          </cell>
          <cell r="P406" t="str">
            <v>M3</v>
          </cell>
          <cell r="Q406">
            <v>0.5</v>
          </cell>
          <cell r="R406">
            <v>455558.60740011773</v>
          </cell>
          <cell r="U406">
            <v>227779.30370005887</v>
          </cell>
        </row>
        <row r="407">
          <cell r="C407" t="str">
            <v>Faktor  Efisiensi alat</v>
          </cell>
          <cell r="G407" t="str">
            <v>Fa</v>
          </cell>
          <cell r="H407">
            <v>0.83</v>
          </cell>
          <cell r="I407" t="str">
            <v>-</v>
          </cell>
        </row>
        <row r="408">
          <cell r="C408" t="str">
            <v>Faktor kedalaman</v>
          </cell>
          <cell r="G408" t="str">
            <v>Fd</v>
          </cell>
          <cell r="H408">
            <v>0.65</v>
          </cell>
          <cell r="I408" t="str">
            <v>-</v>
          </cell>
        </row>
        <row r="409">
          <cell r="C409" t="str">
            <v>Berat isi material</v>
          </cell>
          <cell r="G409" t="str">
            <v>Bim</v>
          </cell>
          <cell r="H409">
            <v>0.85</v>
          </cell>
          <cell r="I409" t="str">
            <v>-</v>
          </cell>
        </row>
        <row r="411">
          <cell r="C411" t="str">
            <v>Waktu siklus</v>
          </cell>
        </row>
        <row r="412">
          <cell r="C412" t="str">
            <v>- Menggali / memuat</v>
          </cell>
          <cell r="G412" t="str">
            <v>Te1</v>
          </cell>
          <cell r="H412">
            <v>0.55000000000000004</v>
          </cell>
          <cell r="I412" t="str">
            <v>menit</v>
          </cell>
          <cell r="Q412" t="str">
            <v xml:space="preserve">JUMLAH HARGA BAHAN   </v>
          </cell>
          <cell r="U412">
            <v>227779.30370005887</v>
          </cell>
        </row>
        <row r="413">
          <cell r="C413" t="str">
            <v>- Lain-lain</v>
          </cell>
          <cell r="G413" t="str">
            <v>Te2</v>
          </cell>
          <cell r="H413">
            <v>0.25</v>
          </cell>
          <cell r="I413" t="str">
            <v>menit</v>
          </cell>
        </row>
        <row r="414">
          <cell r="G414" t="str">
            <v>Te</v>
          </cell>
          <cell r="H414">
            <v>0.8</v>
          </cell>
          <cell r="I414" t="str">
            <v>menit</v>
          </cell>
          <cell r="L414" t="str">
            <v>C.</v>
          </cell>
          <cell r="N414" t="str">
            <v>PERALATAN</v>
          </cell>
        </row>
        <row r="415">
          <cell r="L415" t="str">
            <v>1.</v>
          </cell>
          <cell r="N415" t="str">
            <v>Excavator</v>
          </cell>
          <cell r="O415" t="str">
            <v>(E10)</v>
          </cell>
          <cell r="P415" t="str">
            <v>Jam</v>
          </cell>
          <cell r="Q415">
            <v>4.1685416962616836E-2</v>
          </cell>
          <cell r="R415">
            <v>238185.05650827778</v>
          </cell>
          <cell r="U415">
            <v>9928.8433948120128</v>
          </cell>
        </row>
        <row r="416">
          <cell r="L416" t="str">
            <v>2.</v>
          </cell>
          <cell r="N416" t="str">
            <v>Bulldozer</v>
          </cell>
          <cell r="O416" t="str">
            <v>(E04)</v>
          </cell>
          <cell r="P416" t="str">
            <v>Jam</v>
          </cell>
          <cell r="Q416">
            <v>1.0213694283306062E-4</v>
          </cell>
          <cell r="R416">
            <v>256721.09983229413</v>
          </cell>
          <cell r="U416">
            <v>26.220708297611473</v>
          </cell>
        </row>
        <row r="417">
          <cell r="C417" t="str">
            <v>Kap. Prod. / jam =</v>
          </cell>
          <cell r="D417" t="str">
            <v>V  x Fb x Fa x Fd x Bim x 60</v>
          </cell>
          <cell r="G417" t="str">
            <v>Q1</v>
          </cell>
          <cell r="H417">
            <v>23.989204687500003</v>
          </cell>
          <cell r="I417" t="str">
            <v>M3/Jam</v>
          </cell>
          <cell r="L417" t="str">
            <v>3.</v>
          </cell>
          <cell r="N417" t="str">
            <v>Alat  bantu</v>
          </cell>
          <cell r="P417" t="str">
            <v>Ls</v>
          </cell>
          <cell r="Q417">
            <v>1</v>
          </cell>
          <cell r="R417">
            <v>200</v>
          </cell>
          <cell r="U417">
            <v>200</v>
          </cell>
        </row>
        <row r="418">
          <cell r="D418" t="str">
            <v>Te x Fh</v>
          </cell>
        </row>
        <row r="420">
          <cell r="C420" t="str">
            <v>Koefisien Alat / M3</v>
          </cell>
          <cell r="D420" t="str">
            <v xml:space="preserve"> =  1  :  Q1</v>
          </cell>
          <cell r="G420" t="str">
            <v>(E10)</v>
          </cell>
          <cell r="H420">
            <v>4.1685416962616836E-2</v>
          </cell>
          <cell r="I420" t="str">
            <v>Jam</v>
          </cell>
        </row>
        <row r="423">
          <cell r="A423" t="str">
            <v>2.a.</v>
          </cell>
          <cell r="C423" t="str">
            <v>BULLDOZER</v>
          </cell>
          <cell r="G423" t="str">
            <v>(E04)</v>
          </cell>
        </row>
        <row r="424">
          <cell r="C424" t="str">
            <v>Faktor pisau (blade)</v>
          </cell>
          <cell r="G424" t="str">
            <v>Fb</v>
          </cell>
          <cell r="H424">
            <v>1</v>
          </cell>
          <cell r="I424" t="str">
            <v>-</v>
          </cell>
          <cell r="Q424" t="str">
            <v xml:space="preserve">JUMLAH HARGA PERALATAN   </v>
          </cell>
          <cell r="U424">
            <v>10155.064103109624</v>
          </cell>
        </row>
        <row r="425">
          <cell r="C425" t="str">
            <v>Faktor  efisiensi kerja</v>
          </cell>
          <cell r="G425" t="str">
            <v>Fa</v>
          </cell>
          <cell r="H425">
            <v>0.83</v>
          </cell>
          <cell r="I425" t="str">
            <v>-</v>
          </cell>
        </row>
        <row r="426">
          <cell r="C426" t="str">
            <v>Kecepatan mengupas</v>
          </cell>
          <cell r="G426" t="str">
            <v>Vf</v>
          </cell>
          <cell r="H426">
            <v>3</v>
          </cell>
          <cell r="I426" t="str">
            <v>Km/Jam</v>
          </cell>
          <cell r="L426" t="str">
            <v>D.</v>
          </cell>
          <cell r="N426" t="str">
            <v>JUMLAH HARGA TENAGA, BAHAN DAN PERALATAN  ( A + B + C )</v>
          </cell>
          <cell r="U426">
            <v>239259.36754426296</v>
          </cell>
        </row>
        <row r="427">
          <cell r="C427" t="str">
            <v>Kecepatan mundur</v>
          </cell>
          <cell r="G427" t="str">
            <v>Vr</v>
          </cell>
          <cell r="H427">
            <v>5</v>
          </cell>
          <cell r="I427" t="str">
            <v>Km/Jam</v>
          </cell>
          <cell r="L427" t="str">
            <v>E.</v>
          </cell>
          <cell r="N427" t="str">
            <v>OVERHEAD &amp; PROFIT</v>
          </cell>
          <cell r="P427">
            <v>10</v>
          </cell>
          <cell r="Q427" t="str">
            <v>%  x  D</v>
          </cell>
          <cell r="U427">
            <v>23925.936754426297</v>
          </cell>
        </row>
        <row r="428">
          <cell r="C428" t="str">
            <v>Kapasitas pisau</v>
          </cell>
          <cell r="G428" t="str">
            <v>q</v>
          </cell>
          <cell r="H428">
            <v>5.4</v>
          </cell>
          <cell r="I428" t="str">
            <v>M3</v>
          </cell>
          <cell r="L428" t="str">
            <v>F.</v>
          </cell>
          <cell r="N428" t="str">
            <v>HARGA SATUAN PEKERJAAN  ( D + E )</v>
          </cell>
          <cell r="U428">
            <v>263185.30429868924</v>
          </cell>
        </row>
        <row r="429">
          <cell r="A429" t="str">
            <v>`</v>
          </cell>
          <cell r="C429" t="str">
            <v>Faktor kemiringan (grade)</v>
          </cell>
          <cell r="G429" t="str">
            <v>Fm</v>
          </cell>
          <cell r="H429">
            <v>1</v>
          </cell>
          <cell r="L429" t="str">
            <v>Note: 1</v>
          </cell>
          <cell r="N429" t="str">
            <v>SATUAN dapat berdasarkan atas jam operasi untuk Tenaga Kerja dan Peralatan, volume dan/atau ukuran</v>
          </cell>
        </row>
        <row r="430">
          <cell r="N430" t="str">
            <v>berat untuk bahan-bahan.</v>
          </cell>
        </row>
        <row r="431">
          <cell r="L431">
            <v>2</v>
          </cell>
          <cell r="N431" t="str">
            <v>Kuantitas satuan adalah kuantitas setiap komponen untuk menyelesaikan satu satuan pekerjaan dari nomor</v>
          </cell>
        </row>
        <row r="432">
          <cell r="N432" t="str">
            <v>mata pembayaran.</v>
          </cell>
        </row>
        <row r="433">
          <cell r="L433">
            <v>3</v>
          </cell>
          <cell r="N433" t="str">
            <v>Biaya satuan untuk peralatan sudah termasuk bahan bakar, bahan habis dipakai dan operator.</v>
          </cell>
        </row>
        <row r="434">
          <cell r="L434">
            <v>4</v>
          </cell>
          <cell r="N434" t="str">
            <v>Biaya satuan sudah termasuk pengeluaran untuk seluruh pajak yang berkaitan (tetapi tidak termasuk PPN</v>
          </cell>
        </row>
        <row r="435">
          <cell r="J435" t="str">
            <v>Berlanjut ke halaman berikut</v>
          </cell>
          <cell r="N435" t="str">
            <v>yang dibayar dari kontrak) dan biaya-biaya lainnya.</v>
          </cell>
        </row>
        <row r="436">
          <cell r="A436" t="str">
            <v>ITEM PEMBAYARAN NO.</v>
          </cell>
          <cell r="D436" t="str">
            <v>:  3.1 (7)</v>
          </cell>
          <cell r="J436" t="str">
            <v>Analisa EI-314</v>
          </cell>
        </row>
        <row r="437">
          <cell r="A437" t="str">
            <v>JENIS PEKERJAAN</v>
          </cell>
          <cell r="D437" t="str">
            <v>:  Galian Struktur dengan Kedalaman 2 - 4 M</v>
          </cell>
        </row>
        <row r="438">
          <cell r="A438" t="str">
            <v>SATUAN PEMBAYARAN</v>
          </cell>
          <cell r="D438" t="str">
            <v>:  M3</v>
          </cell>
          <cell r="H438" t="str">
            <v xml:space="preserve">         URAIAN ANALISA HARGA SATUAN</v>
          </cell>
        </row>
        <row r="439">
          <cell r="J439" t="str">
            <v>Lanjutan</v>
          </cell>
        </row>
        <row r="441">
          <cell r="A441" t="str">
            <v>No.</v>
          </cell>
          <cell r="C441" t="str">
            <v>U R A I A N</v>
          </cell>
          <cell r="G441" t="str">
            <v>KODE</v>
          </cell>
          <cell r="H441" t="str">
            <v>KOEF.</v>
          </cell>
          <cell r="I441" t="str">
            <v>SATUAN</v>
          </cell>
          <cell r="J441" t="str">
            <v>KETERANGAN</v>
          </cell>
        </row>
        <row r="444">
          <cell r="C444" t="str">
            <v>Waktu Siklus</v>
          </cell>
        </row>
        <row r="445">
          <cell r="C445" t="str">
            <v>- Waktu gusur</v>
          </cell>
          <cell r="D445" t="str">
            <v>= l / Vf</v>
          </cell>
          <cell r="G445" t="str">
            <v>T1</v>
          </cell>
          <cell r="H445">
            <v>1.6666666666666666E-2</v>
          </cell>
          <cell r="I445" t="str">
            <v>menit</v>
          </cell>
        </row>
        <row r="446">
          <cell r="C446" t="str">
            <v>- Waktu kembali</v>
          </cell>
          <cell r="D446" t="str">
            <v>= l / Vr</v>
          </cell>
          <cell r="G446" t="str">
            <v>T2</v>
          </cell>
          <cell r="H446">
            <v>0.01</v>
          </cell>
          <cell r="I446" t="str">
            <v>menit</v>
          </cell>
        </row>
        <row r="447">
          <cell r="C447" t="str">
            <v>- Waktu lain-lain</v>
          </cell>
          <cell r="G447" t="str">
            <v>T3</v>
          </cell>
          <cell r="H447">
            <v>8.0000000000000004E-4</v>
          </cell>
          <cell r="I447" t="str">
            <v>menit</v>
          </cell>
        </row>
        <row r="448">
          <cell r="G448" t="str">
            <v>Ts</v>
          </cell>
          <cell r="H448">
            <v>2.7466666666666664E-2</v>
          </cell>
          <cell r="I448" t="str">
            <v>menit</v>
          </cell>
        </row>
        <row r="450">
          <cell r="C450" t="str">
            <v>Kapasitas Produksi / Jam   =</v>
          </cell>
          <cell r="E450" t="str">
            <v>q x Fb x Fm x Fa x 60/Ts</v>
          </cell>
          <cell r="G450" t="str">
            <v>Q2</v>
          </cell>
          <cell r="H450">
            <v>9790.7766990291275</v>
          </cell>
          <cell r="I450" t="str">
            <v>M3</v>
          </cell>
        </row>
        <row r="453">
          <cell r="C453" t="str">
            <v>Koefisien Alat / M3</v>
          </cell>
          <cell r="D453" t="str">
            <v xml:space="preserve"> =  1  :  Q2</v>
          </cell>
          <cell r="G453" t="str">
            <v>(E04)</v>
          </cell>
          <cell r="H453">
            <v>1.0213694283306062E-4</v>
          </cell>
          <cell r="I453" t="str">
            <v>Jam</v>
          </cell>
        </row>
        <row r="456">
          <cell r="A456" t="str">
            <v>2.d.</v>
          </cell>
          <cell r="C456" t="str">
            <v>ALAT  BANTU</v>
          </cell>
        </row>
        <row r="457">
          <cell r="C457" t="str">
            <v>Diperlukan alat-alat bantu kecil</v>
          </cell>
          <cell r="J457" t="str">
            <v>Lump Sump</v>
          </cell>
        </row>
        <row r="458">
          <cell r="C458" t="str">
            <v>- Pacul</v>
          </cell>
          <cell r="D458" t="str">
            <v>=  2  buah</v>
          </cell>
        </row>
        <row r="459">
          <cell r="C459" t="str">
            <v>- Sekop</v>
          </cell>
          <cell r="D459" t="str">
            <v>=  2  buah</v>
          </cell>
        </row>
        <row r="462">
          <cell r="A462" t="str">
            <v xml:space="preserve">   3.</v>
          </cell>
          <cell r="C462" t="str">
            <v>TENAGA</v>
          </cell>
        </row>
        <row r="463">
          <cell r="C463" t="str">
            <v>Produksi menentukan : EXCAVATOR</v>
          </cell>
          <cell r="G463" t="str">
            <v>Q1</v>
          </cell>
          <cell r="H463">
            <v>23.989204687500003</v>
          </cell>
          <cell r="I463" t="str">
            <v>M3/Jam</v>
          </cell>
        </row>
        <row r="464">
          <cell r="C464" t="str">
            <v>Produksi Galian / hari  =  Tk x Q1</v>
          </cell>
          <cell r="G464" t="str">
            <v>Qt</v>
          </cell>
          <cell r="H464">
            <v>167.92443281250002</v>
          </cell>
          <cell r="I464" t="str">
            <v>M3</v>
          </cell>
        </row>
        <row r="465">
          <cell r="C465" t="str">
            <v>Kebutuhan tenaga :</v>
          </cell>
        </row>
        <row r="466">
          <cell r="D466" t="str">
            <v>- Pekerja</v>
          </cell>
          <cell r="G466" t="str">
            <v>P</v>
          </cell>
          <cell r="H466">
            <v>10</v>
          </cell>
          <cell r="I466" t="str">
            <v>orang</v>
          </cell>
        </row>
        <row r="467">
          <cell r="D467" t="str">
            <v>- Mandor</v>
          </cell>
          <cell r="G467" t="str">
            <v>M</v>
          </cell>
          <cell r="H467">
            <v>1</v>
          </cell>
          <cell r="I467" t="str">
            <v>orang</v>
          </cell>
        </row>
        <row r="469">
          <cell r="C469" t="str">
            <v>Koefisien tenaga / M3   :</v>
          </cell>
        </row>
        <row r="470">
          <cell r="D470" t="str">
            <v>- Pekerja</v>
          </cell>
          <cell r="E470" t="str">
            <v>= (Tk x P) : Qt</v>
          </cell>
          <cell r="G470" t="str">
            <v>(L01)</v>
          </cell>
          <cell r="H470">
            <v>0.41685416962616839</v>
          </cell>
          <cell r="I470" t="str">
            <v>Jam</v>
          </cell>
        </row>
        <row r="471">
          <cell r="D471" t="str">
            <v>- Mandor</v>
          </cell>
          <cell r="E471" t="str">
            <v>= (Tk x M) : Qt</v>
          </cell>
          <cell r="G471" t="str">
            <v>(L03)</v>
          </cell>
          <cell r="H471">
            <v>4.1685416962616843E-2</v>
          </cell>
          <cell r="I471" t="str">
            <v>Jam</v>
          </cell>
        </row>
        <row r="473">
          <cell r="A473" t="str">
            <v>4.</v>
          </cell>
          <cell r="C473" t="str">
            <v>HARGA DASAR SATUAN UPAH, BAHAN DAN ALAT</v>
          </cell>
        </row>
        <row r="474">
          <cell r="C474" t="str">
            <v>Lihat lampiran.</v>
          </cell>
        </row>
        <row r="476">
          <cell r="A476" t="str">
            <v>5.</v>
          </cell>
          <cell r="C476" t="str">
            <v>ANALISA HARGA SATUAN PEKERJAAN</v>
          </cell>
        </row>
        <row r="477">
          <cell r="C477" t="str">
            <v>Lihat perhitungan dalam FORMULIR STANDAR UNTUK</v>
          </cell>
        </row>
        <row r="478">
          <cell r="C478" t="str">
            <v>PEREKEMAN ANALISA MASING-MASING HARGA</v>
          </cell>
        </row>
        <row r="479">
          <cell r="C479" t="str">
            <v>SATUAN.</v>
          </cell>
        </row>
        <row r="480">
          <cell r="C480" t="str">
            <v>Didapat Harga Satuan Pekerjaan :</v>
          </cell>
        </row>
        <row r="482">
          <cell r="C482" t="str">
            <v xml:space="preserve">Rp.  </v>
          </cell>
          <cell r="D482">
            <v>263185.30429868924</v>
          </cell>
          <cell r="E482" t="str">
            <v xml:space="preserve"> / M3</v>
          </cell>
        </row>
        <row r="485">
          <cell r="A485" t="str">
            <v>6.</v>
          </cell>
          <cell r="C485" t="str">
            <v>WAKTU PELAKSANAAN YANG DIPERLUKAN</v>
          </cell>
        </row>
        <row r="486">
          <cell r="C486" t="str">
            <v>Masa Pelaksanaan :</v>
          </cell>
          <cell r="D486" t="str">
            <v>. . . . . . . . . . . .</v>
          </cell>
          <cell r="E486" t="str">
            <v>bulan</v>
          </cell>
        </row>
        <row r="488">
          <cell r="A488" t="str">
            <v>7.</v>
          </cell>
          <cell r="C488" t="str">
            <v>VOLUME PEKERJAAN YANG DIPERLUKAN</v>
          </cell>
        </row>
        <row r="489">
          <cell r="C489" t="str">
            <v>Volume pekerjaan  :</v>
          </cell>
          <cell r="D489">
            <v>133.98901888876969</v>
          </cell>
          <cell r="E489" t="str">
            <v>M3</v>
          </cell>
        </row>
        <row r="1766">
          <cell r="C1766" t="str">
            <v>Faktor efisiensi alat</v>
          </cell>
          <cell r="G1766" t="str">
            <v>Fa</v>
          </cell>
          <cell r="H1766">
            <v>0.83</v>
          </cell>
          <cell r="I1766" t="str">
            <v>-</v>
          </cell>
        </row>
        <row r="1768">
          <cell r="C1768" t="str">
            <v>Kapasitas Prod./Jam   =</v>
          </cell>
          <cell r="D1768" t="str">
            <v>(v x 1000) x b x t x Fa</v>
          </cell>
          <cell r="G1768" t="str">
            <v>Q4</v>
          </cell>
          <cell r="H1768">
            <v>104.58</v>
          </cell>
          <cell r="I1768" t="str">
            <v>M3</v>
          </cell>
        </row>
        <row r="1769">
          <cell r="D1769" t="str">
            <v>n</v>
          </cell>
        </row>
        <row r="1771">
          <cell r="C1771" t="str">
            <v>Koefisien Alat / m3</v>
          </cell>
          <cell r="D1771" t="str">
            <v xml:space="preserve"> =  1  :  Q4</v>
          </cell>
          <cell r="G1771" t="str">
            <v>(E19)</v>
          </cell>
          <cell r="H1771">
            <v>9.5620577548288389E-3</v>
          </cell>
          <cell r="I1771" t="str">
            <v>Jam</v>
          </cell>
        </row>
        <row r="1774">
          <cell r="A1774" t="str">
            <v>2.e.</v>
          </cell>
          <cell r="C1774" t="str">
            <v>WATER TANK TRUCK</v>
          </cell>
          <cell r="G1774" t="str">
            <v>(E23)</v>
          </cell>
        </row>
        <row r="1775">
          <cell r="C1775" t="str">
            <v>Volume tangki air</v>
          </cell>
          <cell r="G1775" t="str">
            <v>V</v>
          </cell>
          <cell r="H1775">
            <v>4</v>
          </cell>
          <cell r="I1775" t="str">
            <v>M3</v>
          </cell>
        </row>
        <row r="1776">
          <cell r="C1776" t="str">
            <v>Kebutuhan air / M3 material padat</v>
          </cell>
          <cell r="G1776" t="str">
            <v>Wc</v>
          </cell>
          <cell r="H1776">
            <v>7.0000000000000007E-2</v>
          </cell>
          <cell r="I1776" t="str">
            <v>M3</v>
          </cell>
        </row>
        <row r="1777">
          <cell r="C1777" t="str">
            <v>Pengisian Tangki / jam</v>
          </cell>
          <cell r="G1777" t="str">
            <v>n</v>
          </cell>
          <cell r="H1777">
            <v>3</v>
          </cell>
          <cell r="I1777" t="str">
            <v>kali</v>
          </cell>
        </row>
        <row r="1778">
          <cell r="C1778" t="str">
            <v>Faktor efisiensi alat</v>
          </cell>
          <cell r="G1778" t="str">
            <v>Fa</v>
          </cell>
          <cell r="H1778">
            <v>0.83</v>
          </cell>
          <cell r="I1778" t="str">
            <v>-</v>
          </cell>
        </row>
        <row r="1780">
          <cell r="C1780" t="str">
            <v>Kapasitas Produksi / Jam   =</v>
          </cell>
          <cell r="E1780" t="str">
            <v>V  x  n x Fa</v>
          </cell>
          <cell r="G1780" t="str">
            <v>Q5</v>
          </cell>
          <cell r="H1780">
            <v>142.28571428571425</v>
          </cell>
          <cell r="I1780" t="str">
            <v>M3</v>
          </cell>
        </row>
        <row r="1781">
          <cell r="E1781" t="str">
            <v xml:space="preserve">     Wc</v>
          </cell>
        </row>
        <row r="1783">
          <cell r="C1783" t="str">
            <v>Koefisien Alat / m3</v>
          </cell>
          <cell r="D1783" t="str">
            <v xml:space="preserve"> =  1  :  Q5</v>
          </cell>
          <cell r="G1783" t="str">
            <v>(E23)</v>
          </cell>
          <cell r="H1783">
            <v>7.0281124497991983E-3</v>
          </cell>
          <cell r="I1783" t="str">
            <v>Jam</v>
          </cell>
        </row>
        <row r="1785">
          <cell r="A1785" t="str">
            <v>2.f.</v>
          </cell>
          <cell r="C1785" t="str">
            <v>ALAT  BANTU</v>
          </cell>
        </row>
        <row r="1786">
          <cell r="C1786" t="str">
            <v>Diperlukan alat-alat bantu kecil</v>
          </cell>
          <cell r="J1786" t="str">
            <v>Lump Sump</v>
          </cell>
        </row>
        <row r="1787">
          <cell r="C1787" t="str">
            <v>- Sekop    =         3   buah</v>
          </cell>
        </row>
        <row r="1791">
          <cell r="J1791" t="str">
            <v>Berlanjut ke halaman berikut</v>
          </cell>
        </row>
        <row r="1792">
          <cell r="A1792" t="str">
            <v>ITEM PEMBAYARAN NO.</v>
          </cell>
          <cell r="D1792" t="str">
            <v>:  3.2 (3)</v>
          </cell>
          <cell r="J1792" t="str">
            <v>Analisa EI-323</v>
          </cell>
        </row>
        <row r="1793">
          <cell r="A1793" t="str">
            <v>JENIS PEKERJAAN</v>
          </cell>
          <cell r="D1793" t="str">
            <v>:  Timbunan Pilihan</v>
          </cell>
        </row>
        <row r="1794">
          <cell r="A1794" t="str">
            <v>SATUAN PEMBAYARAN</v>
          </cell>
          <cell r="D1794" t="str">
            <v>:  M3</v>
          </cell>
          <cell r="H1794" t="str">
            <v xml:space="preserve">         URAIAN ANALISA HARGA SATUAN</v>
          </cell>
        </row>
        <row r="1795">
          <cell r="J1795" t="str">
            <v>Lanjutan</v>
          </cell>
        </row>
        <row r="1797">
          <cell r="A1797" t="str">
            <v>No.</v>
          </cell>
          <cell r="C1797" t="str">
            <v>U R A I A N</v>
          </cell>
          <cell r="G1797" t="str">
            <v>KODE</v>
          </cell>
          <cell r="H1797" t="str">
            <v>KOEF.</v>
          </cell>
          <cell r="I1797" t="str">
            <v>SATUAN</v>
          </cell>
          <cell r="J1797" t="str">
            <v>KETERANGAN</v>
          </cell>
        </row>
        <row r="1800">
          <cell r="A1800" t="str">
            <v xml:space="preserve">   3.</v>
          </cell>
          <cell r="C1800" t="str">
            <v>TENAGA</v>
          </cell>
        </row>
        <row r="1801">
          <cell r="C1801" t="str">
            <v>Produksi menentukan : DUMP TRUCK</v>
          </cell>
          <cell r="G1801" t="str">
            <v>Q1</v>
          </cell>
          <cell r="H1801">
            <v>0.40310830500242839</v>
          </cell>
          <cell r="I1801" t="str">
            <v>M3/Jam</v>
          </cell>
        </row>
        <row r="1802">
          <cell r="C1802" t="str">
            <v>Produksi Timbunan / hari  =  Tk x Q1</v>
          </cell>
          <cell r="G1802" t="str">
            <v>Qt</v>
          </cell>
          <cell r="H1802">
            <v>2.8217581350169989</v>
          </cell>
          <cell r="I1802" t="str">
            <v>M3</v>
          </cell>
        </row>
        <row r="1803">
          <cell r="C1803" t="str">
            <v>Kebutuhan tenaga :</v>
          </cell>
        </row>
        <row r="1804">
          <cell r="D1804" t="str">
            <v>- Pekerja</v>
          </cell>
          <cell r="G1804" t="str">
            <v>P</v>
          </cell>
          <cell r="H1804">
            <v>4</v>
          </cell>
          <cell r="I1804" t="str">
            <v>orang</v>
          </cell>
        </row>
        <row r="1805">
          <cell r="D1805" t="str">
            <v>- Mandor</v>
          </cell>
          <cell r="G1805" t="str">
            <v>M</v>
          </cell>
          <cell r="H1805">
            <v>1</v>
          </cell>
          <cell r="I1805" t="str">
            <v>orang</v>
          </cell>
        </row>
        <row r="1808">
          <cell r="C1808" t="str">
            <v>Koefisien tenaga / M3   :</v>
          </cell>
        </row>
        <row r="1809">
          <cell r="D1809" t="str">
            <v>- Pekerja</v>
          </cell>
          <cell r="E1809" t="str">
            <v>= (Tk x P) : Qt</v>
          </cell>
          <cell r="G1809" t="str">
            <v>(L01)</v>
          </cell>
          <cell r="H1809">
            <v>9.9228915662650596</v>
          </cell>
          <cell r="I1809" t="str">
            <v>Jam</v>
          </cell>
        </row>
        <row r="1810">
          <cell r="D1810" t="str">
            <v>- Mandor</v>
          </cell>
          <cell r="E1810" t="str">
            <v>= (Tk x M) : Qt</v>
          </cell>
          <cell r="G1810" t="str">
            <v>(L03)</v>
          </cell>
          <cell r="H1810">
            <v>2.4807228915662649</v>
          </cell>
          <cell r="I1810" t="str">
            <v>Jam</v>
          </cell>
        </row>
        <row r="1813">
          <cell r="A1813" t="str">
            <v>4.</v>
          </cell>
          <cell r="C1813" t="str">
            <v>HARGA DASAR SATUAN UPAH, BAHAN DAN ALAT</v>
          </cell>
        </row>
        <row r="1814">
          <cell r="C1814" t="str">
            <v>Lihat lampiran.</v>
          </cell>
        </row>
        <row r="1817">
          <cell r="A1817" t="str">
            <v>5.</v>
          </cell>
          <cell r="C1817" t="str">
            <v>ANALISA HARGA SATUAN PEKERJAAN</v>
          </cell>
        </row>
        <row r="1818">
          <cell r="C1818" t="str">
            <v>Lihat perhitungan dalam FORMULIR STANDAR UNTUK</v>
          </cell>
        </row>
        <row r="1819">
          <cell r="C1819" t="str">
            <v>PEREKEMAN ANALISA MASING-MASING HARGA</v>
          </cell>
        </row>
        <row r="1820">
          <cell r="C1820" t="str">
            <v>SATUAN.</v>
          </cell>
        </row>
        <row r="1821">
          <cell r="C1821" t="str">
            <v>Didapat Harga Satuan Pekerjaan :</v>
          </cell>
        </row>
        <row r="1823">
          <cell r="C1823" t="str">
            <v xml:space="preserve">Rp.  </v>
          </cell>
          <cell r="D1823">
            <v>501114.46814012952</v>
          </cell>
          <cell r="E1823" t="str">
            <v xml:space="preserve"> / M3.</v>
          </cell>
        </row>
        <row r="1826">
          <cell r="A1826" t="str">
            <v>6.</v>
          </cell>
          <cell r="C1826" t="str">
            <v>WAKTU PELAKSANAAN YANG DIPERLUKAN</v>
          </cell>
        </row>
        <row r="1827">
          <cell r="C1827" t="str">
            <v>Masa Pelaksanaan :</v>
          </cell>
          <cell r="D1827" t="str">
            <v>. . . . . . . . . . . .</v>
          </cell>
          <cell r="E1827" t="str">
            <v>bulan</v>
          </cell>
        </row>
        <row r="1829">
          <cell r="A1829" t="str">
            <v>7.</v>
          </cell>
          <cell r="C1829" t="str">
            <v>VOLUME PEKERJAAN YANG DIPERLUKAN</v>
          </cell>
        </row>
        <row r="1830">
          <cell r="C1830" t="str">
            <v>Volume pekerjaan  :</v>
          </cell>
          <cell r="D1830">
            <v>1</v>
          </cell>
          <cell r="E1830" t="str">
            <v>M3</v>
          </cell>
        </row>
        <row r="1851">
          <cell r="A1851" t="str">
            <v>ITEM PEMBAYARAN NO.</v>
          </cell>
          <cell r="D1851" t="str">
            <v>:  3.2 (4)</v>
          </cell>
          <cell r="J1851" t="str">
            <v>Analisa EI-324</v>
          </cell>
        </row>
        <row r="1852">
          <cell r="A1852" t="str">
            <v>JENIS PEKERJAAN</v>
          </cell>
          <cell r="D1852" t="str">
            <v>:  Timb. Pilihan Di Atas Tnh. Rawa</v>
          </cell>
        </row>
        <row r="1853">
          <cell r="A1853" t="str">
            <v>SATUAN PEMBAYARAN</v>
          </cell>
          <cell r="D1853" t="str">
            <v>:  M3</v>
          </cell>
          <cell r="H1853" t="str">
            <v xml:space="preserve">         URAIAN ANALISA HARGA SATUAN</v>
          </cell>
        </row>
        <row r="1856">
          <cell r="A1856" t="str">
            <v>No.</v>
          </cell>
          <cell r="C1856" t="str">
            <v>U R A I A N</v>
          </cell>
          <cell r="G1856" t="str">
            <v>KODE</v>
          </cell>
          <cell r="H1856" t="str">
            <v>KOEF.</v>
          </cell>
          <cell r="I1856" t="str">
            <v>SATUAN</v>
          </cell>
          <cell r="J1856" t="str">
            <v>KETERANGAN</v>
          </cell>
        </row>
        <row r="1859">
          <cell r="A1859" t="str">
            <v>I.</v>
          </cell>
          <cell r="C1859" t="str">
            <v>ASUMSI</v>
          </cell>
        </row>
        <row r="1860">
          <cell r="A1860">
            <v>1</v>
          </cell>
          <cell r="C1860" t="str">
            <v>Pekerjaan dilakukan secara mekanis</v>
          </cell>
        </row>
        <row r="1861">
          <cell r="A1861">
            <v>2</v>
          </cell>
          <cell r="C1861" t="str">
            <v>Lokasi pekerjaan : di atas tanah rawa</v>
          </cell>
        </row>
        <row r="1862">
          <cell r="A1862">
            <v>3</v>
          </cell>
          <cell r="C1862" t="str">
            <v>Kondisi Jalan   :  sedang / baik</v>
          </cell>
        </row>
        <row r="1863">
          <cell r="A1863">
            <v>4</v>
          </cell>
          <cell r="C1863" t="str">
            <v>Jam kerja efektif per-hari</v>
          </cell>
          <cell r="G1863" t="str">
            <v>Tk</v>
          </cell>
          <cell r="H1863">
            <v>7</v>
          </cell>
          <cell r="I1863" t="str">
            <v>Jam</v>
          </cell>
        </row>
        <row r="1864">
          <cell r="A1864">
            <v>5</v>
          </cell>
          <cell r="C1864" t="str">
            <v>Faktor pengembangan bahan</v>
          </cell>
          <cell r="G1864" t="str">
            <v>Fk</v>
          </cell>
          <cell r="H1864">
            <v>1.2</v>
          </cell>
          <cell r="I1864" t="str">
            <v>-</v>
          </cell>
        </row>
        <row r="1867">
          <cell r="A1867" t="str">
            <v>II.</v>
          </cell>
          <cell r="C1867" t="str">
            <v>URUTAN KERJA</v>
          </cell>
        </row>
        <row r="1869">
          <cell r="A1869">
            <v>1</v>
          </cell>
          <cell r="C1869" t="str">
            <v>Whell Loader memuat ke dalam Dump Truck</v>
          </cell>
        </row>
        <row r="1870">
          <cell r="A1870">
            <v>2</v>
          </cell>
          <cell r="C1870" t="str">
            <v>Dump Truck mengangkut material pilihan</v>
          </cell>
        </row>
        <row r="1871">
          <cell r="C1871" t="str">
            <v>ke lapangan dimana : jarak quari ke lapangan</v>
          </cell>
          <cell r="G1871" t="str">
            <v>L</v>
          </cell>
          <cell r="H1871">
            <v>10</v>
          </cell>
          <cell r="I1871" t="str">
            <v>Km</v>
          </cell>
        </row>
        <row r="1872">
          <cell r="A1872">
            <v>3</v>
          </cell>
          <cell r="C1872" t="str">
            <v>Dump Truck menuang material pilihan di lokasi rawa</v>
          </cell>
        </row>
        <row r="1873">
          <cell r="C1873" t="str">
            <v>yang telah ditetapkan mulai dari tepian rawa hingga</v>
          </cell>
        </row>
        <row r="1874">
          <cell r="C1874" t="str">
            <v>permukaan timbunan mencapai permukaan air rawa.</v>
          </cell>
        </row>
        <row r="1875">
          <cell r="A1875">
            <v>4</v>
          </cell>
          <cell r="C1875" t="str">
            <v>Sekelompok pekerja merapikan timbunan</v>
          </cell>
        </row>
        <row r="1876">
          <cell r="A1876">
            <v>5</v>
          </cell>
          <cell r="C1876" t="str">
            <v>Geotekstil atau batangan kayu (bila diperlukan)</v>
          </cell>
        </row>
        <row r="1877">
          <cell r="C1877" t="str">
            <v>dianggap telah terpasang</v>
          </cell>
        </row>
        <row r="1879">
          <cell r="A1879" t="str">
            <v>III.</v>
          </cell>
          <cell r="C1879" t="str">
            <v>PEMAKAIAN BAHAN, ALAT DAN TENAGA</v>
          </cell>
        </row>
        <row r="1880">
          <cell r="A1880" t="str">
            <v xml:space="preserve">   1.</v>
          </cell>
          <cell r="C1880" t="str">
            <v>BAHAN</v>
          </cell>
        </row>
        <row r="1881">
          <cell r="A1881" t="str">
            <v>1.a.</v>
          </cell>
          <cell r="C1881" t="str">
            <v>Bahan pilihan</v>
          </cell>
          <cell r="G1881" t="str">
            <v>(M09)</v>
          </cell>
          <cell r="H1881">
            <v>1</v>
          </cell>
          <cell r="I1881" t="str">
            <v>M3</v>
          </cell>
        </row>
        <row r="1883">
          <cell r="A1883" t="str">
            <v xml:space="preserve">   2.</v>
          </cell>
          <cell r="C1883" t="str">
            <v>ALAT</v>
          </cell>
        </row>
        <row r="1885">
          <cell r="A1885" t="str">
            <v xml:space="preserve">   2.a.</v>
          </cell>
          <cell r="C1885" t="str">
            <v>DUMP TRUCK</v>
          </cell>
          <cell r="G1885" t="str">
            <v>(E09)</v>
          </cell>
        </row>
        <row r="1886">
          <cell r="C1886" t="str">
            <v>Kapasitas bak</v>
          </cell>
          <cell r="G1886" t="str">
            <v>V</v>
          </cell>
          <cell r="H1886">
            <v>1.9444444444444444</v>
          </cell>
          <cell r="I1886" t="str">
            <v>M3</v>
          </cell>
        </row>
        <row r="1887">
          <cell r="C1887" t="str">
            <v>Faktor  efisiensi alat</v>
          </cell>
          <cell r="G1887" t="str">
            <v>Fa</v>
          </cell>
          <cell r="H1887">
            <v>0.83</v>
          </cell>
          <cell r="I1887" t="str">
            <v>-</v>
          </cell>
          <cell r="Q1887" t="str">
            <v xml:space="preserve">JUMLAH HARGA BAHAN   </v>
          </cell>
          <cell r="U1887">
            <v>25000</v>
          </cell>
        </row>
        <row r="1888">
          <cell r="C1888" t="str">
            <v>Kecepatan rata-rata bermuatan</v>
          </cell>
          <cell r="G1888" t="str">
            <v>v1</v>
          </cell>
          <cell r="H1888">
            <v>45</v>
          </cell>
          <cell r="I1888" t="str">
            <v>KM/Jam</v>
          </cell>
        </row>
        <row r="1889">
          <cell r="C1889" t="str">
            <v>Kecepatan rata-rata kosong</v>
          </cell>
          <cell r="G1889" t="str">
            <v>v2</v>
          </cell>
          <cell r="H1889">
            <v>60</v>
          </cell>
          <cell r="I1889" t="str">
            <v>KM/Jam</v>
          </cell>
          <cell r="L1889" t="str">
            <v>C.</v>
          </cell>
          <cell r="N1889" t="str">
            <v>PERALATAN</v>
          </cell>
        </row>
        <row r="1890">
          <cell r="C1890" t="str">
            <v>Waktusiklus :</v>
          </cell>
          <cell r="G1890" t="str">
            <v>Ts2</v>
          </cell>
          <cell r="L1890" t="str">
            <v>1.</v>
          </cell>
          <cell r="N1890" t="str">
            <v>Dump Truck</v>
          </cell>
          <cell r="O1890" t="str">
            <v>(E08)</v>
          </cell>
          <cell r="P1890" t="str">
            <v>Jam</v>
          </cell>
          <cell r="Q1890">
            <v>0.27194492254733216</v>
          </cell>
          <cell r="R1890">
            <v>153645.58193291764</v>
          </cell>
          <cell r="U1890">
            <v>41783.135878487068</v>
          </cell>
        </row>
        <row r="1891">
          <cell r="C1891" t="str">
            <v>-  Waktu tempuh isi   = (L : v1) x 60</v>
          </cell>
          <cell r="G1891" t="str">
            <v>T1</v>
          </cell>
          <cell r="H1891">
            <v>13.333333333333332</v>
          </cell>
          <cell r="I1891" t="str">
            <v>menit</v>
          </cell>
          <cell r="L1891" t="str">
            <v>2.</v>
          </cell>
          <cell r="N1891" t="str">
            <v>Whell  Loader</v>
          </cell>
          <cell r="O1891" t="str">
            <v>(E15)</v>
          </cell>
          <cell r="P1891" t="str">
            <v>Jam</v>
          </cell>
          <cell r="Q1891">
            <v>1.4874312063067082E-2</v>
          </cell>
          <cell r="R1891">
            <v>163808.13869490434</v>
          </cell>
          <cell r="U1891">
            <v>2436.5333734181813</v>
          </cell>
        </row>
        <row r="1892">
          <cell r="C1892" t="str">
            <v>-  Waktu tempuh kosong   = (L : v2) x 60</v>
          </cell>
          <cell r="G1892" t="str">
            <v>T2</v>
          </cell>
          <cell r="H1892">
            <v>10</v>
          </cell>
          <cell r="I1892" t="str">
            <v>menit</v>
          </cell>
          <cell r="L1892" t="str">
            <v>3.</v>
          </cell>
          <cell r="N1892" t="str">
            <v>Alat  Bantu</v>
          </cell>
          <cell r="P1892" t="str">
            <v>Ls</v>
          </cell>
          <cell r="Q1892">
            <v>1</v>
          </cell>
          <cell r="R1892">
            <v>100</v>
          </cell>
          <cell r="U1892">
            <v>100</v>
          </cell>
        </row>
        <row r="1893">
          <cell r="C1893" t="str">
            <v>- Lain-lain</v>
          </cell>
          <cell r="G1893" t="str">
            <v>T3</v>
          </cell>
          <cell r="H1893">
            <v>3</v>
          </cell>
          <cell r="I1893" t="str">
            <v>menit</v>
          </cell>
        </row>
        <row r="1894">
          <cell r="G1894" t="str">
            <v>Ts1</v>
          </cell>
          <cell r="H1894">
            <v>26.333333333333332</v>
          </cell>
          <cell r="I1894" t="str">
            <v>menit</v>
          </cell>
        </row>
        <row r="1896">
          <cell r="C1896" t="str">
            <v>Kapasitas Produksi / Jam   =</v>
          </cell>
          <cell r="E1896" t="str">
            <v>V x Fa x 60</v>
          </cell>
          <cell r="G1896" t="str">
            <v>Q1</v>
          </cell>
          <cell r="H1896">
            <v>3.6772151898734178</v>
          </cell>
          <cell r="I1896" t="str">
            <v>M3/Jam</v>
          </cell>
        </row>
        <row r="1897">
          <cell r="E1897" t="str">
            <v>Ts1</v>
          </cell>
        </row>
        <row r="1898">
          <cell r="Q1898" t="str">
            <v xml:space="preserve">JUMLAH HARGA PERALATAN   </v>
          </cell>
          <cell r="U1898">
            <v>44319.669251905252</v>
          </cell>
        </row>
        <row r="1899">
          <cell r="C1899" t="str">
            <v>Koefisien Alat / M3</v>
          </cell>
          <cell r="D1899" t="str">
            <v xml:space="preserve"> =  1  :  Q1</v>
          </cell>
          <cell r="G1899" t="str">
            <v>(E08)</v>
          </cell>
          <cell r="H1899">
            <v>0.27194492254733216</v>
          </cell>
          <cell r="I1899" t="str">
            <v>Jam</v>
          </cell>
        </row>
        <row r="1900">
          <cell r="L1900" t="str">
            <v>D.</v>
          </cell>
          <cell r="N1900" t="str">
            <v>JUMLAH HARGA TENAGA, BAHAN DAN PERALATAN  ( A + B + C )</v>
          </cell>
          <cell r="U1900">
            <v>71747.748529013697</v>
          </cell>
        </row>
        <row r="1901">
          <cell r="L1901" t="str">
            <v>E.</v>
          </cell>
          <cell r="N1901" t="str">
            <v>OVERHEAD &amp; PROFIT</v>
          </cell>
          <cell r="P1901">
            <v>10</v>
          </cell>
          <cell r="Q1901" t="str">
            <v>%  x  D</v>
          </cell>
          <cell r="U1901">
            <v>7174.7748529013697</v>
          </cell>
        </row>
        <row r="1902">
          <cell r="A1902" t="str">
            <v>2.b.</v>
          </cell>
          <cell r="C1902" t="str">
            <v>ALAT  BANTU</v>
          </cell>
          <cell r="L1902" t="str">
            <v>F.</v>
          </cell>
          <cell r="N1902" t="str">
            <v>HARGA SATUAN PEKERJAAN  ( D + E )</v>
          </cell>
          <cell r="U1902">
            <v>78922.52338191506</v>
          </cell>
        </row>
        <row r="1903">
          <cell r="C1903" t="str">
            <v>Diperlukan alat-alat bantu kecil</v>
          </cell>
          <cell r="J1903" t="str">
            <v>Lump Sump</v>
          </cell>
          <cell r="L1903" t="str">
            <v>Note: 1</v>
          </cell>
          <cell r="N1903" t="str">
            <v>SATUAN dapat berdasarkan atas jam operasi untuk Tenaga Kerja dan Peralatan, volume dan/atau ukuran</v>
          </cell>
        </row>
        <row r="1904">
          <cell r="C1904" t="str">
            <v>- Sekop    =         3   buah</v>
          </cell>
          <cell r="N1904" t="str">
            <v>berat untuk bahan-bahan.</v>
          </cell>
        </row>
        <row r="1905">
          <cell r="L1905">
            <v>2</v>
          </cell>
          <cell r="N1905" t="str">
            <v>Kuantitas satuan adalah kuantitas setiap komponen untuk menyelesaikan satu satuan pekerjaan dari nomor</v>
          </cell>
        </row>
        <row r="1906">
          <cell r="N1906" t="str">
            <v>mata pembayaran.</v>
          </cell>
        </row>
        <row r="1907">
          <cell r="L1907">
            <v>3</v>
          </cell>
          <cell r="N1907" t="str">
            <v>Biaya satuan untuk peralatan sudah termasuk bahan bakar, bahan habis dipakai dan operator.</v>
          </cell>
        </row>
        <row r="1908">
          <cell r="L1908">
            <v>4</v>
          </cell>
          <cell r="N1908" t="str">
            <v>Biaya satuan sudah termasuk pengeluaran untuk seluruh pajak yang berkaitan (tetapi tidak termasuk PPN</v>
          </cell>
        </row>
        <row r="1909">
          <cell r="N1909" t="str">
            <v>yang dibayar dari kontrak) dan biaya-biaya lainnya.</v>
          </cell>
        </row>
        <row r="1911">
          <cell r="J1911" t="str">
            <v>Berlanjut ke halaman berikut</v>
          </cell>
        </row>
        <row r="1912">
          <cell r="A1912" t="str">
            <v>ITEM PEMBAYARAN NO.</v>
          </cell>
          <cell r="D1912" t="str">
            <v>:  3.2 (4)</v>
          </cell>
          <cell r="J1912" t="str">
            <v>Analisa EI-324</v>
          </cell>
        </row>
        <row r="1913">
          <cell r="A1913" t="str">
            <v>JENIS PEKERJAAN</v>
          </cell>
          <cell r="D1913" t="str">
            <v>:  Timb. Pilihan Di Atas Tnh. Rawa</v>
          </cell>
        </row>
        <row r="1914">
          <cell r="A1914" t="str">
            <v>SATUAN PEMBAYARAN</v>
          </cell>
          <cell r="D1914" t="str">
            <v>:  M3</v>
          </cell>
          <cell r="H1914" t="str">
            <v xml:space="preserve">         URAIAN ANALISA HARGA SATUAN</v>
          </cell>
        </row>
        <row r="1915">
          <cell r="J1915" t="str">
            <v>Lanjutan</v>
          </cell>
        </row>
        <row r="1917">
          <cell r="A1917" t="str">
            <v>No.</v>
          </cell>
          <cell r="C1917" t="str">
            <v>U R A I A N</v>
          </cell>
          <cell r="G1917" t="str">
            <v>KODE</v>
          </cell>
          <cell r="H1917" t="str">
            <v>KOEF.</v>
          </cell>
          <cell r="I1917" t="str">
            <v>SATUAN</v>
          </cell>
          <cell r="J1917" t="str">
            <v>KETERANGAN</v>
          </cell>
        </row>
        <row r="1920">
          <cell r="A1920" t="str">
            <v>2.c.</v>
          </cell>
          <cell r="C1920" t="str">
            <v>WHELL  LOADER</v>
          </cell>
          <cell r="G1920" t="str">
            <v>(E15)</v>
          </cell>
        </row>
        <row r="1921">
          <cell r="C1921" t="str">
            <v>Kapasitas  Bucket</v>
          </cell>
          <cell r="G1921" t="str">
            <v>V</v>
          </cell>
          <cell r="H1921">
            <v>1.5</v>
          </cell>
          <cell r="I1921" t="str">
            <v>M3</v>
          </cell>
        </row>
        <row r="1922">
          <cell r="C1922" t="str">
            <v>Faktor Bucket</v>
          </cell>
          <cell r="G1922" t="str">
            <v>Fb</v>
          </cell>
          <cell r="H1922">
            <v>0.9</v>
          </cell>
          <cell r="I1922" t="str">
            <v>-</v>
          </cell>
        </row>
        <row r="1923">
          <cell r="C1923" t="str">
            <v>Faktor Efisiensi Alat</v>
          </cell>
          <cell r="G1923" t="str">
            <v>Fa</v>
          </cell>
          <cell r="H1923">
            <v>0.83</v>
          </cell>
          <cell r="I1923" t="str">
            <v>-</v>
          </cell>
        </row>
        <row r="1924">
          <cell r="C1924" t="str">
            <v>Waktu sklus</v>
          </cell>
          <cell r="G1924" t="str">
            <v>Ts1</v>
          </cell>
          <cell r="I1924" t="str">
            <v>menit</v>
          </cell>
        </row>
        <row r="1925">
          <cell r="C1925" t="str">
            <v>- Muat</v>
          </cell>
          <cell r="G1925" t="str">
            <v>T1</v>
          </cell>
          <cell r="H1925">
            <v>0.5</v>
          </cell>
          <cell r="I1925" t="str">
            <v>menit</v>
          </cell>
        </row>
        <row r="1926">
          <cell r="C1926" t="str">
            <v>- Lain-lain</v>
          </cell>
          <cell r="G1926" t="str">
            <v>T2</v>
          </cell>
          <cell r="H1926">
            <v>0.5</v>
          </cell>
          <cell r="I1926" t="str">
            <v>menit</v>
          </cell>
        </row>
        <row r="1927">
          <cell r="G1927" t="str">
            <v>Ts2</v>
          </cell>
          <cell r="H1927">
            <v>1</v>
          </cell>
          <cell r="I1927" t="str">
            <v>menit</v>
          </cell>
        </row>
        <row r="1929">
          <cell r="C1929" t="str">
            <v>Kapasitas Produksi / Jam =</v>
          </cell>
          <cell r="E1929" t="str">
            <v>V  x  Fb x Fa x 60</v>
          </cell>
          <cell r="G1929" t="str">
            <v>Q2</v>
          </cell>
          <cell r="H1929">
            <v>67.23</v>
          </cell>
          <cell r="I1929" t="str">
            <v>M3</v>
          </cell>
        </row>
        <row r="1930">
          <cell r="E1930" t="str">
            <v>Ts1</v>
          </cell>
        </row>
        <row r="1932">
          <cell r="C1932" t="str">
            <v>Koefisienalat / M3</v>
          </cell>
          <cell r="D1932" t="str">
            <v xml:space="preserve"> =   1 : Q2</v>
          </cell>
          <cell r="G1932" t="str">
            <v>(E15)</v>
          </cell>
          <cell r="H1932">
            <v>1.4874312063067082E-2</v>
          </cell>
          <cell r="I1932" t="str">
            <v>Jam</v>
          </cell>
        </row>
        <row r="1934">
          <cell r="A1934" t="str">
            <v xml:space="preserve">   3.</v>
          </cell>
          <cell r="C1934" t="str">
            <v>TENAGA</v>
          </cell>
        </row>
        <row r="1935">
          <cell r="C1935" t="str">
            <v>Produksi menentukan : DUMP TRUCK</v>
          </cell>
          <cell r="G1935" t="str">
            <v>Q1</v>
          </cell>
          <cell r="H1935">
            <v>3.6772151898734178</v>
          </cell>
          <cell r="I1935" t="str">
            <v>M3/Jam</v>
          </cell>
        </row>
        <row r="1936">
          <cell r="C1936" t="str">
            <v>Produksi Timbunan / hari  =  Tk x Q1</v>
          </cell>
          <cell r="G1936" t="str">
            <v>Qt</v>
          </cell>
          <cell r="H1936">
            <v>25.740506329113924</v>
          </cell>
          <cell r="I1936" t="str">
            <v>M3</v>
          </cell>
        </row>
        <row r="1937">
          <cell r="C1937" t="str">
            <v>Asumsi permukaan hamparan di permukaan rawa :</v>
          </cell>
        </row>
        <row r="1939">
          <cell r="C1939" t="str">
            <v>Kebutuhan tenaga :</v>
          </cell>
        </row>
        <row r="1940">
          <cell r="D1940" t="str">
            <v>- Pekerja</v>
          </cell>
          <cell r="G1940" t="str">
            <v>P</v>
          </cell>
          <cell r="H1940">
            <v>2</v>
          </cell>
          <cell r="I1940" t="str">
            <v>orang</v>
          </cell>
        </row>
        <row r="1941">
          <cell r="D1941" t="str">
            <v>- Mandor</v>
          </cell>
          <cell r="G1941" t="str">
            <v>M</v>
          </cell>
          <cell r="H1941">
            <v>1</v>
          </cell>
          <cell r="I1941" t="str">
            <v>orang</v>
          </cell>
        </row>
        <row r="1944">
          <cell r="C1944" t="str">
            <v>Koefisien tenaga / M3   :</v>
          </cell>
        </row>
        <row r="1945">
          <cell r="D1945" t="str">
            <v>- Pekerja</v>
          </cell>
          <cell r="E1945" t="str">
            <v>= (Tk x P) : Qt</v>
          </cell>
          <cell r="G1945" t="str">
            <v>(L01)</v>
          </cell>
          <cell r="H1945">
            <v>0.54388984509466443</v>
          </cell>
          <cell r="I1945" t="str">
            <v>Jam</v>
          </cell>
        </row>
        <row r="1946">
          <cell r="D1946" t="str">
            <v>- Mandor</v>
          </cell>
          <cell r="E1946" t="str">
            <v>= (Tk x M) : Qt</v>
          </cell>
          <cell r="G1946" t="str">
            <v>(L02)</v>
          </cell>
          <cell r="H1946">
            <v>0.27194492254733221</v>
          </cell>
          <cell r="I1946" t="str">
            <v>Jam</v>
          </cell>
        </row>
        <row r="1949">
          <cell r="A1949" t="str">
            <v>4.</v>
          </cell>
          <cell r="C1949" t="str">
            <v>HARGA DASAR SATUAN UPAH, BAHAN DAN ALAT</v>
          </cell>
        </row>
        <row r="1950">
          <cell r="C1950" t="str">
            <v>Lihat lampiran.</v>
          </cell>
        </row>
        <row r="1953">
          <cell r="A1953" t="str">
            <v>5.</v>
          </cell>
          <cell r="C1953" t="str">
            <v>ANALISA HARGA SATUAN PEKERJAAN</v>
          </cell>
        </row>
        <row r="1954">
          <cell r="C1954" t="str">
            <v>Lihat perhitungan dalam FORMULIR STANDAR UNTUK</v>
          </cell>
        </row>
        <row r="1955">
          <cell r="C1955" t="str">
            <v>PEREKEMAN ANALISA MASING-MASING HARGA</v>
          </cell>
        </row>
        <row r="1956">
          <cell r="C1956" t="str">
            <v>SATUAN.</v>
          </cell>
        </row>
        <row r="1957">
          <cell r="C1957" t="str">
            <v>Didapat Harga Satuan Pekerjaan :</v>
          </cell>
        </row>
        <row r="1959">
          <cell r="C1959" t="str">
            <v xml:space="preserve">Rp.  </v>
          </cell>
          <cell r="D1959">
            <v>78922.52338191506</v>
          </cell>
          <cell r="E1959" t="str">
            <v xml:space="preserve"> / M3</v>
          </cell>
        </row>
        <row r="1962">
          <cell r="A1962" t="str">
            <v>6.</v>
          </cell>
          <cell r="C1962" t="str">
            <v>WAKTU PELAKSANAAN YANG DIPERLUKAN</v>
          </cell>
        </row>
        <row r="1963">
          <cell r="C1963" t="str">
            <v>Masa Pelaksanaan :</v>
          </cell>
          <cell r="D1963" t="str">
            <v>. . . . . . . . . . . .</v>
          </cell>
          <cell r="E1963" t="str">
            <v>bulan</v>
          </cell>
        </row>
        <row r="1965">
          <cell r="A1965" t="str">
            <v>7.</v>
          </cell>
          <cell r="C1965" t="str">
            <v>VOLUME PEKERJAAN YANG DIPERLUKAN</v>
          </cell>
        </row>
        <row r="1966">
          <cell r="C1966" t="str">
            <v>Volume pekerjaan  :</v>
          </cell>
          <cell r="D1966">
            <v>1</v>
          </cell>
          <cell r="E1966" t="str">
            <v>M3</v>
          </cell>
        </row>
        <row r="1971">
          <cell r="T1971" t="str">
            <v>Analisa EI-331</v>
          </cell>
        </row>
        <row r="1973">
          <cell r="A1973" t="str">
            <v>ITEM PEMBAYARAN NO.</v>
          </cell>
          <cell r="D1973" t="str">
            <v>:  3.3 (1)</v>
          </cell>
          <cell r="J1973" t="str">
            <v>Analisa EI-331</v>
          </cell>
          <cell r="L1973" t="str">
            <v>FORMULIR STANDAR UNTUK</v>
          </cell>
        </row>
        <row r="1974">
          <cell r="A1974" t="str">
            <v>JENIS PEKERJAAN</v>
          </cell>
          <cell r="D1974" t="str">
            <v>:  Penyiapan Badan Jalan pada Galian</v>
          </cell>
          <cell r="L1974" t="str">
            <v>PEREKAMAN ANALISA MASING-MASING HARGA SATUAN</v>
          </cell>
        </row>
        <row r="1975">
          <cell r="A1975" t="str">
            <v>SATUAN PEMBAYARAN</v>
          </cell>
          <cell r="D1975" t="str">
            <v>:  M2</v>
          </cell>
          <cell r="F1975" t="str">
            <v>Biasa</v>
          </cell>
          <cell r="H1975" t="str">
            <v xml:space="preserve">         URAIAN ANALISA HARGA SATUAN</v>
          </cell>
          <cell r="L1975" t="str">
            <v/>
          </cell>
        </row>
        <row r="1978">
          <cell r="A1978" t="str">
            <v>No.</v>
          </cell>
          <cell r="C1978" t="str">
            <v>U R A I A N</v>
          </cell>
          <cell r="G1978" t="str">
            <v>KODE</v>
          </cell>
          <cell r="H1978" t="str">
            <v>KOEF.</v>
          </cell>
          <cell r="I1978" t="str">
            <v>SATUAN</v>
          </cell>
          <cell r="J1978" t="str">
            <v>KETERANGAN</v>
          </cell>
          <cell r="L1978" t="str">
            <v>PROYEK</v>
          </cell>
          <cell r="O1978" t="str">
            <v>:</v>
          </cell>
        </row>
        <row r="1979">
          <cell r="L1979" t="str">
            <v>No. PAKET KONTRAK</v>
          </cell>
          <cell r="O1979" t="str">
            <v>:</v>
          </cell>
        </row>
        <row r="1980">
          <cell r="L1980" t="str">
            <v>NAMA PAKET</v>
          </cell>
          <cell r="O1980" t="str">
            <v>:</v>
          </cell>
        </row>
        <row r="1981">
          <cell r="A1981" t="str">
            <v>I.</v>
          </cell>
          <cell r="C1981" t="str">
            <v>ASUMSI</v>
          </cell>
          <cell r="L1981" t="str">
            <v>PROP / KAB / KODYA</v>
          </cell>
          <cell r="O1981" t="str">
            <v>:</v>
          </cell>
        </row>
        <row r="1982">
          <cell r="A1982">
            <v>1</v>
          </cell>
          <cell r="C1982" t="str">
            <v>Pekerjaan dilaksanakan hanya pada tanah  galian</v>
          </cell>
          <cell r="L1982" t="str">
            <v>ITEM PEMBAYARAN NO.</v>
          </cell>
          <cell r="O1982" t="str">
            <v>:  3.3 (1)</v>
          </cell>
          <cell r="R1982" t="str">
            <v>PERKIRAAN VOL. PEK.</v>
          </cell>
          <cell r="T1982" t="str">
            <v>:</v>
          </cell>
          <cell r="U1982">
            <v>1</v>
          </cell>
        </row>
        <row r="1983">
          <cell r="A1983">
            <v>2</v>
          </cell>
          <cell r="C1983" t="str">
            <v>Pekerjaan dilakukan secara mekanis</v>
          </cell>
          <cell r="L1983" t="str">
            <v>JENIS PEKERJAAN</v>
          </cell>
          <cell r="O1983" t="str">
            <v>:  Penyiapan Badan Jalan pada Galian</v>
          </cell>
          <cell r="R1983" t="str">
            <v>TOTAL HARGA (Rp.)</v>
          </cell>
          <cell r="T1983" t="str">
            <v>:</v>
          </cell>
          <cell r="U1983">
            <v>809086.35646871035</v>
          </cell>
        </row>
        <row r="1984">
          <cell r="A1984">
            <v>3</v>
          </cell>
          <cell r="C1984" t="str">
            <v>Lokasi pekerjaan : sepanjang jalan</v>
          </cell>
          <cell r="L1984" t="str">
            <v>SATUAN PEMBAYARAN</v>
          </cell>
          <cell r="O1984" t="str">
            <v>:  M2</v>
          </cell>
          <cell r="Q1984" t="str">
            <v>Biasa</v>
          </cell>
          <cell r="R1984" t="str">
            <v>% THD. BIAYA PROYEK</v>
          </cell>
          <cell r="T1984" t="str">
            <v>:</v>
          </cell>
          <cell r="U1984" t="e">
            <v>#DIV/0!</v>
          </cell>
        </row>
        <row r="1985">
          <cell r="A1985">
            <v>4</v>
          </cell>
          <cell r="C1985" t="str">
            <v>Kondisi Jalan   : jelek / belum padat</v>
          </cell>
        </row>
        <row r="1986">
          <cell r="A1986">
            <v>5</v>
          </cell>
          <cell r="C1986" t="str">
            <v>Jam kerja efektif per-hari</v>
          </cell>
          <cell r="G1986" t="str">
            <v>Tk</v>
          </cell>
          <cell r="H1986">
            <v>7</v>
          </cell>
          <cell r="I1986" t="str">
            <v>Jam</v>
          </cell>
        </row>
        <row r="1987">
          <cell r="Q1987" t="str">
            <v>PERKIRAAN</v>
          </cell>
          <cell r="R1987" t="str">
            <v>HARGA</v>
          </cell>
          <cell r="S1987" t="str">
            <v>JUMLAH</v>
          </cell>
        </row>
        <row r="1988">
          <cell r="L1988" t="str">
            <v>NO.</v>
          </cell>
          <cell r="N1988" t="str">
            <v>KOMPONEN</v>
          </cell>
          <cell r="P1988" t="str">
            <v>SATUAN</v>
          </cell>
          <cell r="Q1988" t="str">
            <v>KUANTITAS</v>
          </cell>
          <cell r="R1988" t="str">
            <v>SATUAN</v>
          </cell>
          <cell r="S1988" t="str">
            <v>HARGA</v>
          </cell>
        </row>
        <row r="1989">
          <cell r="A1989" t="str">
            <v>II.</v>
          </cell>
          <cell r="C1989" t="str">
            <v>URUTAN KERJA</v>
          </cell>
          <cell r="R1989" t="str">
            <v>(Rp.)</v>
          </cell>
          <cell r="S1989" t="str">
            <v>(Rp.)</v>
          </cell>
        </row>
        <row r="1990">
          <cell r="A1990">
            <v>1</v>
          </cell>
          <cell r="C1990" t="str">
            <v>Motor Grader meratakan permukaan hasil galian</v>
          </cell>
        </row>
        <row r="1991">
          <cell r="A1991">
            <v>2</v>
          </cell>
          <cell r="C1991" t="str">
            <v>Vibro Roller memadatkan permukaan yang telah</v>
          </cell>
        </row>
        <row r="1992">
          <cell r="C1992" t="str">
            <v>dipotong/diratakan oleh Motor Grader</v>
          </cell>
          <cell r="L1992" t="str">
            <v>A.</v>
          </cell>
          <cell r="N1992" t="str">
            <v>TENAGA</v>
          </cell>
        </row>
        <row r="1993">
          <cell r="A1993">
            <v>3</v>
          </cell>
          <cell r="C1993" t="str">
            <v>Sekelompok pekerja akan membantu meratakan</v>
          </cell>
        </row>
        <row r="1994">
          <cell r="C1994" t="str">
            <v>badan jalan dengan alat bantu</v>
          </cell>
          <cell r="L1994" t="str">
            <v>1.</v>
          </cell>
          <cell r="N1994" t="str">
            <v>Pekerja</v>
          </cell>
          <cell r="O1994" t="str">
            <v>(L01)</v>
          </cell>
          <cell r="P1994" t="str">
            <v>jam</v>
          </cell>
          <cell r="Q1994">
            <v>1.6064257028112448E-2</v>
          </cell>
          <cell r="R1994">
            <v>2857.14</v>
          </cell>
          <cell r="U1994">
            <v>45.897831325301198</v>
          </cell>
        </row>
        <row r="1995">
          <cell r="L1995" t="str">
            <v>2.</v>
          </cell>
          <cell r="N1995" t="str">
            <v>Mandor</v>
          </cell>
          <cell r="O1995" t="str">
            <v>(L02)</v>
          </cell>
          <cell r="P1995" t="str">
            <v>jam</v>
          </cell>
          <cell r="Q1995">
            <v>4.0160642570281121E-3</v>
          </cell>
          <cell r="R1995">
            <v>3214.29</v>
          </cell>
          <cell r="U1995">
            <v>12.90879518072289</v>
          </cell>
        </row>
        <row r="1998">
          <cell r="Q1998" t="str">
            <v xml:space="preserve">JUMLAH HARGA TENAGA   </v>
          </cell>
          <cell r="U1998">
            <v>58.806626506024088</v>
          </cell>
        </row>
        <row r="2000">
          <cell r="L2000" t="str">
            <v>B.</v>
          </cell>
          <cell r="N2000" t="str">
            <v>BAHAN</v>
          </cell>
        </row>
        <row r="2001">
          <cell r="A2001" t="str">
            <v>III.</v>
          </cell>
          <cell r="C2001" t="str">
            <v>PEMAKAIAN BAHAN, ALAT DAN TENAGA</v>
          </cell>
        </row>
        <row r="2002">
          <cell r="A2002" t="str">
            <v xml:space="preserve">   1.</v>
          </cell>
          <cell r="C2002" t="str">
            <v>BAHAN</v>
          </cell>
        </row>
        <row r="2003">
          <cell r="C2003" t="str">
            <v>Tidak diperlukan bahan / material</v>
          </cell>
        </row>
        <row r="2005">
          <cell r="A2005" t="str">
            <v xml:space="preserve">   2.</v>
          </cell>
          <cell r="C2005" t="str">
            <v>ALAT</v>
          </cell>
        </row>
        <row r="2006">
          <cell r="A2006" t="str">
            <v>2.a.</v>
          </cell>
          <cell r="C2006" t="str">
            <v>MOTOR GRADER</v>
          </cell>
          <cell r="G2006" t="str">
            <v>(E13)</v>
          </cell>
        </row>
        <row r="2007">
          <cell r="C2007" t="str">
            <v>Panjang operasi grader sekali jalan</v>
          </cell>
          <cell r="G2007" t="str">
            <v>Lh</v>
          </cell>
          <cell r="H2007">
            <v>50</v>
          </cell>
          <cell r="I2007" t="str">
            <v>M</v>
          </cell>
        </row>
        <row r="2008">
          <cell r="C2008" t="str">
            <v>Lebar Efektif kerja Blade</v>
          </cell>
          <cell r="G2008" t="str">
            <v>b</v>
          </cell>
          <cell r="H2008">
            <v>2.4</v>
          </cell>
          <cell r="I2008" t="str">
            <v>M</v>
          </cell>
        </row>
        <row r="2009">
          <cell r="C2009" t="str">
            <v>Faktor Efisiensi Alat</v>
          </cell>
          <cell r="G2009" t="str">
            <v>Fa</v>
          </cell>
          <cell r="H2009">
            <v>0.83</v>
          </cell>
          <cell r="I2009" t="str">
            <v>-</v>
          </cell>
        </row>
        <row r="2010">
          <cell r="C2010" t="str">
            <v>Kecepatan rata-rata alat</v>
          </cell>
          <cell r="G2010" t="str">
            <v>v</v>
          </cell>
          <cell r="H2010">
            <v>2</v>
          </cell>
          <cell r="I2010" t="str">
            <v>Km / Jam</v>
          </cell>
        </row>
        <row r="2011">
          <cell r="C2011" t="str">
            <v>Jumlah lintasan</v>
          </cell>
          <cell r="G2011" t="str">
            <v>n</v>
          </cell>
          <cell r="H2011">
            <v>6</v>
          </cell>
          <cell r="I2011" t="str">
            <v>lintasan</v>
          </cell>
        </row>
        <row r="2012">
          <cell r="C2012" t="str">
            <v>Waktu siklus</v>
          </cell>
          <cell r="G2012" t="str">
            <v>Ts1</v>
          </cell>
        </row>
        <row r="2013">
          <cell r="C2013" t="str">
            <v>- Perataan 1 kali lintasan    = Lh : (v x 1000) x 60</v>
          </cell>
          <cell r="G2013" t="str">
            <v>T1</v>
          </cell>
          <cell r="H2013">
            <v>1.5</v>
          </cell>
          <cell r="I2013" t="str">
            <v>menit</v>
          </cell>
        </row>
        <row r="2014">
          <cell r="C2014" t="str">
            <v>- Lain-lain</v>
          </cell>
          <cell r="G2014" t="str">
            <v>T2</v>
          </cell>
          <cell r="H2014">
            <v>1</v>
          </cell>
          <cell r="I2014" t="str">
            <v>menit</v>
          </cell>
        </row>
        <row r="2015">
          <cell r="G2015" t="str">
            <v>Ts1</v>
          </cell>
          <cell r="H2015">
            <v>2.5</v>
          </cell>
          <cell r="I2015" t="str">
            <v>menit</v>
          </cell>
        </row>
        <row r="2017">
          <cell r="C2017" t="str">
            <v>Kapasitas Produksi / Jam   =</v>
          </cell>
          <cell r="E2017" t="str">
            <v>Lh x b x Fa x 60</v>
          </cell>
          <cell r="G2017" t="str">
            <v>Q1</v>
          </cell>
          <cell r="H2017">
            <v>398.4</v>
          </cell>
          <cell r="I2017" t="str">
            <v>M2</v>
          </cell>
        </row>
        <row r="2018">
          <cell r="E2018" t="str">
            <v xml:space="preserve">      n x Ts</v>
          </cell>
        </row>
        <row r="2020">
          <cell r="C2020" t="str">
            <v>Koefisien Alat / m2</v>
          </cell>
          <cell r="D2020" t="str">
            <v xml:space="preserve"> =  1  :  Q1</v>
          </cell>
          <cell r="G2020" t="str">
            <v>(E13)</v>
          </cell>
          <cell r="H2020">
            <v>2.5100401606425703E-3</v>
          </cell>
          <cell r="I2020" t="str">
            <v>Jam</v>
          </cell>
        </row>
        <row r="2022">
          <cell r="A2022" t="str">
            <v>2.b.</v>
          </cell>
          <cell r="C2022" t="str">
            <v>VIBRATOR ROLLER</v>
          </cell>
          <cell r="G2022" t="str">
            <v>(E19)</v>
          </cell>
        </row>
        <row r="2023">
          <cell r="C2023" t="str">
            <v>Kecepatan rata-rata alat</v>
          </cell>
          <cell r="G2023" t="str">
            <v>v</v>
          </cell>
          <cell r="H2023">
            <v>2</v>
          </cell>
          <cell r="I2023" t="str">
            <v>Km / jam</v>
          </cell>
        </row>
        <row r="2024">
          <cell r="C2024" t="str">
            <v>Lebar efektif pemadatan</v>
          </cell>
          <cell r="G2024" t="str">
            <v>b</v>
          </cell>
          <cell r="H2024">
            <v>1.2</v>
          </cell>
          <cell r="I2024" t="str">
            <v>M</v>
          </cell>
        </row>
        <row r="2025">
          <cell r="C2025" t="str">
            <v>Jumlah lintasan</v>
          </cell>
          <cell r="G2025" t="str">
            <v>n</v>
          </cell>
          <cell r="H2025">
            <v>8</v>
          </cell>
          <cell r="I2025" t="str">
            <v>lintasan</v>
          </cell>
        </row>
        <row r="2026">
          <cell r="C2026" t="str">
            <v>Faktor efisiensi alat</v>
          </cell>
          <cell r="G2026" t="str">
            <v>Fa</v>
          </cell>
          <cell r="H2026">
            <v>0.83</v>
          </cell>
          <cell r="I2026" t="str">
            <v>-</v>
          </cell>
        </row>
        <row r="2028">
          <cell r="C2028" t="str">
            <v>Kapasitas Produksi / Jam   =</v>
          </cell>
          <cell r="E2028" t="str">
            <v>(v x 1000) x b x Fa</v>
          </cell>
          <cell r="G2028" t="str">
            <v>Q2</v>
          </cell>
          <cell r="H2028">
            <v>249</v>
          </cell>
          <cell r="I2028" t="str">
            <v>M2</v>
          </cell>
        </row>
        <row r="2029">
          <cell r="E2029" t="str">
            <v>n</v>
          </cell>
        </row>
        <row r="2031">
          <cell r="C2031" t="str">
            <v>Koefisien Alat / m2</v>
          </cell>
          <cell r="D2031" t="str">
            <v xml:space="preserve"> =  1  :  Q2</v>
          </cell>
          <cell r="G2031" t="str">
            <v>(E19)</v>
          </cell>
          <cell r="H2031">
            <v>4.0160642570281121E-3</v>
          </cell>
          <cell r="I2031" t="str">
            <v>Jam</v>
          </cell>
        </row>
        <row r="2033">
          <cell r="J2033" t="str">
            <v>Berlanjut ke halaman berikut</v>
          </cell>
        </row>
        <row r="2034">
          <cell r="A2034" t="str">
            <v>ITEM PEMBAYARAN NO.</v>
          </cell>
          <cell r="D2034" t="str">
            <v>:  3.3 (1)</v>
          </cell>
          <cell r="J2034" t="str">
            <v>Analisa EI-331</v>
          </cell>
        </row>
        <row r="2035">
          <cell r="A2035" t="str">
            <v>JENIS PEKERJAAN</v>
          </cell>
          <cell r="D2035" t="str">
            <v>:  Penyiapan Badan Jalan pada Galian</v>
          </cell>
        </row>
        <row r="2036">
          <cell r="A2036" t="str">
            <v>SATUAN PEMBAYARAN</v>
          </cell>
          <cell r="D2036" t="str">
            <v>:  M2</v>
          </cell>
          <cell r="H2036" t="str">
            <v xml:space="preserve">         URAIAN ANALISA HARGA SATUAN</v>
          </cell>
        </row>
        <row r="2037">
          <cell r="J2037" t="str">
            <v>Lanjutan</v>
          </cell>
        </row>
        <row r="2039">
          <cell r="A2039" t="str">
            <v>No.</v>
          </cell>
          <cell r="C2039" t="str">
            <v>U R A I A N</v>
          </cell>
          <cell r="G2039" t="str">
            <v>KODE</v>
          </cell>
          <cell r="H2039" t="str">
            <v>KOEF.</v>
          </cell>
          <cell r="I2039" t="str">
            <v>SATUAN</v>
          </cell>
          <cell r="J2039" t="str">
            <v>KETERANGAN</v>
          </cell>
        </row>
        <row r="2042">
          <cell r="A2042" t="str">
            <v>2.c.</v>
          </cell>
          <cell r="C2042" t="str">
            <v>WATER TANK TRUCK</v>
          </cell>
          <cell r="G2042" t="str">
            <v>(E23)</v>
          </cell>
        </row>
        <row r="2043">
          <cell r="C2043" t="str">
            <v>Volume tangki air</v>
          </cell>
          <cell r="G2043" t="str">
            <v>V</v>
          </cell>
          <cell r="H2043">
            <v>4</v>
          </cell>
          <cell r="I2043" t="str">
            <v>M3</v>
          </cell>
        </row>
        <row r="2044">
          <cell r="C2044" t="str">
            <v>Kebutuhan air / M2 permukaan padat</v>
          </cell>
          <cell r="G2044" t="str">
            <v>Wc</v>
          </cell>
          <cell r="H2044">
            <v>0.01</v>
          </cell>
          <cell r="I2044" t="str">
            <v>M3</v>
          </cell>
        </row>
        <row r="2045">
          <cell r="C2045" t="str">
            <v>Pengisian Tangki / jam</v>
          </cell>
          <cell r="G2045" t="str">
            <v>n</v>
          </cell>
          <cell r="H2045">
            <v>1</v>
          </cell>
          <cell r="I2045" t="str">
            <v>kali</v>
          </cell>
        </row>
        <row r="2046">
          <cell r="C2046" t="str">
            <v>Faktor efisiensi alat</v>
          </cell>
          <cell r="G2046" t="str">
            <v>Fa</v>
          </cell>
          <cell r="H2046">
            <v>0.83</v>
          </cell>
          <cell r="I2046" t="str">
            <v>-</v>
          </cell>
        </row>
        <row r="2048">
          <cell r="C2048" t="str">
            <v>Kapasitas Produksi / Jam   =</v>
          </cell>
          <cell r="E2048" t="str">
            <v>V  x  n x Fa</v>
          </cell>
          <cell r="G2048" t="str">
            <v>Q3</v>
          </cell>
          <cell r="H2048">
            <v>332</v>
          </cell>
          <cell r="I2048" t="str">
            <v>M2</v>
          </cell>
        </row>
        <row r="2049">
          <cell r="E2049" t="str">
            <v xml:space="preserve">     Wc</v>
          </cell>
        </row>
        <row r="2051">
          <cell r="C2051" t="str">
            <v>Koefisien Alat / m2</v>
          </cell>
          <cell r="D2051" t="str">
            <v xml:space="preserve"> =  1  :  Q3</v>
          </cell>
          <cell r="G2051" t="str">
            <v>(E23)</v>
          </cell>
          <cell r="H2051">
            <v>3.0120481927710845E-3</v>
          </cell>
          <cell r="I2051" t="str">
            <v>Jam</v>
          </cell>
        </row>
        <row r="2054">
          <cell r="A2054" t="str">
            <v>2.d.</v>
          </cell>
          <cell r="C2054" t="str">
            <v>ALAT  BANTU</v>
          </cell>
        </row>
        <row r="2055">
          <cell r="C2055" t="str">
            <v>Diperlukan alat-alat bantu kecil</v>
          </cell>
          <cell r="J2055" t="str">
            <v>Lump Sum</v>
          </cell>
        </row>
        <row r="2056">
          <cell r="C2056" t="str">
            <v>- Sekop    =         3   buah</v>
          </cell>
        </row>
        <row r="2059">
          <cell r="A2059" t="str">
            <v xml:space="preserve">   3.</v>
          </cell>
          <cell r="C2059" t="str">
            <v>TENAGA</v>
          </cell>
        </row>
        <row r="2060">
          <cell r="C2060" t="str">
            <v>Produksi menentukan : VIBRATORY  ROLLER</v>
          </cell>
          <cell r="G2060" t="str">
            <v>Q2</v>
          </cell>
          <cell r="H2060">
            <v>249</v>
          </cell>
          <cell r="I2060" t="str">
            <v>M2/Jam</v>
          </cell>
        </row>
        <row r="2061">
          <cell r="C2061" t="str">
            <v>Produksi Pekerjaan / hari  =  Tk x Q1</v>
          </cell>
          <cell r="G2061" t="str">
            <v>Qt</v>
          </cell>
          <cell r="H2061">
            <v>1743</v>
          </cell>
          <cell r="I2061" t="str">
            <v>M2</v>
          </cell>
        </row>
        <row r="2062">
          <cell r="C2062" t="str">
            <v>Kebutuhan tenaga :</v>
          </cell>
        </row>
        <row r="2063">
          <cell r="D2063" t="str">
            <v>- Pekerja</v>
          </cell>
          <cell r="G2063" t="str">
            <v>P</v>
          </cell>
          <cell r="H2063">
            <v>4</v>
          </cell>
          <cell r="I2063" t="str">
            <v>orang</v>
          </cell>
        </row>
        <row r="2064">
          <cell r="D2064" t="str">
            <v>- Mandor</v>
          </cell>
          <cell r="G2064" t="str">
            <v>M</v>
          </cell>
          <cell r="H2064">
            <v>1</v>
          </cell>
          <cell r="I2064" t="str">
            <v>orang</v>
          </cell>
        </row>
        <row r="2067">
          <cell r="C2067" t="str">
            <v>Koefisien tenaga / M2</v>
          </cell>
        </row>
        <row r="2068">
          <cell r="D2068" t="str">
            <v>- Pekerja</v>
          </cell>
          <cell r="E2068" t="str">
            <v>= (Tk x P) : Qt</v>
          </cell>
          <cell r="G2068" t="str">
            <v>(L01)</v>
          </cell>
          <cell r="H2068">
            <v>1.6064257028112448E-2</v>
          </cell>
          <cell r="I2068" t="str">
            <v>Jam</v>
          </cell>
        </row>
        <row r="2069">
          <cell r="D2069" t="str">
            <v>- Mandor</v>
          </cell>
          <cell r="E2069" t="str">
            <v>= (Tk x M) : Qt</v>
          </cell>
          <cell r="G2069" t="str">
            <v>(L02)</v>
          </cell>
          <cell r="H2069">
            <v>4.0160642570281121E-3</v>
          </cell>
          <cell r="I2069" t="str">
            <v>Jam</v>
          </cell>
        </row>
        <row r="2072">
          <cell r="A2072" t="str">
            <v>4.</v>
          </cell>
          <cell r="C2072" t="str">
            <v>HARGA DASAR SATUAN UPAH, BAHAN DAN ALAT</v>
          </cell>
        </row>
        <row r="2073">
          <cell r="C2073" t="str">
            <v>Lihat lampiran.</v>
          </cell>
        </row>
        <row r="2076">
          <cell r="A2076" t="str">
            <v>5.</v>
          </cell>
          <cell r="C2076" t="str">
            <v>ANALISA HARGA SATUAN PEKERJAAN</v>
          </cell>
        </row>
        <row r="2077">
          <cell r="C2077" t="str">
            <v>Lihat perhitungan dalam FORMULIR STANDAR UNTUK</v>
          </cell>
        </row>
        <row r="2078">
          <cell r="C2078" t="str">
            <v>PEREKEMAN ANALISA MASING-MASING HARGA</v>
          </cell>
        </row>
        <row r="2079">
          <cell r="C2079" t="str">
            <v>SATUAN.</v>
          </cell>
        </row>
        <row r="2080">
          <cell r="C2080" t="str">
            <v>Didapat Harga Satuan Pekerjaan :</v>
          </cell>
        </row>
        <row r="2082">
          <cell r="C2082" t="str">
            <v xml:space="preserve">Rp.  </v>
          </cell>
          <cell r="D2082">
            <v>1891.5348272711353</v>
          </cell>
          <cell r="E2082" t="str">
            <v xml:space="preserve"> / M2</v>
          </cell>
        </row>
        <row r="2085">
          <cell r="A2085" t="str">
            <v>6.</v>
          </cell>
          <cell r="C2085" t="str">
            <v>WAKTU PELAKSANAAN YANG DIPERLUKAN</v>
          </cell>
        </row>
        <row r="2086">
          <cell r="C2086" t="str">
            <v>Masa Pelaksanaan :</v>
          </cell>
          <cell r="D2086" t="str">
            <v>. . . . . . . . . . . .</v>
          </cell>
          <cell r="E2086" t="str">
            <v>bulan</v>
          </cell>
        </row>
        <row r="2088">
          <cell r="A2088" t="str">
            <v>7.</v>
          </cell>
          <cell r="C2088" t="str">
            <v>VOLUME PEKERJAAN YANG DIPERLUKAN</v>
          </cell>
        </row>
        <row r="2089">
          <cell r="C2089" t="str">
            <v>Volume pekerjaan  :</v>
          </cell>
          <cell r="D2089">
            <v>1</v>
          </cell>
          <cell r="E2089" t="str">
            <v>M2</v>
          </cell>
        </row>
        <row r="2094">
          <cell r="A2094" t="str">
            <v>ITEM PEMBAYARAN NO.</v>
          </cell>
          <cell r="D2094" t="str">
            <v>:  3.1.(7)</v>
          </cell>
          <cell r="J2094" t="str">
            <v>Analisa EI-312</v>
          </cell>
        </row>
        <row r="2095">
          <cell r="A2095" t="str">
            <v>JENIS PEKERJAAN</v>
          </cell>
          <cell r="D2095" t="str">
            <v>:  Pembongk Perk Beraspal dg Cold Milling Machine</v>
          </cell>
        </row>
        <row r="2096">
          <cell r="A2096" t="str">
            <v>SATUAN PEMBAYARAN</v>
          </cell>
          <cell r="D2096" t="str">
            <v>:  M3</v>
          </cell>
          <cell r="H2096" t="str">
            <v xml:space="preserve">         URAIAN ANALISA HARGA SATUAN</v>
          </cell>
        </row>
        <row r="2099">
          <cell r="A2099" t="str">
            <v>No.</v>
          </cell>
          <cell r="C2099" t="str">
            <v>U R A I A N</v>
          </cell>
          <cell r="G2099" t="str">
            <v>KODE</v>
          </cell>
          <cell r="H2099" t="str">
            <v>KOEF.</v>
          </cell>
          <cell r="I2099" t="str">
            <v>SATUAN</v>
          </cell>
          <cell r="J2099" t="str">
            <v>KETERANGAN</v>
          </cell>
        </row>
        <row r="2102">
          <cell r="A2102" t="str">
            <v>I.</v>
          </cell>
          <cell r="C2102" t="str">
            <v>ASUMSI</v>
          </cell>
        </row>
        <row r="2103">
          <cell r="A2103">
            <v>1</v>
          </cell>
          <cell r="C2103" t="str">
            <v>Pekerjaan dilakukan secara mekanik</v>
          </cell>
        </row>
        <row r="2104">
          <cell r="A2104">
            <v>2</v>
          </cell>
          <cell r="C2104" t="str">
            <v>Lokasi pekerjaan : sepanjang jalan</v>
          </cell>
        </row>
        <row r="2105">
          <cell r="A2105">
            <v>3</v>
          </cell>
          <cell r="C2105" t="str">
            <v>Kondisi Jalan   :  sedang / baik</v>
          </cell>
        </row>
        <row r="2106">
          <cell r="A2106">
            <v>4</v>
          </cell>
          <cell r="C2106" t="str">
            <v>Jam kerja efektif per-hari</v>
          </cell>
          <cell r="G2106" t="str">
            <v>Tk</v>
          </cell>
          <cell r="H2106">
            <v>7</v>
          </cell>
          <cell r="I2106" t="str">
            <v>Jam</v>
          </cell>
        </row>
        <row r="2107">
          <cell r="A2107">
            <v>5</v>
          </cell>
          <cell r="C2107" t="str">
            <v>Faktor pengembangan bahan</v>
          </cell>
          <cell r="G2107" t="str">
            <v>Fk</v>
          </cell>
          <cell r="H2107">
            <v>1.24</v>
          </cell>
          <cell r="I2107" t="str">
            <v>-</v>
          </cell>
        </row>
        <row r="2110">
          <cell r="A2110" t="str">
            <v>II.</v>
          </cell>
          <cell r="C2110" t="str">
            <v>URUTAN KERJA</v>
          </cell>
        </row>
        <row r="2111">
          <cell r="A2111">
            <v>1</v>
          </cell>
          <cell r="C2111" t="str">
            <v>Aspal yg dikeruk umumnya berada di badan jalan</v>
          </cell>
        </row>
        <row r="2112">
          <cell r="A2112">
            <v>2</v>
          </cell>
          <cell r="C2112" t="str">
            <v xml:space="preserve">Pengerukan dilakukan dengan Cold Milling </v>
          </cell>
        </row>
        <row r="2113">
          <cell r="C2113" t="str">
            <v xml:space="preserve">dimuat ke dlm Truk </v>
          </cell>
        </row>
        <row r="2114">
          <cell r="A2114">
            <v>3</v>
          </cell>
          <cell r="C2114" t="str">
            <v>Dump Truck membuang material hasil galian keluar</v>
          </cell>
        </row>
        <row r="2115">
          <cell r="C2115" t="str">
            <v>lokasi jalan sejauh :</v>
          </cell>
          <cell r="G2115" t="str">
            <v>L</v>
          </cell>
          <cell r="H2115">
            <v>5</v>
          </cell>
          <cell r="I2115" t="str">
            <v>Km</v>
          </cell>
        </row>
        <row r="2119">
          <cell r="A2119" t="str">
            <v>III.</v>
          </cell>
          <cell r="C2119" t="str">
            <v>PEMAKAIAN BAHAN, ALAT DAN TENAGA</v>
          </cell>
        </row>
        <row r="2121">
          <cell r="A2121" t="str">
            <v xml:space="preserve">   1.</v>
          </cell>
          <cell r="C2121" t="str">
            <v>BAHAN</v>
          </cell>
        </row>
        <row r="2122">
          <cell r="C2122" t="str">
            <v>Tidak ada bahan yang diperlukan</v>
          </cell>
        </row>
        <row r="2125">
          <cell r="A2125" t="str">
            <v xml:space="preserve">   2.</v>
          </cell>
          <cell r="C2125" t="str">
            <v>ALAT</v>
          </cell>
        </row>
        <row r="2126">
          <cell r="A2126" t="str">
            <v xml:space="preserve">   2.a.</v>
          </cell>
          <cell r="C2126" t="str">
            <v>COLD MILLING</v>
          </cell>
        </row>
        <row r="2127">
          <cell r="C2127" t="str">
            <v xml:space="preserve">Produksi teoritis per jam </v>
          </cell>
          <cell r="G2127" t="str">
            <v>q</v>
          </cell>
          <cell r="H2127">
            <v>300</v>
          </cell>
          <cell r="I2127" t="str">
            <v>m</v>
          </cell>
        </row>
        <row r="2128">
          <cell r="C2128" t="str">
            <v>Kapasitas lebar galian</v>
          </cell>
          <cell r="G2128" t="str">
            <v>b</v>
          </cell>
          <cell r="H2128">
            <v>1000</v>
          </cell>
          <cell r="I2128" t="str">
            <v>m</v>
          </cell>
        </row>
        <row r="2129">
          <cell r="C2129" t="str">
            <v>tebal galian</v>
          </cell>
          <cell r="G2129" t="str">
            <v>t</v>
          </cell>
          <cell r="H2129">
            <v>0.15</v>
          </cell>
          <cell r="I2129" t="str">
            <v>m</v>
          </cell>
        </row>
        <row r="2130">
          <cell r="C2130" t="str">
            <v>kecepatan</v>
          </cell>
          <cell r="G2130" t="str">
            <v>v</v>
          </cell>
          <cell r="H2130">
            <v>5</v>
          </cell>
          <cell r="I2130" t="str">
            <v>m/menit</v>
          </cell>
        </row>
        <row r="2131">
          <cell r="C2131" t="str">
            <v>Faktor effesiensi kerja</v>
          </cell>
          <cell r="G2131" t="str">
            <v>Fa</v>
          </cell>
          <cell r="H2131">
            <v>0.6</v>
          </cell>
          <cell r="J2131" t="str">
            <v>grafik cold</v>
          </cell>
          <cell r="Q2131" t="str">
            <v xml:space="preserve">JUMLAH HARGA BAHAN   </v>
          </cell>
          <cell r="U2131">
            <v>0</v>
          </cell>
        </row>
        <row r="2132">
          <cell r="J2132" t="str">
            <v>miling</v>
          </cell>
        </row>
        <row r="2133">
          <cell r="C2133" t="str">
            <v>Kapasitas prod/jam =</v>
          </cell>
          <cell r="E2133" t="str">
            <v>Fa x q x t x Fk</v>
          </cell>
          <cell r="G2133" t="str">
            <v>Q1</v>
          </cell>
          <cell r="H2133">
            <v>33.479999999999997</v>
          </cell>
          <cell r="I2133" t="str">
            <v>M3</v>
          </cell>
          <cell r="L2133" t="str">
            <v>C.</v>
          </cell>
          <cell r="N2133" t="str">
            <v>PERALATAN</v>
          </cell>
        </row>
        <row r="2134">
          <cell r="L2134" t="str">
            <v>1.</v>
          </cell>
          <cell r="N2134" t="str">
            <v>Cold Milling</v>
          </cell>
          <cell r="P2134" t="str">
            <v>Jam</v>
          </cell>
          <cell r="Q2134">
            <v>2.9868578255675033E-2</v>
          </cell>
          <cell r="R2134">
            <v>1163221.6447452162</v>
          </cell>
          <cell r="U2134">
            <v>34743.776724767515</v>
          </cell>
        </row>
        <row r="2135">
          <cell r="C2135" t="str">
            <v>Koefisien Alat / m3</v>
          </cell>
          <cell r="D2135" t="str">
            <v xml:space="preserve"> =  1  :  Q1</v>
          </cell>
          <cell r="H2135">
            <v>2.9868578255675033E-2</v>
          </cell>
          <cell r="I2135" t="str">
            <v>Jam</v>
          </cell>
          <cell r="L2135">
            <v>2</v>
          </cell>
          <cell r="N2135" t="str">
            <v>Dump Truck</v>
          </cell>
          <cell r="O2135" t="str">
            <v>(E08)</v>
          </cell>
          <cell r="P2135" t="str">
            <v>Jam</v>
          </cell>
          <cell r="Q2135">
            <v>0.12969656403391344</v>
          </cell>
          <cell r="R2135">
            <v>153645.58193291764</v>
          </cell>
          <cell r="U2135">
            <v>19927.304055690547</v>
          </cell>
        </row>
        <row r="2138">
          <cell r="A2138" t="str">
            <v xml:space="preserve">   2.b.</v>
          </cell>
          <cell r="C2138" t="str">
            <v>DUMP TRUCK</v>
          </cell>
          <cell r="G2138" t="str">
            <v>(E08)</v>
          </cell>
        </row>
        <row r="2139">
          <cell r="C2139" t="str">
            <v>Kapasitas bak</v>
          </cell>
          <cell r="G2139" t="str">
            <v>V</v>
          </cell>
          <cell r="H2139">
            <v>4</v>
          </cell>
          <cell r="I2139" t="str">
            <v>M3</v>
          </cell>
        </row>
        <row r="2140">
          <cell r="C2140" t="str">
            <v>Faktor  efisiensi alat</v>
          </cell>
          <cell r="G2140" t="str">
            <v>Fa</v>
          </cell>
          <cell r="H2140">
            <v>0.83</v>
          </cell>
          <cell r="I2140" t="str">
            <v>-</v>
          </cell>
          <cell r="Q2140" t="str">
            <v xml:space="preserve">JUMLAH HARGA PERALATAN   </v>
          </cell>
          <cell r="U2140">
            <v>54671.080780458062</v>
          </cell>
        </row>
        <row r="2141">
          <cell r="C2141" t="str">
            <v>Kecepatan rata-rata bermuatan</v>
          </cell>
          <cell r="G2141" t="str">
            <v>v1</v>
          </cell>
          <cell r="H2141">
            <v>45</v>
          </cell>
          <cell r="I2141" t="str">
            <v>KM/Jam</v>
          </cell>
        </row>
        <row r="2142">
          <cell r="C2142" t="str">
            <v>Kecepatan rata-rata kosong</v>
          </cell>
          <cell r="G2142" t="str">
            <v>v2</v>
          </cell>
          <cell r="H2142">
            <v>60</v>
          </cell>
          <cell r="I2142" t="str">
            <v>KM/Jam</v>
          </cell>
          <cell r="L2142" t="str">
            <v>D.</v>
          </cell>
          <cell r="N2142" t="str">
            <v>JUMLAH HARGA TENAGA, BAHAN DAN PERALATAN  ( A + B + C )</v>
          </cell>
          <cell r="U2142">
            <v>54937.764472214338</v>
          </cell>
        </row>
        <row r="2143">
          <cell r="C2143" t="str">
            <v>Waktu  siklus</v>
          </cell>
          <cell r="G2143" t="str">
            <v>Ts1</v>
          </cell>
          <cell r="I2143" t="str">
            <v>menit</v>
          </cell>
          <cell r="L2143" t="str">
            <v>E.</v>
          </cell>
          <cell r="N2143" t="str">
            <v>OVERHEAD &amp; PROFIT</v>
          </cell>
          <cell r="P2143">
            <v>10</v>
          </cell>
          <cell r="Q2143" t="str">
            <v>%  x  D</v>
          </cell>
          <cell r="U2143">
            <v>5493.776447221434</v>
          </cell>
        </row>
        <row r="2144">
          <cell r="C2144" t="str">
            <v>- Waktu tempuh isi</v>
          </cell>
          <cell r="E2144" t="str">
            <v>=   (L  :  v1)  x  60</v>
          </cell>
          <cell r="G2144" t="str">
            <v>T1</v>
          </cell>
          <cell r="H2144">
            <v>6.6666666666666661</v>
          </cell>
          <cell r="I2144" t="str">
            <v>menit</v>
          </cell>
          <cell r="L2144" t="str">
            <v>F.</v>
          </cell>
          <cell r="N2144" t="str">
            <v>HARGA SATUAN PEKERJAAN  ( D + E )</v>
          </cell>
          <cell r="U2144">
            <v>60431.540919435771</v>
          </cell>
        </row>
        <row r="2145">
          <cell r="C2145" t="str">
            <v>- Waktu tempuh kosong</v>
          </cell>
          <cell r="E2145" t="str">
            <v>=   (L  :  v2)  x  60</v>
          </cell>
          <cell r="G2145" t="str">
            <v>T2</v>
          </cell>
          <cell r="H2145">
            <v>5</v>
          </cell>
          <cell r="I2145" t="str">
            <v>menit</v>
          </cell>
          <cell r="L2145" t="str">
            <v>Note: 1</v>
          </cell>
          <cell r="N2145" t="str">
            <v>SATUAN dapat berdasarkan atas jam operasi untuk Tenaga Kerja dan Peralatan, volume dan/atau ukuran</v>
          </cell>
        </row>
        <row r="2146">
          <cell r="C2146" t="str">
            <v>- Muat</v>
          </cell>
          <cell r="E2146" t="str">
            <v>=   (V  :  Q1) x 60</v>
          </cell>
          <cell r="G2146" t="str">
            <v>T3</v>
          </cell>
          <cell r="H2146">
            <v>7.1684587813620082</v>
          </cell>
          <cell r="I2146" t="str">
            <v>menit</v>
          </cell>
          <cell r="N2146" t="str">
            <v>berat untuk bahan-bahan.</v>
          </cell>
        </row>
        <row r="2147">
          <cell r="C2147" t="str">
            <v>- Lain-lain</v>
          </cell>
          <cell r="G2147" t="str">
            <v>T4</v>
          </cell>
          <cell r="H2147">
            <v>2</v>
          </cell>
          <cell r="I2147" t="str">
            <v>menit</v>
          </cell>
          <cell r="L2147">
            <v>2</v>
          </cell>
          <cell r="N2147" t="str">
            <v>Kuantitas satuan adalah kuantitas setiap komponen untuk menyelesaikan satu satuan pekerjaan dari nomor</v>
          </cell>
        </row>
        <row r="2148">
          <cell r="G2148" t="str">
            <v>Ts1</v>
          </cell>
          <cell r="H2148">
            <v>20.835125448028673</v>
          </cell>
          <cell r="I2148" t="str">
            <v>menit</v>
          </cell>
          <cell r="N2148" t="str">
            <v>mata pembayaran.</v>
          </cell>
        </row>
        <row r="2149">
          <cell r="L2149">
            <v>3</v>
          </cell>
          <cell r="N2149" t="str">
            <v>Biaya satuan untuk peralatan sudah termasuk bahan bakar, bahan habis dipakai dan operator.</v>
          </cell>
        </row>
        <row r="2150">
          <cell r="L2150">
            <v>4</v>
          </cell>
          <cell r="N2150" t="str">
            <v>Biaya satuan sudah termasuk pengeluaran untuk seluruh pajak yang berkaitan (tetapi tidak termasuk PPN</v>
          </cell>
        </row>
        <row r="2151">
          <cell r="C2151" t="str">
            <v>Kapasitas Produksi / Jam   =</v>
          </cell>
          <cell r="E2151" t="str">
            <v>V x Fa x 60</v>
          </cell>
          <cell r="G2151" t="str">
            <v>Q2</v>
          </cell>
          <cell r="H2151">
            <v>7.7103044899363491</v>
          </cell>
          <cell r="I2151" t="str">
            <v xml:space="preserve">M3 / Jam </v>
          </cell>
          <cell r="N2151" t="str">
            <v>yang dibayar dari kontrak) dan biaya-biaya lainnya.</v>
          </cell>
        </row>
        <row r="2152">
          <cell r="E2152" t="str">
            <v xml:space="preserve">    Fk x Ts1</v>
          </cell>
        </row>
        <row r="2155">
          <cell r="C2155" t="str">
            <v>Koefisien Alat / m3</v>
          </cell>
          <cell r="D2155" t="str">
            <v xml:space="preserve"> =  1  :  Q2</v>
          </cell>
          <cell r="G2155" t="str">
            <v>(E08)</v>
          </cell>
          <cell r="H2155">
            <v>0.12969656403391344</v>
          </cell>
          <cell r="I2155" t="str">
            <v>Jam</v>
          </cell>
        </row>
        <row r="2160">
          <cell r="J2160" t="str">
            <v>Berlanjut ke halaman berikut</v>
          </cell>
        </row>
        <row r="2161">
          <cell r="A2161" t="str">
            <v>ITEM PEMBAYARAN NO.</v>
          </cell>
          <cell r="D2161" t="str">
            <v>:  3.1.(7)</v>
          </cell>
          <cell r="J2161" t="str">
            <v>Analisa EI-312</v>
          </cell>
        </row>
        <row r="2162">
          <cell r="A2162" t="str">
            <v>JENIS PEKERJAAN</v>
          </cell>
          <cell r="D2162" t="str">
            <v>:  Pembongk Perk Beraspal dg Cold Milling Machine</v>
          </cell>
        </row>
        <row r="2163">
          <cell r="A2163" t="str">
            <v>SATUAN PEMBAYARAN</v>
          </cell>
          <cell r="D2163" t="str">
            <v>:  M3</v>
          </cell>
          <cell r="H2163" t="str">
            <v xml:space="preserve">         URAIAN ANALISA HARGA SATUAN</v>
          </cell>
        </row>
        <row r="2164">
          <cell r="J2164" t="str">
            <v>Lanjutan</v>
          </cell>
        </row>
        <row r="2166">
          <cell r="A2166" t="str">
            <v>No.</v>
          </cell>
          <cell r="C2166" t="str">
            <v>U R A I A N</v>
          </cell>
          <cell r="G2166" t="str">
            <v>KODE</v>
          </cell>
          <cell r="H2166" t="str">
            <v>KOEF.</v>
          </cell>
          <cell r="I2166" t="str">
            <v>SATUAN</v>
          </cell>
          <cell r="J2166" t="str">
            <v>KETERANGAN</v>
          </cell>
        </row>
        <row r="2169">
          <cell r="A2169" t="str">
            <v xml:space="preserve"> 2.c</v>
          </cell>
          <cell r="C2169" t="str">
            <v>ALAT  BANTU</v>
          </cell>
        </row>
        <row r="2170">
          <cell r="C2170" t="str">
            <v>Diperlukan alat-alat bantu kecil</v>
          </cell>
          <cell r="J2170" t="str">
            <v>Lump Sump</v>
          </cell>
        </row>
        <row r="2171">
          <cell r="C2171" t="str">
            <v>- Pahat / Tatah</v>
          </cell>
          <cell r="D2171" t="str">
            <v>=  2  buah</v>
          </cell>
        </row>
        <row r="2172">
          <cell r="C2172" t="str">
            <v>- Palu Besar</v>
          </cell>
          <cell r="D2172" t="str">
            <v>=  2  buah</v>
          </cell>
        </row>
        <row r="2174">
          <cell r="A2174" t="str">
            <v xml:space="preserve">   3.</v>
          </cell>
          <cell r="C2174" t="str">
            <v>TENAGA</v>
          </cell>
        </row>
        <row r="2175">
          <cell r="C2175" t="str">
            <v>Produksi menentukan : COLD MILLING</v>
          </cell>
          <cell r="G2175" t="str">
            <v>Q1</v>
          </cell>
          <cell r="H2175">
            <v>33.479999999999997</v>
          </cell>
          <cell r="I2175" t="str">
            <v>M3/Jam</v>
          </cell>
        </row>
        <row r="2176">
          <cell r="C2176" t="str">
            <v>Produksi Galian / hari  =  Tk x Q1</v>
          </cell>
          <cell r="G2176" t="str">
            <v>Qt</v>
          </cell>
          <cell r="H2176">
            <v>234.35999999999999</v>
          </cell>
          <cell r="I2176" t="str">
            <v>M2</v>
          </cell>
        </row>
        <row r="2177">
          <cell r="C2177" t="str">
            <v>Kebutuhan tenaga :</v>
          </cell>
        </row>
        <row r="2178">
          <cell r="D2178" t="str">
            <v>- Pekerja</v>
          </cell>
          <cell r="G2178" t="str">
            <v>P</v>
          </cell>
          <cell r="H2178">
            <v>2</v>
          </cell>
          <cell r="I2178" t="str">
            <v>orang</v>
          </cell>
        </row>
        <row r="2179">
          <cell r="D2179" t="str">
            <v>- Mandor</v>
          </cell>
          <cell r="G2179" t="str">
            <v>M</v>
          </cell>
          <cell r="H2179">
            <v>1</v>
          </cell>
          <cell r="I2179" t="str">
            <v>orang</v>
          </cell>
        </row>
        <row r="2181">
          <cell r="C2181" t="str">
            <v>Koefisien tenaga / M3   :</v>
          </cell>
        </row>
        <row r="2182">
          <cell r="D2182" t="str">
            <v>- Pekerja</v>
          </cell>
          <cell r="E2182" t="str">
            <v>= (Tk x P) : Qt</v>
          </cell>
          <cell r="G2182" t="str">
            <v>(L01)</v>
          </cell>
          <cell r="H2182">
            <v>5.9737156511350066E-2</v>
          </cell>
          <cell r="I2182" t="str">
            <v>Jam</v>
          </cell>
        </row>
        <row r="2183">
          <cell r="D2183" t="str">
            <v>- Mandor</v>
          </cell>
          <cell r="E2183" t="str">
            <v>= (Tk x M) : Qt</v>
          </cell>
          <cell r="G2183" t="str">
            <v>(L03)</v>
          </cell>
          <cell r="H2183">
            <v>2.9868578255675033E-2</v>
          </cell>
          <cell r="I2183" t="str">
            <v>Jam</v>
          </cell>
        </row>
        <row r="2185">
          <cell r="A2185" t="str">
            <v>4.</v>
          </cell>
          <cell r="C2185" t="str">
            <v>HARGA DASAR SATUAN UPAH, BAHAN DAN ALAT</v>
          </cell>
        </row>
        <row r="2186">
          <cell r="C2186" t="str">
            <v>Lihat lampiran.</v>
          </cell>
        </row>
        <row r="2188">
          <cell r="A2188" t="str">
            <v>5.</v>
          </cell>
          <cell r="C2188" t="str">
            <v>ANALISA HARGA SATUAN PEKERJAAN</v>
          </cell>
        </row>
        <row r="2189">
          <cell r="C2189" t="str">
            <v>Lihat perhitungan dalam FORMULIR STANDAR UNTUK</v>
          </cell>
        </row>
        <row r="2190">
          <cell r="C2190" t="str">
            <v>PEREKEMAN ANALISA MASING-MASING HARGA</v>
          </cell>
        </row>
        <row r="2191">
          <cell r="C2191" t="str">
            <v>SATUAN.</v>
          </cell>
        </row>
        <row r="2192">
          <cell r="C2192" t="str">
            <v>Didapat Harga Satuan Pekerjaan :</v>
          </cell>
        </row>
        <row r="2194">
          <cell r="C2194" t="str">
            <v xml:space="preserve">Rp.  </v>
          </cell>
          <cell r="D2194">
            <v>60431.540919435771</v>
          </cell>
          <cell r="E2194" t="str">
            <v xml:space="preserve"> / M2</v>
          </cell>
        </row>
        <row r="2197">
          <cell r="A2197" t="str">
            <v>6.</v>
          </cell>
          <cell r="C2197" t="str">
            <v>WAKTU PELAKSANAAN YANG DIPERLUKAN</v>
          </cell>
        </row>
        <row r="2198">
          <cell r="C2198" t="str">
            <v>Masa Pelaksanaan :</v>
          </cell>
          <cell r="D2198" t="str">
            <v>. . . . . . . . . . . .</v>
          </cell>
          <cell r="E2198" t="str">
            <v>bulan</v>
          </cell>
        </row>
        <row r="2200">
          <cell r="A2200" t="str">
            <v>7.</v>
          </cell>
          <cell r="C2200" t="str">
            <v>VOLUME PEKERJAAN YANG DIPERLUKAN</v>
          </cell>
        </row>
        <row r="2201">
          <cell r="C2201" t="str">
            <v>Volume pekerjaan  :</v>
          </cell>
          <cell r="D2201">
            <v>0</v>
          </cell>
          <cell r="E2201" t="str">
            <v>M3</v>
          </cell>
        </row>
        <row r="2217">
          <cell r="A2217" t="str">
            <v>ITEM PEMBAYARAN NO.</v>
          </cell>
          <cell r="D2217" t="str">
            <v>:  3.1.(8)</v>
          </cell>
          <cell r="J2217" t="str">
            <v>=T2272</v>
          </cell>
        </row>
        <row r="2218">
          <cell r="A2218" t="str">
            <v>JENIS PEKERJAAN</v>
          </cell>
          <cell r="D2218" t="str">
            <v>:  Pembongk Perk Beraspal tanpa Cold Milling Machine</v>
          </cell>
        </row>
        <row r="2219">
          <cell r="A2219" t="str">
            <v>SATUAN PEMBAYARAN</v>
          </cell>
          <cell r="D2219" t="str">
            <v>:  M3</v>
          </cell>
          <cell r="H2219" t="str">
            <v xml:space="preserve">         URAIAN ANALISA HARGA SATUAN</v>
          </cell>
        </row>
        <row r="2222">
          <cell r="A2222" t="str">
            <v>No.</v>
          </cell>
          <cell r="C2222" t="str">
            <v>U R A I A N</v>
          </cell>
          <cell r="G2222" t="str">
            <v>KODE</v>
          </cell>
          <cell r="H2222" t="str">
            <v>KOEF.</v>
          </cell>
          <cell r="I2222" t="str">
            <v>SATUAN</v>
          </cell>
          <cell r="J2222" t="str">
            <v>KETERANGAN</v>
          </cell>
        </row>
        <row r="2225">
          <cell r="A2225" t="str">
            <v>I.</v>
          </cell>
          <cell r="C2225" t="str">
            <v>ASUMSI</v>
          </cell>
        </row>
        <row r="2226">
          <cell r="A2226">
            <v>1</v>
          </cell>
          <cell r="C2226" t="str">
            <v>Pekerjaan dilakukan secara mekanik/manual</v>
          </cell>
        </row>
        <row r="2227">
          <cell r="A2227">
            <v>2</v>
          </cell>
          <cell r="C2227" t="str">
            <v>Lokasi pekerjaan : sepanjang jalan</v>
          </cell>
        </row>
        <row r="2228">
          <cell r="A2228">
            <v>3</v>
          </cell>
          <cell r="C2228" t="str">
            <v>Kondisi Jalan   :  sedang / baik</v>
          </cell>
        </row>
        <row r="2229">
          <cell r="A2229">
            <v>4</v>
          </cell>
          <cell r="C2229" t="str">
            <v>Jam kerja efektif per-hari</v>
          </cell>
          <cell r="G2229" t="str">
            <v>Tk</v>
          </cell>
          <cell r="H2229">
            <v>7</v>
          </cell>
          <cell r="I2229" t="str">
            <v>Jam</v>
          </cell>
        </row>
        <row r="2230">
          <cell r="A2230">
            <v>5</v>
          </cell>
          <cell r="C2230" t="str">
            <v>Faktor pengembangan bahan</v>
          </cell>
          <cell r="G2230" t="str">
            <v>Fk</v>
          </cell>
          <cell r="H2230">
            <v>1.24</v>
          </cell>
          <cell r="I2230" t="str">
            <v>-</v>
          </cell>
        </row>
        <row r="2233">
          <cell r="A2233" t="str">
            <v>II.</v>
          </cell>
          <cell r="C2233" t="str">
            <v>URUTAN KERJA</v>
          </cell>
        </row>
        <row r="2234">
          <cell r="A2234">
            <v>1</v>
          </cell>
          <cell r="C2234" t="str">
            <v>Aspal yg dikeruk umumnya berada di badan jalan</v>
          </cell>
        </row>
        <row r="2235">
          <cell r="A2235">
            <v>2</v>
          </cell>
          <cell r="C2235" t="str">
            <v>Pengerukan dilakukan dengan Jack Hammer dan</v>
          </cell>
        </row>
        <row r="2236">
          <cell r="C2236" t="str">
            <v>dimuat ke dalam truck secara manual</v>
          </cell>
        </row>
        <row r="2237">
          <cell r="A2237">
            <v>3</v>
          </cell>
          <cell r="C2237" t="str">
            <v>Dump Truck membuang material hasil galian keluar</v>
          </cell>
        </row>
        <row r="2238">
          <cell r="C2238" t="str">
            <v>lokasi jalan sejauh :</v>
          </cell>
          <cell r="G2238" t="str">
            <v>L</v>
          </cell>
          <cell r="H2238">
            <v>5</v>
          </cell>
          <cell r="I2238" t="str">
            <v>Km</v>
          </cell>
        </row>
        <row r="2242">
          <cell r="A2242" t="str">
            <v>III.</v>
          </cell>
          <cell r="C2242" t="str">
            <v>PEMAKAIAN BAHAN, ALAT DAN TENAGA</v>
          </cell>
        </row>
        <row r="2244">
          <cell r="A2244" t="str">
            <v xml:space="preserve">   1.</v>
          </cell>
          <cell r="C2244" t="str">
            <v>BAHAN</v>
          </cell>
        </row>
        <row r="2245">
          <cell r="C2245" t="str">
            <v>Tidak ada bahan yang diperlukan</v>
          </cell>
        </row>
        <row r="2248">
          <cell r="A2248" t="str">
            <v xml:space="preserve">   2.</v>
          </cell>
          <cell r="C2248" t="str">
            <v>ALAT</v>
          </cell>
        </row>
        <row r="2249">
          <cell r="A2249" t="str">
            <v xml:space="preserve">   2.a.</v>
          </cell>
          <cell r="C2249" t="str">
            <v>JACK HAMMER, COMPRESSOR</v>
          </cell>
        </row>
        <row r="2250">
          <cell r="C2250" t="str">
            <v>Produksi per jam</v>
          </cell>
          <cell r="G2250" t="str">
            <v>Q1</v>
          </cell>
          <cell r="H2250">
            <v>1</v>
          </cell>
          <cell r="I2250" t="str">
            <v>M3 / Jam</v>
          </cell>
        </row>
        <row r="2252">
          <cell r="C2252" t="str">
            <v>Koefisien Alat / m3</v>
          </cell>
          <cell r="D2252" t="str">
            <v xml:space="preserve"> =  1  :  Q1</v>
          </cell>
          <cell r="H2252">
            <v>1</v>
          </cell>
          <cell r="I2252" t="str">
            <v>Jam</v>
          </cell>
        </row>
        <row r="2255">
          <cell r="A2255" t="str">
            <v xml:space="preserve">   2.b.</v>
          </cell>
          <cell r="C2255" t="str">
            <v>DUMP TRUCK</v>
          </cell>
          <cell r="G2255" t="str">
            <v>(E08)</v>
          </cell>
        </row>
        <row r="2256">
          <cell r="C2256" t="str">
            <v>Kapasitas bak</v>
          </cell>
          <cell r="G2256" t="str">
            <v>V</v>
          </cell>
          <cell r="H2256">
            <v>4</v>
          </cell>
          <cell r="I2256" t="str">
            <v>M3</v>
          </cell>
        </row>
        <row r="2257">
          <cell r="C2257" t="str">
            <v>Faktor  efisiensi alat</v>
          </cell>
          <cell r="G2257" t="str">
            <v>Fa</v>
          </cell>
          <cell r="H2257">
            <v>0.83</v>
          </cell>
          <cell r="I2257" t="str">
            <v>-</v>
          </cell>
        </row>
        <row r="2258">
          <cell r="C2258" t="str">
            <v>Kecepatan rata-rata bermuatan</v>
          </cell>
          <cell r="G2258" t="str">
            <v>v1</v>
          </cell>
          <cell r="H2258">
            <v>45</v>
          </cell>
          <cell r="I2258" t="str">
            <v>KM/Jam</v>
          </cell>
        </row>
        <row r="2259">
          <cell r="C2259" t="str">
            <v>Kecepatan rata-rata kosong</v>
          </cell>
          <cell r="G2259" t="str">
            <v>v2</v>
          </cell>
          <cell r="H2259">
            <v>60</v>
          </cell>
          <cell r="I2259" t="str">
            <v>KM/Jam</v>
          </cell>
        </row>
        <row r="2260">
          <cell r="C2260" t="str">
            <v>Waktu  siklus</v>
          </cell>
          <cell r="G2260" t="str">
            <v>Ts1</v>
          </cell>
          <cell r="I2260" t="str">
            <v>menit</v>
          </cell>
        </row>
        <row r="2261">
          <cell r="C2261" t="str">
            <v>- Waktu tempuh isi</v>
          </cell>
          <cell r="E2261" t="str">
            <v>=   (L  :  v1)  x  60</v>
          </cell>
          <cell r="G2261" t="str">
            <v>T1</v>
          </cell>
          <cell r="H2261">
            <v>6.6666666666666661</v>
          </cell>
          <cell r="I2261" t="str">
            <v>menit</v>
          </cell>
        </row>
        <row r="2262">
          <cell r="C2262" t="str">
            <v>- Waktu tempuh kosong</v>
          </cell>
          <cell r="E2262" t="str">
            <v>=   (L  :  v2)  x  60</v>
          </cell>
          <cell r="G2262" t="str">
            <v>T2</v>
          </cell>
          <cell r="H2262">
            <v>5</v>
          </cell>
          <cell r="I2262" t="str">
            <v>menit</v>
          </cell>
        </row>
        <row r="2263">
          <cell r="C2263" t="str">
            <v>- Muat</v>
          </cell>
          <cell r="E2263" t="str">
            <v>=   (V  :  Q1) x 60</v>
          </cell>
          <cell r="G2263" t="str">
            <v>T3</v>
          </cell>
          <cell r="H2263">
            <v>240</v>
          </cell>
          <cell r="I2263" t="str">
            <v>menit</v>
          </cell>
        </row>
        <row r="2264">
          <cell r="C2264" t="str">
            <v>- Lain-lain</v>
          </cell>
          <cell r="G2264" t="str">
            <v>T4</v>
          </cell>
          <cell r="H2264">
            <v>2</v>
          </cell>
          <cell r="I2264" t="str">
            <v>menit</v>
          </cell>
        </row>
        <row r="2265">
          <cell r="G2265" t="str">
            <v>Ts1</v>
          </cell>
          <cell r="H2265">
            <v>253.66666666666666</v>
          </cell>
          <cell r="I2265" t="str">
            <v>menit</v>
          </cell>
        </row>
        <row r="2268">
          <cell r="C2268" t="str">
            <v>Kapasitas Produksi / Jam   =</v>
          </cell>
          <cell r="E2268" t="str">
            <v>V x Fa x 60</v>
          </cell>
          <cell r="G2268" t="str">
            <v>Q2</v>
          </cell>
          <cell r="H2268">
            <v>0.63329235725488531</v>
          </cell>
          <cell r="I2268" t="str">
            <v xml:space="preserve">M3 / Jam </v>
          </cell>
        </row>
        <row r="2269">
          <cell r="E2269" t="str">
            <v xml:space="preserve">    Fk x Ts1</v>
          </cell>
        </row>
        <row r="2272">
          <cell r="C2272" t="str">
            <v>Koefisien Alat / m3</v>
          </cell>
          <cell r="D2272" t="str">
            <v xml:space="preserve"> =  1  :  Q2</v>
          </cell>
          <cell r="G2272" t="str">
            <v>(E08)</v>
          </cell>
          <cell r="H2272">
            <v>1.5790495314591702</v>
          </cell>
          <cell r="I2272" t="str">
            <v>Jam</v>
          </cell>
        </row>
        <row r="2274">
          <cell r="C2274" t="str">
            <v/>
          </cell>
        </row>
        <row r="2275">
          <cell r="C2275" t="str">
            <v/>
          </cell>
        </row>
        <row r="2277">
          <cell r="J2277" t="str">
            <v>Berlanjut ke halaman berikut</v>
          </cell>
        </row>
        <row r="2278">
          <cell r="A2278" t="str">
            <v>ITEM PEMBAYARAN NO.</v>
          </cell>
          <cell r="D2278" t="str">
            <v>:  3.1.(8)</v>
          </cell>
          <cell r="J2278" t="str">
            <v>=T2272</v>
          </cell>
        </row>
        <row r="2279">
          <cell r="A2279" t="str">
            <v>JENIS PEKERJAAN</v>
          </cell>
          <cell r="D2279" t="str">
            <v>:  Pembongk Perk Beraspal tanpa Cold Milling Machine</v>
          </cell>
        </row>
        <row r="2280">
          <cell r="A2280" t="str">
            <v>SATUAN PEMBAYARAN</v>
          </cell>
          <cell r="D2280" t="str">
            <v>:  M3</v>
          </cell>
          <cell r="H2280" t="str">
            <v xml:space="preserve">         URAIAN ANALISA HARGA SATUAN</v>
          </cell>
        </row>
        <row r="2281">
          <cell r="J2281" t="str">
            <v>Lanjutan</v>
          </cell>
        </row>
        <row r="2283">
          <cell r="A2283" t="str">
            <v>No.</v>
          </cell>
          <cell r="C2283" t="str">
            <v>U R A I A N</v>
          </cell>
          <cell r="G2283" t="str">
            <v>KODE</v>
          </cell>
          <cell r="H2283" t="str">
            <v>KOEF.</v>
          </cell>
          <cell r="I2283" t="str">
            <v>SATUAN</v>
          </cell>
          <cell r="J2283" t="str">
            <v>KETERANGAN</v>
          </cell>
        </row>
        <row r="2286">
          <cell r="A2286" t="str">
            <v xml:space="preserve"> 2.c</v>
          </cell>
          <cell r="C2286" t="str">
            <v>ALAT  BANTU</v>
          </cell>
        </row>
        <row r="2287">
          <cell r="C2287" t="str">
            <v>Diperlukan alat-alat bantu kecil</v>
          </cell>
          <cell r="J2287" t="str">
            <v>Lump Sump</v>
          </cell>
        </row>
        <row r="2288">
          <cell r="C2288" t="str">
            <v>- Sekop</v>
          </cell>
          <cell r="D2288" t="str">
            <v>= 2 buah</v>
          </cell>
        </row>
        <row r="2289">
          <cell r="C2289" t="str">
            <v>- Kereta Sorong</v>
          </cell>
          <cell r="D2289" t="str">
            <v>= 2 buah</v>
          </cell>
        </row>
        <row r="2291">
          <cell r="A2291" t="str">
            <v xml:space="preserve">   3.</v>
          </cell>
          <cell r="C2291" t="str">
            <v>TENAGA</v>
          </cell>
        </row>
        <row r="2292">
          <cell r="C2292" t="str">
            <v>Produksi menentukan : Jack Hammer</v>
          </cell>
          <cell r="G2292" t="str">
            <v>Q1</v>
          </cell>
          <cell r="H2292">
            <v>1</v>
          </cell>
          <cell r="I2292" t="str">
            <v>M3/Jam</v>
          </cell>
        </row>
        <row r="2293">
          <cell r="C2293" t="str">
            <v>Produksi Galian / hari  =  Tk x Q1</v>
          </cell>
          <cell r="G2293" t="str">
            <v>Qt</v>
          </cell>
          <cell r="H2293">
            <v>7</v>
          </cell>
          <cell r="I2293" t="str">
            <v>M3</v>
          </cell>
        </row>
        <row r="2294">
          <cell r="C2294" t="str">
            <v>Kebutuhan tenaga :</v>
          </cell>
        </row>
        <row r="2295">
          <cell r="D2295" t="str">
            <v>- Pekerja</v>
          </cell>
          <cell r="G2295" t="str">
            <v>P</v>
          </cell>
          <cell r="H2295">
            <v>2</v>
          </cell>
          <cell r="I2295" t="str">
            <v>orang</v>
          </cell>
        </row>
        <row r="2296">
          <cell r="D2296" t="str">
            <v>- Mandor</v>
          </cell>
          <cell r="G2296" t="str">
            <v>M</v>
          </cell>
          <cell r="H2296">
            <v>1</v>
          </cell>
          <cell r="I2296" t="str">
            <v>orang</v>
          </cell>
        </row>
        <row r="2298">
          <cell r="C2298" t="str">
            <v>Koefisien tenaga / M3   :</v>
          </cell>
        </row>
        <row r="2299">
          <cell r="D2299" t="str">
            <v>- Pekerja</v>
          </cell>
          <cell r="E2299" t="str">
            <v>= (Tk x P) : Qt</v>
          </cell>
          <cell r="G2299" t="str">
            <v>(L01)</v>
          </cell>
          <cell r="H2299">
            <v>2</v>
          </cell>
          <cell r="I2299" t="str">
            <v>Jam</v>
          </cell>
        </row>
        <row r="2300">
          <cell r="D2300" t="str">
            <v>- Mandor</v>
          </cell>
          <cell r="E2300" t="str">
            <v>= (Tk x M) : Qt</v>
          </cell>
          <cell r="G2300" t="str">
            <v>(L03)</v>
          </cell>
          <cell r="H2300">
            <v>1</v>
          </cell>
          <cell r="I2300" t="str">
            <v>Jam</v>
          </cell>
        </row>
        <row r="2302">
          <cell r="A2302" t="str">
            <v>4.</v>
          </cell>
          <cell r="C2302" t="str">
            <v>HARGA DASAR SATUAN UPAH, BAHAN DAN ALAT</v>
          </cell>
        </row>
        <row r="2303">
          <cell r="C2303" t="str">
            <v>Lihat lampiran.</v>
          </cell>
        </row>
        <row r="2305">
          <cell r="A2305" t="str">
            <v>5.</v>
          </cell>
          <cell r="C2305" t="str">
            <v>ANALISA HARGA SATUAN PEKERJAAN</v>
          </cell>
        </row>
        <row r="2306">
          <cell r="C2306" t="str">
            <v>Lihat perhitungan dalam FORMULIR STANDAR UNTUK</v>
          </cell>
        </row>
        <row r="2307">
          <cell r="C2307" t="str">
            <v>PEREKEMAN ANALISA MASING-MASING HARGA</v>
          </cell>
        </row>
        <row r="2308">
          <cell r="C2308" t="str">
            <v>SATUAN.</v>
          </cell>
        </row>
        <row r="2309">
          <cell r="C2309" t="str">
            <v>Didapat Harga Satuan Pekerjaan :</v>
          </cell>
        </row>
        <row r="2311">
          <cell r="C2311" t="str">
            <v xml:space="preserve">Rp.  </v>
          </cell>
          <cell r="D2311">
            <v>1633771.8260014895</v>
          </cell>
          <cell r="E2311" t="str">
            <v xml:space="preserve"> / M2</v>
          </cell>
        </row>
        <row r="2314">
          <cell r="A2314" t="str">
            <v>6.</v>
          </cell>
          <cell r="C2314" t="str">
            <v>WAKTU PELAKSANAAN YANG DIPERLUKAN</v>
          </cell>
        </row>
        <row r="2315">
          <cell r="C2315" t="str">
            <v>Masa Pelaksanaan :</v>
          </cell>
          <cell r="D2315" t="str">
            <v>. . . . . . . . . . . .</v>
          </cell>
          <cell r="E2315" t="str">
            <v>bulan</v>
          </cell>
        </row>
        <row r="2317">
          <cell r="A2317" t="str">
            <v>7.</v>
          </cell>
          <cell r="C2317" t="str">
            <v>VOLUME PEKERJAAN YANG DIPERLUKAN</v>
          </cell>
        </row>
        <row r="2318">
          <cell r="C2318" t="str">
            <v>Volume pekerjaan  :</v>
          </cell>
          <cell r="D2318">
            <v>0</v>
          </cell>
          <cell r="E2318" t="str">
            <v>M3</v>
          </cell>
        </row>
        <row r="2335">
          <cell r="A2335" t="str">
            <v>ITEM PEMBAYARAN NO.</v>
          </cell>
          <cell r="D2335" t="str">
            <v xml:space="preserve">:  3.4 </v>
          </cell>
          <cell r="J2335" t="str">
            <v>Analisa EI-312</v>
          </cell>
          <cell r="T2335" t="str">
            <v>Analisa EI-312</v>
          </cell>
        </row>
        <row r="2336">
          <cell r="A2336" t="str">
            <v>JENIS PEKERJAAN</v>
          </cell>
          <cell r="D2336" t="str">
            <v>:  Pengupasan Permukaan Aspal Lama dan Pencampuran Kembali</v>
          </cell>
        </row>
        <row r="2337">
          <cell r="A2337" t="str">
            <v>SATUAN PEMBAYARAN</v>
          </cell>
          <cell r="D2337" t="str">
            <v>:  M2</v>
          </cell>
          <cell r="H2337" t="str">
            <v xml:space="preserve">         URAIAN ANALISA HARGA SATUAN</v>
          </cell>
          <cell r="L2337" t="str">
            <v>FORMULIR STANDAR UNTUK</v>
          </cell>
        </row>
        <row r="2338">
          <cell r="L2338" t="str">
            <v>PEREKAMAN ANALISA MASING-MASING HARGA SATUAN</v>
          </cell>
        </row>
        <row r="2339">
          <cell r="L2339" t="str">
            <v/>
          </cell>
        </row>
        <row r="2340">
          <cell r="A2340" t="str">
            <v>No.</v>
          </cell>
          <cell r="C2340" t="str">
            <v>U R A I A N</v>
          </cell>
          <cell r="G2340" t="str">
            <v>KODE</v>
          </cell>
          <cell r="H2340" t="str">
            <v>KOEF.</v>
          </cell>
          <cell r="I2340" t="str">
            <v>SATUAN</v>
          </cell>
          <cell r="J2340" t="str">
            <v>KETERANGAN</v>
          </cell>
        </row>
        <row r="2342">
          <cell r="L2342" t="str">
            <v>PROYEK</v>
          </cell>
          <cell r="O2342" t="str">
            <v>:</v>
          </cell>
        </row>
        <row r="2343">
          <cell r="A2343" t="str">
            <v>I.</v>
          </cell>
          <cell r="C2343" t="str">
            <v>ASUMSI</v>
          </cell>
          <cell r="L2343" t="str">
            <v>No. PAKET KONTRAK</v>
          </cell>
          <cell r="O2343" t="str">
            <v>:</v>
          </cell>
        </row>
        <row r="2344">
          <cell r="A2344">
            <v>1</v>
          </cell>
          <cell r="C2344" t="str">
            <v>Pekerjaan dilakukan secara mekananik</v>
          </cell>
          <cell r="L2344" t="str">
            <v>NAMA PAKET</v>
          </cell>
          <cell r="O2344" t="str">
            <v>:</v>
          </cell>
        </row>
        <row r="2345">
          <cell r="A2345">
            <v>2</v>
          </cell>
          <cell r="C2345" t="str">
            <v>Lokasi pekerjaan : sepanjang jalan</v>
          </cell>
          <cell r="L2345" t="str">
            <v>PROP / KAB / KODYA</v>
          </cell>
          <cell r="O2345" t="str">
            <v>:</v>
          </cell>
        </row>
        <row r="2346">
          <cell r="A2346">
            <v>3</v>
          </cell>
          <cell r="C2346" t="str">
            <v>Kondisi Jalan   :  sedang / baik</v>
          </cell>
          <cell r="L2346" t="str">
            <v>ITEM PEMBAYARAN NO.</v>
          </cell>
          <cell r="O2346" t="str">
            <v xml:space="preserve">:  3.4 </v>
          </cell>
          <cell r="R2346" t="str">
            <v>PERKIRAAN VOL. PEK.</v>
          </cell>
          <cell r="T2346" t="str">
            <v>:</v>
          </cell>
          <cell r="U2346">
            <v>0</v>
          </cell>
        </row>
        <row r="2347">
          <cell r="A2347">
            <v>4</v>
          </cell>
          <cell r="C2347" t="str">
            <v>Jam kerja efektif per-hari</v>
          </cell>
          <cell r="G2347" t="str">
            <v>Tk</v>
          </cell>
          <cell r="H2347">
            <v>7</v>
          </cell>
          <cell r="I2347" t="str">
            <v>Jam</v>
          </cell>
          <cell r="L2347" t="str">
            <v>JENIS PEKERJAAN</v>
          </cell>
          <cell r="O2347" t="str">
            <v>:  Pengupasan Permukaan Aspal Lama dan Pencampuran Kembali</v>
          </cell>
          <cell r="R2347" t="str">
            <v>TOTAL HARGA (Rp.)</v>
          </cell>
          <cell r="T2347" t="str">
            <v>:</v>
          </cell>
          <cell r="U2347">
            <v>0</v>
          </cell>
        </row>
        <row r="2348">
          <cell r="A2348">
            <v>5</v>
          </cell>
          <cell r="C2348" t="str">
            <v>Faktor pengembangan bahan</v>
          </cell>
          <cell r="G2348" t="str">
            <v>Fk</v>
          </cell>
          <cell r="H2348">
            <v>1.24</v>
          </cell>
          <cell r="I2348" t="str">
            <v>-</v>
          </cell>
          <cell r="L2348" t="str">
            <v>SATUAN PEMBAYARAN</v>
          </cell>
          <cell r="O2348" t="str">
            <v>:  M2</v>
          </cell>
          <cell r="R2348" t="str">
            <v>% THD. BIAYA PROYEK</v>
          </cell>
          <cell r="T2348" t="str">
            <v>:</v>
          </cell>
          <cell r="U2348" t="e">
            <v>#DIV/0!</v>
          </cell>
        </row>
        <row r="2349">
          <cell r="A2349">
            <v>6</v>
          </cell>
          <cell r="C2349" t="str">
            <v>Tebal penggaruan 15 cm</v>
          </cell>
        </row>
        <row r="2351">
          <cell r="A2351" t="str">
            <v>II.</v>
          </cell>
          <cell r="C2351" t="str">
            <v>URUTAN KERJA</v>
          </cell>
          <cell r="Q2351" t="str">
            <v>PERKIRAAN</v>
          </cell>
          <cell r="R2351" t="str">
            <v>HARGA</v>
          </cell>
          <cell r="S2351" t="str">
            <v>JUMLAH</v>
          </cell>
        </row>
        <row r="2352">
          <cell r="A2352">
            <v>1</v>
          </cell>
          <cell r="C2352" t="str">
            <v>Penggaruan perkerasan dengan alat cold recycler</v>
          </cell>
          <cell r="L2352" t="str">
            <v>NO.</v>
          </cell>
          <cell r="N2352" t="str">
            <v>KOMPONEN</v>
          </cell>
          <cell r="P2352" t="str">
            <v>SATUAN</v>
          </cell>
          <cell r="Q2352" t="str">
            <v>KUANTITAS</v>
          </cell>
          <cell r="R2352" t="str">
            <v>SATUAN</v>
          </cell>
          <cell r="S2352" t="str">
            <v>HARGA</v>
          </cell>
        </row>
        <row r="2353">
          <cell r="A2353">
            <v>2</v>
          </cell>
          <cell r="C2353" t="str">
            <v xml:space="preserve">Pencampuran kembali dengan bahan pengikat di dalam </v>
          </cell>
          <cell r="R2353" t="str">
            <v>(Rp.)</v>
          </cell>
          <cell r="S2353" t="str">
            <v>(Rp.)</v>
          </cell>
        </row>
        <row r="2354">
          <cell r="C2354" t="str">
            <v>cold recycler</v>
          </cell>
        </row>
        <row r="2355">
          <cell r="A2355">
            <v>3</v>
          </cell>
          <cell r="C2355" t="str">
            <v>Penghamparan langsung dari alat cold recycler</v>
          </cell>
        </row>
        <row r="2356">
          <cell r="A2356">
            <v>4</v>
          </cell>
          <cell r="C2356" t="str">
            <v>Pemadatan dengan alat pemadat tandem roller</v>
          </cell>
          <cell r="G2356" t="str">
            <v/>
          </cell>
          <cell r="H2356" t="str">
            <v/>
          </cell>
          <cell r="I2356" t="str">
            <v/>
          </cell>
          <cell r="L2356" t="str">
            <v>A.</v>
          </cell>
          <cell r="N2356" t="str">
            <v>TENAGA</v>
          </cell>
        </row>
        <row r="2358">
          <cell r="L2358" t="str">
            <v>1.</v>
          </cell>
          <cell r="N2358" t="str">
            <v>Pekerja</v>
          </cell>
          <cell r="O2358" t="str">
            <v>(L01)</v>
          </cell>
          <cell r="P2358" t="str">
            <v>Jam</v>
          </cell>
          <cell r="Q2358">
            <v>2</v>
          </cell>
          <cell r="R2358">
            <v>2857.14</v>
          </cell>
          <cell r="U2358">
            <v>5714.28</v>
          </cell>
        </row>
        <row r="2359">
          <cell r="L2359" t="str">
            <v>2.</v>
          </cell>
          <cell r="N2359" t="str">
            <v>Mandor</v>
          </cell>
          <cell r="O2359" t="str">
            <v>(L03)</v>
          </cell>
          <cell r="P2359" t="str">
            <v>Jam</v>
          </cell>
          <cell r="Q2359">
            <v>0.5</v>
          </cell>
          <cell r="R2359">
            <v>3214.29</v>
          </cell>
          <cell r="U2359">
            <v>1607.145</v>
          </cell>
        </row>
        <row r="2360">
          <cell r="A2360" t="str">
            <v>III.</v>
          </cell>
          <cell r="C2360" t="str">
            <v>PEMAKAIAN BAHAN, ALAT DAN TENAGA</v>
          </cell>
        </row>
        <row r="2362">
          <cell r="A2362" t="str">
            <v xml:space="preserve">   1.</v>
          </cell>
          <cell r="C2362" t="str">
            <v>BAHAN</v>
          </cell>
          <cell r="Q2362" t="str">
            <v xml:space="preserve">JUMLAH HARGA TENAGA   </v>
          </cell>
          <cell r="U2362">
            <v>7321.4249999999993</v>
          </cell>
        </row>
        <row r="2363">
          <cell r="C2363" t="str">
            <v xml:space="preserve">Bahan pengikat (semen, aspal dan air) </v>
          </cell>
        </row>
        <row r="2364">
          <cell r="C2364" t="str">
            <v>- semen</v>
          </cell>
          <cell r="D2364">
            <v>0.06</v>
          </cell>
          <cell r="L2364" t="str">
            <v>B.</v>
          </cell>
          <cell r="N2364" t="str">
            <v>BAHAN</v>
          </cell>
        </row>
        <row r="2365">
          <cell r="C2365" t="str">
            <v>- aspal</v>
          </cell>
          <cell r="D2365">
            <v>0.03</v>
          </cell>
        </row>
        <row r="2366">
          <cell r="C2366" t="str">
            <v>- air</v>
          </cell>
        </row>
        <row r="2368">
          <cell r="A2368" t="str">
            <v xml:space="preserve">   2.</v>
          </cell>
          <cell r="C2368" t="str">
            <v>ALAT</v>
          </cell>
        </row>
        <row r="2369">
          <cell r="A2369" t="str">
            <v xml:space="preserve">   2.a.</v>
          </cell>
          <cell r="C2369" t="str">
            <v>COLD RECYCLER</v>
          </cell>
          <cell r="J2369" t="str">
            <v xml:space="preserve"> (E05/26/10/15)</v>
          </cell>
        </row>
        <row r="2370">
          <cell r="C2370" t="str">
            <v>Produksi per jam</v>
          </cell>
          <cell r="G2370" t="str">
            <v>Q1</v>
          </cell>
          <cell r="H2370">
            <v>2</v>
          </cell>
          <cell r="I2370" t="str">
            <v>M3 / Jam</v>
          </cell>
        </row>
        <row r="2372">
          <cell r="C2372" t="str">
            <v>Koefisien Alat / m3</v>
          </cell>
          <cell r="D2372" t="str">
            <v xml:space="preserve"> =  1  :  Q1</v>
          </cell>
          <cell r="G2372" t="str">
            <v>(E05/26)</v>
          </cell>
          <cell r="H2372">
            <v>0.5</v>
          </cell>
          <cell r="I2372" t="str">
            <v>Jam</v>
          </cell>
        </row>
        <row r="2375">
          <cell r="A2375" t="str">
            <v xml:space="preserve">   2.b.</v>
          </cell>
          <cell r="C2375" t="str">
            <v>WATER TANKER</v>
          </cell>
          <cell r="G2375" t="str">
            <v>(E08)</v>
          </cell>
        </row>
        <row r="2378">
          <cell r="A2378" t="str">
            <v xml:space="preserve">   2.c.</v>
          </cell>
          <cell r="C2378" t="str">
            <v>ASPHALT TANKER</v>
          </cell>
        </row>
        <row r="2381">
          <cell r="A2381" t="str">
            <v xml:space="preserve">   2.d.</v>
          </cell>
          <cell r="C2381" t="str">
            <v>CEMENT TANKER</v>
          </cell>
        </row>
        <row r="2397">
          <cell r="J2397" t="str">
            <v>Berlanjut ke halaman berikut</v>
          </cell>
        </row>
        <row r="2398">
          <cell r="A2398" t="str">
            <v>ITEM PEMBAYARAN NO.</v>
          </cell>
          <cell r="D2398" t="str">
            <v xml:space="preserve">:  3.4 </v>
          </cell>
          <cell r="J2398" t="str">
            <v>Analisa EI-312</v>
          </cell>
        </row>
        <row r="2399">
          <cell r="A2399" t="str">
            <v>JENIS PEKERJAAN</v>
          </cell>
          <cell r="D2399" t="str">
            <v>:  Pengupasan Permukaan Aspal Lama dan Pencampuran Kembali</v>
          </cell>
        </row>
        <row r="2400">
          <cell r="A2400" t="str">
            <v>SATUAN PEMBAYARAN</v>
          </cell>
          <cell r="D2400" t="str">
            <v>:  M2</v>
          </cell>
          <cell r="H2400" t="str">
            <v xml:space="preserve">         URAIAN ANALISA HARGA SATUAN</v>
          </cell>
        </row>
        <row r="2401">
          <cell r="J2401" t="str">
            <v>Lanjutan</v>
          </cell>
        </row>
        <row r="2403">
          <cell r="A2403" t="str">
            <v>No.</v>
          </cell>
          <cell r="C2403" t="str">
            <v>U R A I A N</v>
          </cell>
          <cell r="G2403" t="str">
            <v>KODE</v>
          </cell>
          <cell r="H2403" t="str">
            <v>KOEF.</v>
          </cell>
          <cell r="I2403" t="str">
            <v>SATUAN</v>
          </cell>
          <cell r="J2403" t="str">
            <v>KETERANGAN</v>
          </cell>
        </row>
        <row r="2406">
          <cell r="A2406" t="str">
            <v xml:space="preserve">   3.</v>
          </cell>
          <cell r="C2406" t="str">
            <v>TENAGA</v>
          </cell>
        </row>
        <row r="2407">
          <cell r="C2407" t="str">
            <v>Produksi menentukan :COLD RECYCLER</v>
          </cell>
          <cell r="G2407" t="str">
            <v>Q1</v>
          </cell>
          <cell r="H2407">
            <v>2</v>
          </cell>
          <cell r="I2407" t="str">
            <v>M2/Jam</v>
          </cell>
        </row>
        <row r="2408">
          <cell r="C2408" t="str">
            <v>Produksi Galian / hari  =  Tk x Q1</v>
          </cell>
          <cell r="G2408" t="str">
            <v>Qt</v>
          </cell>
          <cell r="H2408">
            <v>14</v>
          </cell>
          <cell r="I2408" t="str">
            <v>M3</v>
          </cell>
        </row>
        <row r="2409">
          <cell r="C2409" t="str">
            <v>Kebutuhan tenaga :</v>
          </cell>
        </row>
        <row r="2410">
          <cell r="D2410" t="str">
            <v>- Pekerja</v>
          </cell>
          <cell r="G2410" t="str">
            <v>P</v>
          </cell>
          <cell r="H2410">
            <v>4</v>
          </cell>
          <cell r="I2410" t="str">
            <v>orang</v>
          </cell>
        </row>
        <row r="2411">
          <cell r="D2411" t="str">
            <v>- Mandor</v>
          </cell>
          <cell r="G2411" t="str">
            <v>M</v>
          </cell>
          <cell r="H2411">
            <v>1</v>
          </cell>
          <cell r="I2411" t="str">
            <v>orang</v>
          </cell>
        </row>
        <row r="2413">
          <cell r="C2413" t="str">
            <v>Koefisien tenaga / M3   :</v>
          </cell>
        </row>
        <row r="2414">
          <cell r="D2414" t="str">
            <v>- Pekerja</v>
          </cell>
          <cell r="E2414" t="str">
            <v>= (Tk x P) : Qt</v>
          </cell>
          <cell r="G2414" t="str">
            <v>(L01)</v>
          </cell>
          <cell r="H2414">
            <v>2</v>
          </cell>
          <cell r="I2414" t="str">
            <v>Jam</v>
          </cell>
        </row>
        <row r="2415">
          <cell r="D2415" t="str">
            <v>- Mandor</v>
          </cell>
          <cell r="E2415" t="str">
            <v>= (Tk x M) : Qt</v>
          </cell>
          <cell r="G2415" t="str">
            <v>(L03)</v>
          </cell>
          <cell r="H2415">
            <v>0.5</v>
          </cell>
          <cell r="I2415" t="str">
            <v>Jam</v>
          </cell>
        </row>
        <row r="2417">
          <cell r="A2417" t="str">
            <v>4.</v>
          </cell>
          <cell r="C2417" t="str">
            <v>HARGA DASAR SATUAN UPAH, BAHAN DAN ALAT</v>
          </cell>
        </row>
        <row r="2418">
          <cell r="C2418" t="str">
            <v>Lihat lampiran.</v>
          </cell>
        </row>
        <row r="2420">
          <cell r="A2420" t="str">
            <v>5.</v>
          </cell>
          <cell r="C2420" t="str">
            <v>ANALISA HARGA SATUAN PEKERJAAN</v>
          </cell>
        </row>
        <row r="2421">
          <cell r="C2421" t="str">
            <v>Lihat perhitungan dalam FORMULIR STANDAR UNTUK</v>
          </cell>
        </row>
        <row r="2422">
          <cell r="C2422" t="str">
            <v>PEREKEMAN ANALISA MASING-MASING HARGA</v>
          </cell>
        </row>
        <row r="2423">
          <cell r="C2423" t="str">
            <v>SATUAN.</v>
          </cell>
        </row>
        <row r="2424">
          <cell r="C2424" t="str">
            <v>Didapat Harga Satuan Pekerjaan :</v>
          </cell>
        </row>
        <row r="2426">
          <cell r="C2426" t="str">
            <v xml:space="preserve">Rp.  </v>
          </cell>
          <cell r="D2426">
            <v>8053.5674999999992</v>
          </cell>
          <cell r="E2426" t="str">
            <v xml:space="preserve"> / M3</v>
          </cell>
        </row>
        <row r="2429">
          <cell r="A2429" t="str">
            <v>6.</v>
          </cell>
          <cell r="C2429" t="str">
            <v>WAKTU PELAKSANAAN YANG DIPERLUKAN</v>
          </cell>
        </row>
        <row r="2430">
          <cell r="C2430" t="str">
            <v>Masa Pelaksanaan :</v>
          </cell>
          <cell r="D2430" t="str">
            <v>. . . . . . . . . . . .</v>
          </cell>
          <cell r="E2430" t="str">
            <v>bulan</v>
          </cell>
        </row>
        <row r="2432">
          <cell r="A2432" t="str">
            <v>7.</v>
          </cell>
          <cell r="C2432" t="str">
            <v>VOLUME PEKERJAAN YANG DIPERLUKAN</v>
          </cell>
        </row>
        <row r="2433">
          <cell r="C2433" t="str">
            <v>Volume pekerjaan  :</v>
          </cell>
          <cell r="D2433">
            <v>0</v>
          </cell>
          <cell r="E2433" t="str">
            <v>M3</v>
          </cell>
        </row>
        <row r="2452">
          <cell r="N2452" t="str">
            <v>yang dibayar dari kontrak) dan biaya-biaya lainnya.</v>
          </cell>
        </row>
        <row r="2453">
          <cell r="A2453" t="str">
            <v>ITEM PEMBAYARAN NO.</v>
          </cell>
          <cell r="D2453" t="str">
            <v>:  3.2 (4)</v>
          </cell>
          <cell r="J2453">
            <v>0</v>
          </cell>
          <cell r="T2453" t="str">
            <v>Analisa EI-322</v>
          </cell>
        </row>
        <row r="2454">
          <cell r="A2454" t="str">
            <v>JENIS PEKERJAAN</v>
          </cell>
          <cell r="D2454" t="str">
            <v xml:space="preserve">:  Timbunan Batu dengan Manual </v>
          </cell>
        </row>
        <row r="2455">
          <cell r="A2455" t="str">
            <v>SATUAN PEMBAYARAN</v>
          </cell>
          <cell r="D2455" t="str">
            <v>:  M3</v>
          </cell>
          <cell r="E2455" t="str">
            <v/>
          </cell>
          <cell r="H2455" t="str">
            <v xml:space="preserve">         URAIAN ANALISA HARGA SATUAN</v>
          </cell>
          <cell r="L2455" t="str">
            <v>FORMULIR STANDAR UNTUK</v>
          </cell>
        </row>
        <row r="2456">
          <cell r="L2456" t="str">
            <v>PEREKAMAN ANALISA MASING-MASING HARGA SATUAN</v>
          </cell>
        </row>
        <row r="2457">
          <cell r="L2457" t="str">
            <v/>
          </cell>
        </row>
        <row r="2458">
          <cell r="A2458" t="str">
            <v>No.</v>
          </cell>
          <cell r="C2458" t="str">
            <v>U R A I A N</v>
          </cell>
          <cell r="G2458" t="str">
            <v>KODE</v>
          </cell>
          <cell r="H2458" t="str">
            <v>KOEF.</v>
          </cell>
          <cell r="I2458" t="str">
            <v>SATUAN</v>
          </cell>
          <cell r="J2458" t="str">
            <v>KETERANGAN</v>
          </cell>
        </row>
        <row r="2460">
          <cell r="L2460" t="str">
            <v>PROYEK</v>
          </cell>
          <cell r="O2460" t="str">
            <v>:</v>
          </cell>
        </row>
        <row r="2461">
          <cell r="A2461" t="str">
            <v>I.</v>
          </cell>
          <cell r="C2461" t="str">
            <v>ASUMSI</v>
          </cell>
          <cell r="L2461" t="str">
            <v>No. PAKET KONTRAK</v>
          </cell>
          <cell r="O2461" t="str">
            <v>:</v>
          </cell>
        </row>
        <row r="2462">
          <cell r="A2462">
            <v>1</v>
          </cell>
          <cell r="C2462" t="str">
            <v>Pekerjaan dilakukan secara manual</v>
          </cell>
          <cell r="L2462" t="str">
            <v>NAMA PAKET</v>
          </cell>
          <cell r="O2462" t="str">
            <v>:</v>
          </cell>
        </row>
        <row r="2463">
          <cell r="A2463">
            <v>2</v>
          </cell>
          <cell r="C2463" t="str">
            <v>Lokasi pekerjaan : sepanjang jalan</v>
          </cell>
          <cell r="L2463" t="str">
            <v>PROP / KAB / KODYA</v>
          </cell>
          <cell r="O2463" t="str">
            <v>:</v>
          </cell>
        </row>
        <row r="2464">
          <cell r="A2464">
            <v>3</v>
          </cell>
          <cell r="C2464" t="str">
            <v>Kondisi Jalan   :  sedang / baik</v>
          </cell>
          <cell r="L2464" t="str">
            <v>ITEM PEMBAYARAN NO.</v>
          </cell>
          <cell r="O2464" t="str">
            <v>:  3.2 (4)</v>
          </cell>
          <cell r="R2464" t="str">
            <v>PERKIRAAN VOL. PEK.</v>
          </cell>
          <cell r="T2464" t="str">
            <v>:</v>
          </cell>
          <cell r="U2464">
            <v>1</v>
          </cell>
        </row>
        <row r="2465">
          <cell r="A2465">
            <v>4</v>
          </cell>
          <cell r="C2465" t="str">
            <v>Jam kerja efektif per-hari</v>
          </cell>
          <cell r="G2465" t="str">
            <v>Tk</v>
          </cell>
          <cell r="H2465">
            <v>7</v>
          </cell>
          <cell r="I2465" t="str">
            <v>Jam</v>
          </cell>
          <cell r="L2465" t="str">
            <v>JENIS PEKERJAAN</v>
          </cell>
          <cell r="O2465" t="str">
            <v xml:space="preserve">:  Timbunan Batu dengan Manual </v>
          </cell>
          <cell r="R2465" t="str">
            <v>TOTAL HARGA (Rp.)</v>
          </cell>
          <cell r="T2465" t="str">
            <v>:</v>
          </cell>
          <cell r="U2465">
            <v>263185.3</v>
          </cell>
        </row>
        <row r="2466">
          <cell r="A2466">
            <v>5</v>
          </cell>
          <cell r="C2466" t="str">
            <v>Faktor pengembangan bahan</v>
          </cell>
          <cell r="G2466" t="str">
            <v>Fk</v>
          </cell>
          <cell r="H2466">
            <v>1.24</v>
          </cell>
          <cell r="I2466" t="str">
            <v>-</v>
          </cell>
          <cell r="L2466" t="str">
            <v>SATUAN PEMBAYARAN</v>
          </cell>
          <cell r="O2466" t="str">
            <v>:  M3</v>
          </cell>
          <cell r="P2466" t="str">
            <v/>
          </cell>
          <cell r="R2466" t="str">
            <v>% THD. BIAYA PROYEK</v>
          </cell>
          <cell r="T2466" t="str">
            <v>:</v>
          </cell>
          <cell r="U2466" t="e">
            <v>#DIV/0!</v>
          </cell>
        </row>
        <row r="2467">
          <cell r="A2467">
            <v>6</v>
          </cell>
          <cell r="C2467" t="str">
            <v>Tebal hamparan padat</v>
          </cell>
          <cell r="G2467" t="str">
            <v>t</v>
          </cell>
          <cell r="H2467">
            <v>0.45</v>
          </cell>
          <cell r="I2467" t="str">
            <v>M</v>
          </cell>
        </row>
        <row r="2469">
          <cell r="A2469" t="str">
            <v>II.</v>
          </cell>
          <cell r="C2469" t="str">
            <v>URUTAN KERJA</v>
          </cell>
          <cell r="Q2469" t="str">
            <v>PERKIRAAN</v>
          </cell>
          <cell r="R2469" t="str">
            <v>HARGA</v>
          </cell>
          <cell r="S2469" t="str">
            <v>JUMLAH</v>
          </cell>
        </row>
        <row r="2470">
          <cell r="A2470">
            <v>1</v>
          </cell>
          <cell r="C2470" t="str">
            <v>Whell Loader memuat batu ke dalam Dump Truck</v>
          </cell>
          <cell r="L2470" t="str">
            <v>NO.</v>
          </cell>
          <cell r="N2470" t="str">
            <v>KOMPONEN</v>
          </cell>
          <cell r="P2470" t="str">
            <v>SATUAN</v>
          </cell>
          <cell r="Q2470" t="str">
            <v>KUANTITAS</v>
          </cell>
          <cell r="R2470" t="str">
            <v>SATUAN</v>
          </cell>
          <cell r="S2470" t="str">
            <v>HARGA</v>
          </cell>
        </row>
        <row r="2471">
          <cell r="A2471">
            <v>2</v>
          </cell>
          <cell r="C2471" t="str">
            <v>Dump Truck mengangkut ke lapangan dengan jarak</v>
          </cell>
          <cell r="R2471" t="str">
            <v>(Rp.)</v>
          </cell>
          <cell r="S2471" t="str">
            <v>(Rp.)</v>
          </cell>
        </row>
        <row r="2472">
          <cell r="C2472" t="str">
            <v>quari ke lapangan</v>
          </cell>
          <cell r="G2472" t="str">
            <v>L</v>
          </cell>
          <cell r="H2472">
            <v>80.61</v>
          </cell>
          <cell r="I2472" t="str">
            <v>Km</v>
          </cell>
        </row>
        <row r="2473">
          <cell r="A2473">
            <v>3</v>
          </cell>
          <cell r="C2473" t="str">
            <v>Material Timbunan Batu dihampar secara Manual</v>
          </cell>
        </row>
        <row r="2474">
          <cell r="A2474">
            <v>4</v>
          </cell>
          <cell r="C2474" t="str">
            <v>Hamparan batu dipadatkan menggunakan Vibratory</v>
          </cell>
        </row>
        <row r="2475">
          <cell r="C2475" t="str">
            <v>Roller</v>
          </cell>
        </row>
        <row r="2476">
          <cell r="A2476">
            <v>5</v>
          </cell>
          <cell r="C2476" t="str">
            <v>Agregat pengunci dihampar dari Dump Truck, diratakan</v>
          </cell>
        </row>
        <row r="2477">
          <cell r="C2477" t="str">
            <v>menggunakan Bulldozer</v>
          </cell>
        </row>
        <row r="2478">
          <cell r="A2478">
            <v>6</v>
          </cell>
          <cell r="C2478" t="str">
            <v>Hamparan material dipadatkan menggunakan Vibratory</v>
          </cell>
          <cell r="L2478" t="str">
            <v>A.</v>
          </cell>
          <cell r="N2478" t="str">
            <v>TENAGA</v>
          </cell>
        </row>
        <row r="2479">
          <cell r="C2479" t="str">
            <v>Roller</v>
          </cell>
        </row>
        <row r="2480">
          <cell r="C2480" t="str">
            <v/>
          </cell>
          <cell r="L2480" t="str">
            <v>1.</v>
          </cell>
          <cell r="N2480" t="str">
            <v>Pekerja</v>
          </cell>
          <cell r="O2480" t="str">
            <v>(L01)</v>
          </cell>
          <cell r="P2480" t="str">
            <v>Jam</v>
          </cell>
          <cell r="Q2480">
            <v>0.14755317566562548</v>
          </cell>
          <cell r="R2480">
            <v>2857.14</v>
          </cell>
          <cell r="U2480">
            <v>421.58008032128515</v>
          </cell>
        </row>
        <row r="2481">
          <cell r="A2481">
            <v>7</v>
          </cell>
          <cell r="C2481" t="str">
            <v>Selama pemadatan sekelompok pekerja  akan</v>
          </cell>
          <cell r="L2481" t="str">
            <v>2.</v>
          </cell>
          <cell r="N2481" t="str">
            <v>Mandor</v>
          </cell>
          <cell r="O2481" t="str">
            <v>(L02)</v>
          </cell>
          <cell r="P2481" t="str">
            <v>Jam</v>
          </cell>
          <cell r="Q2481">
            <v>1.8444146958203185E-2</v>
          </cell>
          <cell r="R2481">
            <v>3214.29</v>
          </cell>
          <cell r="U2481">
            <v>59.284837126282916</v>
          </cell>
        </row>
        <row r="2482">
          <cell r="C2482" t="str">
            <v>merapikan tepi hamparan dan level permukaan</v>
          </cell>
        </row>
        <row r="2483">
          <cell r="C2483" t="str">
            <v>dengan menggunakan alat bantu</v>
          </cell>
        </row>
        <row r="2484">
          <cell r="Q2484" t="str">
            <v xml:space="preserve">JUMLAH HARGA TENAGA   </v>
          </cell>
          <cell r="U2484">
            <v>480.86491744756808</v>
          </cell>
        </row>
        <row r="2485">
          <cell r="A2485" t="str">
            <v>III.</v>
          </cell>
          <cell r="C2485" t="str">
            <v>PEMAKAIAN BAHAN, ALAT DAN TENAGA</v>
          </cell>
        </row>
        <row r="2486">
          <cell r="A2486" t="str">
            <v xml:space="preserve">   1.</v>
          </cell>
          <cell r="C2486" t="str">
            <v>BAHAN</v>
          </cell>
          <cell r="L2486" t="str">
            <v>B.</v>
          </cell>
          <cell r="N2486" t="str">
            <v>BAHAN</v>
          </cell>
        </row>
        <row r="2487">
          <cell r="A2487" t="str">
            <v>1.a.</v>
          </cell>
          <cell r="C2487" t="str">
            <v>Bahan timbunan</v>
          </cell>
          <cell r="D2487" t="str">
            <v xml:space="preserve"> =  1 x  Fk</v>
          </cell>
          <cell r="G2487" t="str">
            <v>(M08)</v>
          </cell>
          <cell r="H2487">
            <v>1.24</v>
          </cell>
          <cell r="I2487" t="str">
            <v>M3</v>
          </cell>
          <cell r="J2487" t="str">
            <v xml:space="preserve"> Borrow Pit</v>
          </cell>
        </row>
        <row r="2489">
          <cell r="A2489" t="str">
            <v xml:space="preserve">   2.</v>
          </cell>
          <cell r="C2489" t="str">
            <v>ALAT</v>
          </cell>
        </row>
        <row r="2490">
          <cell r="A2490" t="str">
            <v>2.a.</v>
          </cell>
          <cell r="C2490" t="str">
            <v>WHELL  LOADER</v>
          </cell>
          <cell r="G2490" t="str">
            <v>(E15)</v>
          </cell>
        </row>
        <row r="2491">
          <cell r="C2491" t="str">
            <v>Kapasitas  Bucket</v>
          </cell>
          <cell r="G2491" t="str">
            <v>V</v>
          </cell>
          <cell r="H2491">
            <v>1.5</v>
          </cell>
          <cell r="I2491" t="str">
            <v>M3</v>
          </cell>
        </row>
        <row r="2492">
          <cell r="C2492" t="str">
            <v>Faktor Bucket</v>
          </cell>
          <cell r="G2492" t="str">
            <v>Fb</v>
          </cell>
          <cell r="H2492">
            <v>0.9</v>
          </cell>
          <cell r="I2492" t="str">
            <v>-</v>
          </cell>
        </row>
        <row r="2493">
          <cell r="C2493" t="str">
            <v>Faktor Efisiensi Alat</v>
          </cell>
          <cell r="G2493" t="str">
            <v>Fa</v>
          </cell>
          <cell r="H2493">
            <v>0.83</v>
          </cell>
          <cell r="I2493" t="str">
            <v>-</v>
          </cell>
        </row>
        <row r="2494">
          <cell r="C2494" t="str">
            <v>Waktu sklus</v>
          </cell>
          <cell r="G2494" t="str">
            <v>Ts1</v>
          </cell>
          <cell r="I2494" t="str">
            <v>menit</v>
          </cell>
        </row>
        <row r="2495">
          <cell r="C2495" t="str">
            <v>- Muat</v>
          </cell>
          <cell r="G2495" t="str">
            <v>T1</v>
          </cell>
          <cell r="H2495">
            <v>0.5</v>
          </cell>
          <cell r="I2495" t="str">
            <v>menit</v>
          </cell>
        </row>
        <row r="2496">
          <cell r="C2496" t="str">
            <v>- Lain-lain</v>
          </cell>
          <cell r="G2496" t="str">
            <v>T2</v>
          </cell>
          <cell r="H2496">
            <v>0.5</v>
          </cell>
          <cell r="I2496" t="str">
            <v>menit</v>
          </cell>
        </row>
        <row r="2497">
          <cell r="G2497" t="str">
            <v>Ts1</v>
          </cell>
          <cell r="H2497">
            <v>1</v>
          </cell>
          <cell r="I2497" t="str">
            <v>menit</v>
          </cell>
        </row>
        <row r="2499">
          <cell r="C2499" t="str">
            <v>Kapasitas Produksi / Jam =</v>
          </cell>
          <cell r="E2499" t="str">
            <v>V  x  Fb x Fa x 60</v>
          </cell>
          <cell r="G2499" t="str">
            <v>Q1</v>
          </cell>
          <cell r="H2499">
            <v>54.217741935483872</v>
          </cell>
          <cell r="I2499" t="str">
            <v>M3</v>
          </cell>
        </row>
        <row r="2500">
          <cell r="E2500" t="str">
            <v xml:space="preserve">      Fk x Ts1</v>
          </cell>
        </row>
        <row r="2502">
          <cell r="C2502" t="str">
            <v>Koefisienalat / M3</v>
          </cell>
          <cell r="D2502" t="str">
            <v xml:space="preserve"> =   1 : Q1</v>
          </cell>
          <cell r="G2502" t="str">
            <v>(E15)</v>
          </cell>
          <cell r="H2502">
            <v>1.8444146958203182E-2</v>
          </cell>
          <cell r="I2502" t="str">
            <v>Jam</v>
          </cell>
        </row>
        <row r="2504">
          <cell r="A2504" t="str">
            <v xml:space="preserve">   2.b.</v>
          </cell>
          <cell r="C2504" t="str">
            <v>DUMP TRUCK</v>
          </cell>
          <cell r="G2504" t="str">
            <v>(E08)</v>
          </cell>
        </row>
        <row r="2505">
          <cell r="C2505" t="str">
            <v>Kapasitas bak</v>
          </cell>
          <cell r="G2505" t="str">
            <v>V</v>
          </cell>
          <cell r="H2505">
            <v>6.666666666666667</v>
          </cell>
          <cell r="I2505" t="str">
            <v>M3</v>
          </cell>
        </row>
        <row r="2506">
          <cell r="C2506" t="str">
            <v>Faktor  efisiensi alat</v>
          </cell>
          <cell r="G2506" t="str">
            <v>Fa</v>
          </cell>
          <cell r="H2506">
            <v>0.83</v>
          </cell>
          <cell r="I2506" t="str">
            <v>-</v>
          </cell>
        </row>
        <row r="2507">
          <cell r="C2507" t="str">
            <v>Kecepatan rata-rata bermuatan</v>
          </cell>
          <cell r="G2507" t="str">
            <v>v1</v>
          </cell>
          <cell r="H2507">
            <v>40</v>
          </cell>
          <cell r="I2507" t="str">
            <v>KM/Jam</v>
          </cell>
        </row>
        <row r="2508">
          <cell r="C2508" t="str">
            <v>Kecepatan rata-rata kosong</v>
          </cell>
          <cell r="G2508" t="str">
            <v>v2</v>
          </cell>
          <cell r="H2508">
            <v>60</v>
          </cell>
          <cell r="I2508" t="str">
            <v>KM/Jam</v>
          </cell>
        </row>
        <row r="2509">
          <cell r="C2509" t="str">
            <v>Waktusiklus :</v>
          </cell>
          <cell r="G2509" t="str">
            <v>Ts2</v>
          </cell>
        </row>
        <row r="2510">
          <cell r="C2510" t="str">
            <v>-  Waktu tempuh isi   = (L : v1) x 60</v>
          </cell>
          <cell r="G2510" t="str">
            <v>T1</v>
          </cell>
          <cell r="H2510">
            <v>120.91499999999999</v>
          </cell>
          <cell r="I2510" t="str">
            <v>menit</v>
          </cell>
        </row>
        <row r="2511">
          <cell r="C2511" t="str">
            <v>-  Waktu tempuh kosong   = (L : v2) x 60</v>
          </cell>
          <cell r="G2511" t="str">
            <v>T2</v>
          </cell>
          <cell r="H2511">
            <v>80.61</v>
          </cell>
          <cell r="I2511" t="str">
            <v>menit</v>
          </cell>
        </row>
        <row r="2512">
          <cell r="C2512" t="str">
            <v>- Lain-lain</v>
          </cell>
          <cell r="G2512" t="str">
            <v>T3</v>
          </cell>
          <cell r="H2512">
            <v>4</v>
          </cell>
          <cell r="I2512" t="str">
            <v>menit</v>
          </cell>
        </row>
        <row r="2513">
          <cell r="G2513" t="str">
            <v>Ts2</v>
          </cell>
          <cell r="H2513">
            <v>205.52499999999998</v>
          </cell>
          <cell r="I2513" t="str">
            <v>menit</v>
          </cell>
        </row>
        <row r="2517">
          <cell r="J2517" t="str">
            <v>Berlanjut ke halaman berikut</v>
          </cell>
        </row>
        <row r="2518">
          <cell r="A2518" t="str">
            <v>ITEM PEMBAYARAN NO.</v>
          </cell>
          <cell r="D2518" t="str">
            <v>:  3.2 (4)</v>
          </cell>
          <cell r="J2518">
            <v>0</v>
          </cell>
        </row>
        <row r="2519">
          <cell r="A2519" t="str">
            <v>JENIS PEKERJAAN</v>
          </cell>
          <cell r="D2519" t="str">
            <v xml:space="preserve">:  Timbunan Batu dengan Manual </v>
          </cell>
        </row>
        <row r="2520">
          <cell r="A2520" t="str">
            <v>SATUAN PEMBAYARAN</v>
          </cell>
          <cell r="D2520" t="str">
            <v>:  M3</v>
          </cell>
          <cell r="E2520" t="str">
            <v/>
          </cell>
          <cell r="H2520" t="str">
            <v xml:space="preserve">         URAIAN ANALISA HARGA SATUAN</v>
          </cell>
        </row>
        <row r="2521">
          <cell r="J2521" t="str">
            <v>Lanjutan</v>
          </cell>
        </row>
        <row r="2523">
          <cell r="A2523" t="str">
            <v>No.</v>
          </cell>
          <cell r="C2523" t="str">
            <v>U R A I A N</v>
          </cell>
          <cell r="G2523" t="str">
            <v>KODE</v>
          </cell>
          <cell r="H2523" t="str">
            <v>KOEF.</v>
          </cell>
          <cell r="I2523" t="str">
            <v>SATUAN</v>
          </cell>
          <cell r="J2523" t="str">
            <v>KETERANGAN</v>
          </cell>
        </row>
        <row r="2526">
          <cell r="C2526" t="str">
            <v>Kapasitas Produksi / Jam   =</v>
          </cell>
          <cell r="E2526" t="str">
            <v>V x Fa x 60</v>
          </cell>
          <cell r="G2526" t="str">
            <v>Q2</v>
          </cell>
          <cell r="H2526">
            <v>1.3027219826486851</v>
          </cell>
          <cell r="I2526" t="str">
            <v>M3</v>
          </cell>
        </row>
        <row r="2527">
          <cell r="E2527" t="str">
            <v xml:space="preserve">    Fk x Ts2</v>
          </cell>
        </row>
        <row r="2529">
          <cell r="C2529" t="str">
            <v>Koefisien Alat / M3</v>
          </cell>
          <cell r="D2529" t="str">
            <v xml:space="preserve"> =  1  :  Q2</v>
          </cell>
          <cell r="G2529" t="str">
            <v>(E08)</v>
          </cell>
          <cell r="H2529">
            <v>0.76762349397590346</v>
          </cell>
          <cell r="I2529" t="str">
            <v>Jam</v>
          </cell>
        </row>
        <row r="2531">
          <cell r="A2531" t="str">
            <v>2.c.</v>
          </cell>
          <cell r="C2531" t="str">
            <v>BULLDOZER</v>
          </cell>
          <cell r="G2531" t="str">
            <v>(E13)</v>
          </cell>
        </row>
        <row r="2532">
          <cell r="C2532" t="str">
            <v>Panjang hamparan</v>
          </cell>
          <cell r="G2532" t="str">
            <v>Lh</v>
          </cell>
          <cell r="H2532">
            <v>50</v>
          </cell>
          <cell r="I2532" t="str">
            <v>M</v>
          </cell>
        </row>
        <row r="2533">
          <cell r="C2533" t="str">
            <v>Lebar Efektif kerja Blade</v>
          </cell>
          <cell r="G2533" t="str">
            <v>b</v>
          </cell>
          <cell r="H2533">
            <v>2.4</v>
          </cell>
          <cell r="I2533" t="str">
            <v>M</v>
          </cell>
        </row>
        <row r="2534">
          <cell r="C2534" t="str">
            <v>Faktor Efisiensi Alat</v>
          </cell>
          <cell r="G2534" t="str">
            <v>Fa</v>
          </cell>
          <cell r="H2534">
            <v>0.83</v>
          </cell>
          <cell r="I2534" t="str">
            <v>-</v>
          </cell>
        </row>
        <row r="2535">
          <cell r="C2535" t="str">
            <v>Kecepatan rata-rata alat</v>
          </cell>
          <cell r="G2535" t="str">
            <v>v</v>
          </cell>
          <cell r="H2535">
            <v>5</v>
          </cell>
          <cell r="I2535" t="str">
            <v>Km / Jam</v>
          </cell>
        </row>
        <row r="2536">
          <cell r="C2536" t="str">
            <v>Jumlah lintasan</v>
          </cell>
          <cell r="G2536" t="str">
            <v>n</v>
          </cell>
          <cell r="H2536">
            <v>5</v>
          </cell>
          <cell r="I2536" t="str">
            <v>lintasan</v>
          </cell>
        </row>
        <row r="2537">
          <cell r="C2537" t="str">
            <v>Waktu siklus</v>
          </cell>
          <cell r="G2537" t="str">
            <v>Ts3</v>
          </cell>
        </row>
        <row r="2538">
          <cell r="C2538" t="str">
            <v>- Perataan 1 kali lintasan    = Lh : (v x 1000) x 60</v>
          </cell>
          <cell r="G2538" t="str">
            <v>T1</v>
          </cell>
          <cell r="H2538">
            <v>0.6</v>
          </cell>
          <cell r="I2538" t="str">
            <v>menit</v>
          </cell>
        </row>
        <row r="2539">
          <cell r="C2539" t="str">
            <v>- Lain-lain</v>
          </cell>
          <cell r="G2539" t="str">
            <v>T2</v>
          </cell>
          <cell r="H2539">
            <v>0.5</v>
          </cell>
          <cell r="I2539" t="str">
            <v>menit</v>
          </cell>
        </row>
        <row r="2540">
          <cell r="G2540" t="str">
            <v>Ts3</v>
          </cell>
          <cell r="H2540">
            <v>1.1000000000000001</v>
          </cell>
          <cell r="I2540" t="str">
            <v>menit</v>
          </cell>
        </row>
        <row r="2542">
          <cell r="C2542" t="str">
            <v>Kapasitas Produksi / Jam   =</v>
          </cell>
          <cell r="E2542" t="str">
            <v>Lh x b x t x Fa x 60</v>
          </cell>
          <cell r="G2542" t="str">
            <v>Q3</v>
          </cell>
          <cell r="H2542">
            <v>488.94545454545454</v>
          </cell>
          <cell r="I2542" t="str">
            <v>M3</v>
          </cell>
        </row>
        <row r="2543">
          <cell r="E2543" t="str">
            <v xml:space="preserve">      n x Ts3</v>
          </cell>
        </row>
        <row r="2545">
          <cell r="C2545" t="str">
            <v>Koefisien Alat / M3</v>
          </cell>
          <cell r="D2545" t="str">
            <v xml:space="preserve"> =  1  :  Q3</v>
          </cell>
          <cell r="G2545" t="str">
            <v>(E13)</v>
          </cell>
          <cell r="H2545">
            <v>2.045217908671724E-3</v>
          </cell>
          <cell r="I2545" t="str">
            <v>Jam</v>
          </cell>
        </row>
        <row r="2547">
          <cell r="A2547" t="str">
            <v>2.d.</v>
          </cell>
          <cell r="C2547" t="str">
            <v>VIBRATORY ROLLER</v>
          </cell>
          <cell r="G2547" t="str">
            <v>(E19)</v>
          </cell>
        </row>
        <row r="2548">
          <cell r="C2548" t="str">
            <v>Kecepatan rata-rata alat</v>
          </cell>
          <cell r="G2548" t="str">
            <v>v</v>
          </cell>
          <cell r="H2548">
            <v>4</v>
          </cell>
          <cell r="I2548" t="str">
            <v>Km / Jam</v>
          </cell>
        </row>
        <row r="2549">
          <cell r="C2549" t="str">
            <v>Lebar efektif pemadatan</v>
          </cell>
          <cell r="G2549" t="str">
            <v>b</v>
          </cell>
          <cell r="H2549">
            <v>1.2</v>
          </cell>
          <cell r="I2549" t="str">
            <v>M</v>
          </cell>
        </row>
        <row r="2550">
          <cell r="C2550" t="str">
            <v>Jumlah lintasan</v>
          </cell>
          <cell r="G2550" t="str">
            <v>n</v>
          </cell>
          <cell r="H2550">
            <v>6</v>
          </cell>
          <cell r="I2550" t="str">
            <v>lintasan</v>
          </cell>
        </row>
        <row r="2551">
          <cell r="C2551" t="str">
            <v>Faktor efisiensi alat</v>
          </cell>
          <cell r="G2551" t="str">
            <v>Fa</v>
          </cell>
          <cell r="H2551">
            <v>0.83</v>
          </cell>
          <cell r="I2551" t="str">
            <v>-</v>
          </cell>
        </row>
        <row r="2553">
          <cell r="C2553" t="str">
            <v>Kapasitas Prod./Jam   =</v>
          </cell>
          <cell r="D2553" t="str">
            <v>(v x 1000) x b x t x Fa</v>
          </cell>
          <cell r="G2553" t="str">
            <v>Q4</v>
          </cell>
          <cell r="H2553">
            <v>298.8</v>
          </cell>
          <cell r="I2553" t="str">
            <v>M3</v>
          </cell>
        </row>
        <row r="2554">
          <cell r="D2554" t="str">
            <v>n</v>
          </cell>
        </row>
        <row r="2556">
          <cell r="C2556" t="str">
            <v>Koefisien Alat / M3</v>
          </cell>
          <cell r="D2556" t="str">
            <v xml:space="preserve"> =  1  :  Q4</v>
          </cell>
          <cell r="G2556" t="str">
            <v>(E19)</v>
          </cell>
          <cell r="H2556">
            <v>3.3467202141900937E-3</v>
          </cell>
          <cell r="I2556" t="str">
            <v>Jam</v>
          </cell>
        </row>
        <row r="2570">
          <cell r="A2570" t="str">
            <v>2.f.</v>
          </cell>
          <cell r="C2570" t="str">
            <v>ALAT  BANTU</v>
          </cell>
        </row>
        <row r="2571">
          <cell r="C2571" t="str">
            <v>Diperlukan alat-alat bantu kecil</v>
          </cell>
          <cell r="J2571" t="str">
            <v>Lump Sump</v>
          </cell>
        </row>
        <row r="2572">
          <cell r="C2572" t="str">
            <v xml:space="preserve">- Sekop    </v>
          </cell>
          <cell r="D2572" t="str">
            <v>= 2 buah</v>
          </cell>
        </row>
        <row r="2573">
          <cell r="C2573" t="str">
            <v>- Palu besar</v>
          </cell>
          <cell r="D2573" t="str">
            <v>= 1 buah</v>
          </cell>
        </row>
        <row r="2574">
          <cell r="C2574" t="str">
            <v>- Kereta dorong</v>
          </cell>
          <cell r="D2574" t="str">
            <v>= 6 buah</v>
          </cell>
        </row>
        <row r="2576">
          <cell r="J2576" t="str">
            <v>Berlanjut ke halaman berikut</v>
          </cell>
        </row>
        <row r="2577">
          <cell r="A2577" t="str">
            <v>ITEM PEMBAYARAN NO.</v>
          </cell>
          <cell r="D2577" t="str">
            <v>:  3.2 (4)</v>
          </cell>
          <cell r="J2577">
            <v>0</v>
          </cell>
        </row>
        <row r="2578">
          <cell r="A2578" t="str">
            <v>JENIS PEKERJAAN</v>
          </cell>
          <cell r="D2578" t="str">
            <v xml:space="preserve">:  Timbunan Batu dengan Manual </v>
          </cell>
        </row>
        <row r="2579">
          <cell r="A2579" t="str">
            <v>SATUAN PEMBAYARAN</v>
          </cell>
          <cell r="D2579" t="str">
            <v>:  M3</v>
          </cell>
          <cell r="E2579" t="str">
            <v/>
          </cell>
          <cell r="H2579" t="str">
            <v xml:space="preserve">         URAIAN ANALISA HARGA SATUAN</v>
          </cell>
        </row>
        <row r="2580">
          <cell r="J2580" t="str">
            <v>Lanjutan</v>
          </cell>
        </row>
        <row r="2582">
          <cell r="A2582" t="str">
            <v>No.</v>
          </cell>
          <cell r="C2582" t="str">
            <v>U R A I A N</v>
          </cell>
          <cell r="G2582" t="str">
            <v>KODE</v>
          </cell>
          <cell r="H2582" t="str">
            <v>KOEF.</v>
          </cell>
          <cell r="I2582" t="str">
            <v>SATUAN</v>
          </cell>
          <cell r="J2582" t="str">
            <v>KETERANGAN</v>
          </cell>
        </row>
        <row r="2585">
          <cell r="A2585" t="str">
            <v xml:space="preserve">   3.</v>
          </cell>
          <cell r="C2585" t="str">
            <v>TENAGA</v>
          </cell>
        </row>
        <row r="2586">
          <cell r="C2586" t="str">
            <v>Produksi menentukan : DUMP TRUCK</v>
          </cell>
          <cell r="G2586" t="str">
            <v>Q1</v>
          </cell>
          <cell r="H2586">
            <v>54.217741935483872</v>
          </cell>
          <cell r="I2586" t="str">
            <v>M3/Jam</v>
          </cell>
        </row>
        <row r="2587">
          <cell r="C2587" t="str">
            <v>Produksi Timbunan / hari  =  Tk x Q1</v>
          </cell>
          <cell r="G2587" t="str">
            <v>Qt</v>
          </cell>
          <cell r="H2587">
            <v>379.52419354838707</v>
          </cell>
          <cell r="I2587" t="str">
            <v>M3</v>
          </cell>
        </row>
        <row r="2588">
          <cell r="C2588" t="str">
            <v>Kebutuhan tenaga :</v>
          </cell>
        </row>
        <row r="2589">
          <cell r="D2589" t="str">
            <v>- Pekerja</v>
          </cell>
          <cell r="G2589" t="str">
            <v>P</v>
          </cell>
          <cell r="H2589">
            <v>8</v>
          </cell>
          <cell r="I2589" t="str">
            <v>orang</v>
          </cell>
        </row>
        <row r="2590">
          <cell r="D2590" t="str">
            <v>- Mandor</v>
          </cell>
          <cell r="G2590" t="str">
            <v>M</v>
          </cell>
          <cell r="H2590">
            <v>1</v>
          </cell>
          <cell r="I2590" t="str">
            <v>orang</v>
          </cell>
        </row>
        <row r="2593">
          <cell r="C2593" t="str">
            <v>Koefisien tenaga / M3   :</v>
          </cell>
        </row>
        <row r="2594">
          <cell r="D2594" t="str">
            <v>- Pekerja</v>
          </cell>
          <cell r="E2594" t="str">
            <v>= (Tk x P) : Qt</v>
          </cell>
          <cell r="G2594" t="str">
            <v>(L01)</v>
          </cell>
          <cell r="H2594">
            <v>0.14755317566562548</v>
          </cell>
          <cell r="I2594" t="str">
            <v>Jam</v>
          </cell>
        </row>
        <row r="2595">
          <cell r="D2595" t="str">
            <v>- Mandor</v>
          </cell>
          <cell r="E2595" t="str">
            <v>= (Tk x M) : Qt</v>
          </cell>
          <cell r="G2595" t="str">
            <v>(L02)</v>
          </cell>
          <cell r="H2595">
            <v>1.8444146958203185E-2</v>
          </cell>
          <cell r="I2595" t="str">
            <v>Jam</v>
          </cell>
        </row>
        <row r="2598">
          <cell r="A2598" t="str">
            <v>4.</v>
          </cell>
          <cell r="C2598" t="str">
            <v>HARGA DASAR SATUAN UPAH, BAHAN DAN ALAT</v>
          </cell>
        </row>
        <row r="2599">
          <cell r="C2599" t="str">
            <v>Lihat lampiran.</v>
          </cell>
        </row>
        <row r="2602">
          <cell r="A2602" t="str">
            <v>5.</v>
          </cell>
          <cell r="C2602" t="str">
            <v>ANALISA HARGA SATUAN PEKERJAAN</v>
          </cell>
        </row>
        <row r="2603">
          <cell r="C2603" t="str">
            <v>Lihat perhitungan dalam FORMULIR STANDAR UNTUK</v>
          </cell>
        </row>
        <row r="2604">
          <cell r="C2604" t="str">
            <v>PEREKEMAN ANALISA MASING-MASING HARGA</v>
          </cell>
        </row>
        <row r="2605">
          <cell r="C2605" t="str">
            <v>SATUAN.</v>
          </cell>
        </row>
        <row r="2606">
          <cell r="C2606" t="str">
            <v>Didapat Harga Satuan Pekerjaan :</v>
          </cell>
        </row>
        <row r="2608">
          <cell r="C2608" t="str">
            <v xml:space="preserve">Rp.  </v>
          </cell>
          <cell r="D2608">
            <v>162398.24383290968</v>
          </cell>
          <cell r="E2608" t="str">
            <v xml:space="preserve"> / M3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4"/>
    </sheetNames>
    <sheetDataSet>
      <sheetData sheetId="0">
        <row r="1">
          <cell r="A1" t="str">
            <v>ITEM PEMBAYARAN NO.</v>
          </cell>
          <cell r="D1" t="str">
            <v>:  4.2 (1)</v>
          </cell>
          <cell r="J1" t="str">
            <v>Analisa EI-421</v>
          </cell>
          <cell r="T1" t="str">
            <v>Analisa EI-421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J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>: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>: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>: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>: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4.2 (1)</v>
          </cell>
          <cell r="R12" t="str">
            <v>PERKIRAAN VOL. PEK.</v>
          </cell>
          <cell r="T12" t="str">
            <v>:</v>
          </cell>
          <cell r="U12">
            <v>0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 (Rp.)</v>
          </cell>
          <cell r="T13" t="str">
            <v>:</v>
          </cell>
          <cell r="U13">
            <v>0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 t="e">
            <v>#DIV/0!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Lebar bahu jalan</v>
          </cell>
          <cell r="G17" t="str">
            <v>Lb</v>
          </cell>
          <cell r="H17">
            <v>1</v>
          </cell>
          <cell r="I17" t="str">
            <v>M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A18">
            <v>9</v>
          </cell>
          <cell r="C18" t="str">
            <v>Proporsi Campuran :</v>
          </cell>
          <cell r="D18" t="str">
            <v>- Agregat Kasar</v>
          </cell>
          <cell r="G18" t="str">
            <v>Ak</v>
          </cell>
          <cell r="H18">
            <v>55</v>
          </cell>
          <cell r="I18" t="str">
            <v>%</v>
          </cell>
          <cell r="J18" t="str">
            <v xml:space="preserve"> Gradasi harus -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D19" t="str">
            <v>- Agregat Halus</v>
          </cell>
          <cell r="G19" t="str">
            <v>Ah</v>
          </cell>
          <cell r="H19">
            <v>45</v>
          </cell>
          <cell r="I19" t="str">
            <v>%</v>
          </cell>
          <cell r="J19" t="str">
            <v xml:space="preserve"> memenuhi Spec.</v>
          </cell>
          <cell r="R19" t="str">
            <v>(Rp.)</v>
          </cell>
          <cell r="S19" t="str">
            <v>(Rp.)</v>
          </cell>
        </row>
        <row r="20">
          <cell r="A20" t="str">
            <v>II.</v>
          </cell>
          <cell r="C20" t="str">
            <v>URUTAN KERJA</v>
          </cell>
        </row>
        <row r="21">
          <cell r="A21">
            <v>1</v>
          </cell>
          <cell r="C21" t="str">
            <v xml:space="preserve">Wheel Loader mencampur &amp; memuat Agregat ke </v>
          </cell>
        </row>
        <row r="22">
          <cell r="C22" t="str">
            <v>dalam Dump Truck di Base Camp</v>
          </cell>
          <cell r="L22" t="str">
            <v>A.</v>
          </cell>
          <cell r="N22" t="str">
            <v>TENAGA</v>
          </cell>
        </row>
        <row r="23">
          <cell r="A23">
            <v>2</v>
          </cell>
          <cell r="C23" t="str">
            <v>Dump Truck mengangkut Agregat ke lokasi</v>
          </cell>
        </row>
        <row r="24">
          <cell r="C24" t="str">
            <v>pekerjaan dan dihampar dengan Motor Grader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A25">
            <v>3</v>
          </cell>
          <cell r="C25" t="str">
            <v>Hamparan Agregat dibasahi dengan Water Tank Truck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sebelum dipadatkan dengan Tandem Roller &amp; PTR</v>
          </cell>
        </row>
        <row r="27">
          <cell r="A27">
            <v>4</v>
          </cell>
          <cell r="C27" t="str">
            <v>Selama pemadatan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L30" t="str">
            <v>B.</v>
          </cell>
          <cell r="N30" t="str">
            <v>BAHAN</v>
          </cell>
        </row>
        <row r="31">
          <cell r="A31" t="str">
            <v>III.</v>
          </cell>
          <cell r="C31" t="str">
            <v>PEMAKAIAN BAHAN, ALAT DAN TENAGA</v>
          </cell>
        </row>
        <row r="32">
          <cell r="L32" t="str">
            <v>1.</v>
          </cell>
          <cell r="N32" t="str">
            <v>Agregat Kasar  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A33" t="str">
            <v xml:space="preserve">   1.</v>
          </cell>
          <cell r="C33" t="str">
            <v>BAHAN</v>
          </cell>
          <cell r="L33" t="str">
            <v>2.</v>
          </cell>
          <cell r="N33" t="str">
            <v>Agregat Halus 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Kasar</v>
          </cell>
          <cell r="D34" t="str">
            <v>=  Ak x 1 M3 x Fk</v>
          </cell>
          <cell r="G34" t="str">
            <v>M03</v>
          </cell>
          <cell r="H34">
            <v>0.66</v>
          </cell>
          <cell r="I34" t="str">
            <v>M3</v>
          </cell>
        </row>
        <row r="35">
          <cell r="C35" t="str">
            <v>- Agregat Halus</v>
          </cell>
          <cell r="D35" t="str">
            <v>=  Ah x 1 M3 x Fk</v>
          </cell>
          <cell r="G35" t="str">
            <v>M04</v>
          </cell>
          <cell r="H35">
            <v>0.54</v>
          </cell>
          <cell r="I35" t="str">
            <v>M3</v>
          </cell>
        </row>
        <row r="37">
          <cell r="A37" t="str">
            <v xml:space="preserve">   2.</v>
          </cell>
          <cell r="C37" t="str">
            <v>ALAT</v>
          </cell>
        </row>
        <row r="38">
          <cell r="A38" t="str">
            <v>2.a.</v>
          </cell>
          <cell r="C38" t="str">
            <v>WHEEL LOADER</v>
          </cell>
          <cell r="G38" t="str">
            <v>(E15)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Kapasitas bucket</v>
          </cell>
          <cell r="G39" t="str">
            <v>V</v>
          </cell>
          <cell r="H39">
            <v>1.5</v>
          </cell>
          <cell r="I39" t="str">
            <v>M3</v>
          </cell>
        </row>
        <row r="40">
          <cell r="C40" t="str">
            <v>Faktor bucket</v>
          </cell>
          <cell r="G40" t="str">
            <v>Fb</v>
          </cell>
          <cell r="H40">
            <v>0.9</v>
          </cell>
          <cell r="I40" t="str">
            <v>-</v>
          </cell>
          <cell r="J40" t="str">
            <v>Pemuatan ringan</v>
          </cell>
          <cell r="L40" t="str">
            <v>C.</v>
          </cell>
          <cell r="N40" t="str">
            <v>PERALATAN</v>
          </cell>
        </row>
        <row r="41">
          <cell r="C41" t="str">
            <v>Faktor Efisiensi alat</v>
          </cell>
          <cell r="G41" t="str">
            <v>Fa</v>
          </cell>
          <cell r="H41">
            <v>0.83</v>
          </cell>
          <cell r="I41" t="str">
            <v>-</v>
          </cell>
        </row>
        <row r="42">
          <cell r="C42" t="str">
            <v>Waktu siklus</v>
          </cell>
          <cell r="G42" t="str">
            <v>Ts1</v>
          </cell>
          <cell r="L42" t="str">
            <v>1</v>
          </cell>
          <cell r="N42" t="str">
            <v>Wheel Loader</v>
          </cell>
          <cell r="O42" t="str">
            <v>E15</v>
          </cell>
          <cell r="P42" t="str">
            <v>Jam</v>
          </cell>
          <cell r="Q42">
            <v>3.5698348951360995E-2</v>
          </cell>
          <cell r="R42">
            <v>163808.13869490434</v>
          </cell>
          <cell r="U42">
            <v>5847.680096203635</v>
          </cell>
        </row>
        <row r="43">
          <cell r="C43" t="str">
            <v>- Mencampur</v>
          </cell>
          <cell r="G43" t="str">
            <v>T1</v>
          </cell>
          <cell r="H43">
            <v>1.5</v>
          </cell>
          <cell r="I43" t="str">
            <v>menit</v>
          </cell>
          <cell r="L43" t="str">
            <v>2</v>
          </cell>
          <cell r="N43" t="str">
            <v>Dump Truck</v>
          </cell>
          <cell r="O43" t="str">
            <v>E09</v>
          </cell>
          <cell r="P43" t="str">
            <v>Jam</v>
          </cell>
          <cell r="Q43">
            <v>0.14542063837680036</v>
          </cell>
          <cell r="R43">
            <v>70230.073977639215</v>
          </cell>
          <cell r="U43">
            <v>10212.90219107821</v>
          </cell>
        </row>
        <row r="44">
          <cell r="C44" t="str">
            <v>- Memuat dan lain-lain</v>
          </cell>
          <cell r="G44" t="str">
            <v>T2</v>
          </cell>
          <cell r="H44">
            <v>0.5</v>
          </cell>
          <cell r="I44" t="str">
            <v>menit</v>
          </cell>
          <cell r="L44" t="str">
            <v>3</v>
          </cell>
          <cell r="N44" t="str">
            <v>Motor Grader</v>
          </cell>
          <cell r="O44" t="str">
            <v>E13</v>
          </cell>
          <cell r="P44" t="str">
            <v>Jam</v>
          </cell>
          <cell r="Q44">
            <v>1.1713520749665328E-2</v>
          </cell>
          <cell r="R44">
            <v>201666.62574070093</v>
          </cell>
          <cell r="U44">
            <v>2362.2262051286921</v>
          </cell>
        </row>
        <row r="45">
          <cell r="G45" t="str">
            <v>Ts1</v>
          </cell>
          <cell r="H45">
            <v>2</v>
          </cell>
          <cell r="I45" t="str">
            <v>menit</v>
          </cell>
          <cell r="L45" t="str">
            <v>4</v>
          </cell>
          <cell r="N45" t="str">
            <v>Tandem Roller</v>
          </cell>
          <cell r="O45" t="str">
            <v>E17</v>
          </cell>
          <cell r="P45" t="str">
            <v>Jam</v>
          </cell>
          <cell r="Q45">
            <v>1.7849174475680501E-2</v>
          </cell>
          <cell r="R45">
            <v>293927.19306224468</v>
          </cell>
          <cell r="U45">
            <v>5246.3577521150328</v>
          </cell>
        </row>
        <row r="46">
          <cell r="L46" t="str">
            <v>5</v>
          </cell>
          <cell r="N46" t="str">
            <v>Water Tanker</v>
          </cell>
          <cell r="O46" t="str">
            <v>E23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C47" t="str">
            <v>Kap. Prod. / jam =</v>
          </cell>
          <cell r="D47" t="str">
            <v>V x Fb x Fa x 60</v>
          </cell>
          <cell r="G47" t="str">
            <v>Q1</v>
          </cell>
          <cell r="H47">
            <v>28.012500000000003</v>
          </cell>
          <cell r="I47" t="str">
            <v>M3</v>
          </cell>
          <cell r="L47" t="str">
            <v>6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D48" t="str">
            <v>Fk x Ts1</v>
          </cell>
        </row>
        <row r="49">
          <cell r="C49" t="str">
            <v>Koefisien Alat / M3</v>
          </cell>
          <cell r="D49" t="str">
            <v xml:space="preserve"> =  1  :  Q1</v>
          </cell>
          <cell r="G49" t="str">
            <v>(E15)</v>
          </cell>
          <cell r="H49">
            <v>3.5698348951360995E-2</v>
          </cell>
          <cell r="I49" t="str">
            <v>Jam</v>
          </cell>
        </row>
        <row r="50">
          <cell r="Q50" t="str">
            <v xml:space="preserve">JUMLAH HARGA PERALATAN   </v>
          </cell>
          <cell r="U50">
            <v>25157.249307366055</v>
          </cell>
        </row>
        <row r="51">
          <cell r="A51" t="str">
            <v>2.b.</v>
          </cell>
          <cell r="C51" t="str">
            <v>DUMP TRUCK</v>
          </cell>
          <cell r="G51" t="str">
            <v>(E09)</v>
          </cell>
        </row>
        <row r="52">
          <cell r="C52" t="str">
            <v>Kapasitas bak</v>
          </cell>
          <cell r="G52" t="str">
            <v>V</v>
          </cell>
          <cell r="H52">
            <v>6</v>
          </cell>
          <cell r="I52" t="str">
            <v>M3</v>
          </cell>
          <cell r="L52" t="str">
            <v>D.</v>
          </cell>
          <cell r="N52" t="str">
            <v>JUMLAH HARGA TENAGA, BAHAN DAN PERALATAN  ( A + B + C )</v>
          </cell>
          <cell r="U52">
            <v>277600.24268880818</v>
          </cell>
        </row>
        <row r="53">
          <cell r="C53" t="str">
            <v>Faktor Efisiensi alat</v>
          </cell>
          <cell r="G53" t="str">
            <v>Fa</v>
          </cell>
          <cell r="H53">
            <v>0.83</v>
          </cell>
          <cell r="I53" t="str">
            <v>-</v>
          </cell>
          <cell r="L53" t="str">
            <v>E.</v>
          </cell>
          <cell r="N53" t="str">
            <v>OVERHEAD &amp; PROFIT</v>
          </cell>
          <cell r="P53">
            <v>10</v>
          </cell>
          <cell r="Q53" t="str">
            <v>%  x  D</v>
          </cell>
          <cell r="U53">
            <v>27760.024268880821</v>
          </cell>
        </row>
        <row r="54">
          <cell r="C54" t="str">
            <v>Kecepatan rata-rata bermuatan</v>
          </cell>
          <cell r="G54" t="str">
            <v>v1</v>
          </cell>
          <cell r="H54">
            <v>45</v>
          </cell>
          <cell r="I54" t="str">
            <v>KM / Jam</v>
          </cell>
          <cell r="L54" t="str">
            <v>F.</v>
          </cell>
          <cell r="N54" t="str">
            <v>HARGA SATUAN PEKERJAAN  ( D + E )</v>
          </cell>
          <cell r="U54">
            <v>305360.26695768902</v>
          </cell>
        </row>
        <row r="55">
          <cell r="C55" t="str">
            <v>Kecepatan rata-rata kosong</v>
          </cell>
          <cell r="G55" t="str">
            <v>v2</v>
          </cell>
          <cell r="H55">
            <v>60</v>
          </cell>
          <cell r="I55" t="str">
            <v>KM / Jam</v>
          </cell>
          <cell r="L55" t="str">
            <v>Note: 1</v>
          </cell>
          <cell r="N55" t="str">
            <v>SATUAN dapat berdasarkan atas jam operasi untuk Tenaga Kerja dan Peralatan, volume dan/atau ukuran</v>
          </cell>
        </row>
        <row r="56">
          <cell r="C56" t="str">
            <v>Waktu Siklus  :  - Waktu memuat = V : Q1 x 60</v>
          </cell>
          <cell r="G56" t="str">
            <v>T1</v>
          </cell>
          <cell r="H56">
            <v>12.851405622489958</v>
          </cell>
          <cell r="I56" t="str">
            <v>menit</v>
          </cell>
          <cell r="N56" t="str">
            <v>berat untuk bahan-bahan.</v>
          </cell>
        </row>
        <row r="57">
          <cell r="C57" t="str">
            <v>- Waktu tempuh isi = (L : v1) x 60 menit</v>
          </cell>
          <cell r="G57" t="str">
            <v>T2</v>
          </cell>
          <cell r="H57">
            <v>11.633333333333333</v>
          </cell>
          <cell r="I57" t="str">
            <v>menit</v>
          </cell>
          <cell r="L57">
            <v>2</v>
          </cell>
          <cell r="N57" t="str">
            <v>Kuantitas satuan adalah kuantitas setiap komponen untuk menyelesaikan satu satuan pekerjaan dari nomor</v>
          </cell>
        </row>
        <row r="58">
          <cell r="C58" t="str">
            <v>- Waktu tempuh kosong = (L : v2) x 60 menit</v>
          </cell>
          <cell r="G58" t="str">
            <v>T3</v>
          </cell>
          <cell r="H58">
            <v>8.7249999999999996</v>
          </cell>
          <cell r="I58" t="str">
            <v>menit</v>
          </cell>
          <cell r="N58" t="str">
            <v>mata pembayaran.</v>
          </cell>
        </row>
        <row r="59">
          <cell r="C59" t="str">
            <v>- Lain-lain termasuk menurunkan Agregat</v>
          </cell>
          <cell r="G59" t="str">
            <v>T4</v>
          </cell>
          <cell r="H59">
            <v>3</v>
          </cell>
          <cell r="I59" t="str">
            <v>menit</v>
          </cell>
          <cell r="L59">
            <v>3</v>
          </cell>
          <cell r="N59" t="str">
            <v>Biaya satuan untuk peralatan sudah termasuk bahan bakar, bahan habis dipakai dan operator.</v>
          </cell>
        </row>
        <row r="60">
          <cell r="G60" t="str">
            <v>Ts2</v>
          </cell>
          <cell r="H60">
            <v>36.20973895582329</v>
          </cell>
          <cell r="I60" t="str">
            <v>menit</v>
          </cell>
          <cell r="L60">
            <v>4</v>
          </cell>
          <cell r="N60" t="str">
            <v>Biaya satuan sudah termasuk pengeluaran untuk seluruh pajak yang berkaitan (tetapi tidak termasuk PPN</v>
          </cell>
        </row>
        <row r="61">
          <cell r="J61" t="str">
            <v>Berlanjut ke halaman berikut</v>
          </cell>
          <cell r="N61" t="str">
            <v>yang dibayar dari kontrak) dan biaya-biaya lainnya.</v>
          </cell>
        </row>
        <row r="62">
          <cell r="A62" t="str">
            <v>ITEM PEMBAYARAN NO.</v>
          </cell>
          <cell r="D62" t="str">
            <v>:  4.2 (1)</v>
          </cell>
          <cell r="J62" t="str">
            <v>Analisa EI-421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J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 xml:space="preserve">Kap. Prod./jam = 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 = 1 : Q2</v>
          </cell>
          <cell r="D72" t="str">
            <v xml:space="preserve"> =  1 : Q2</v>
          </cell>
          <cell r="G72" t="str">
            <v>(E08)</v>
          </cell>
          <cell r="H72">
            <v>0.14542063837680036</v>
          </cell>
          <cell r="I72" t="str">
            <v>Jam</v>
          </cell>
        </row>
        <row r="74">
          <cell r="A74" t="str">
            <v>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 / 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>3 x pp</v>
          </cell>
        </row>
        <row r="80">
          <cell r="C80" t="str">
            <v>Waktu Siklus</v>
          </cell>
          <cell r="G80" t="str">
            <v>Ts3</v>
          </cell>
        </row>
        <row r="81">
          <cell r="C81" t="str">
            <v>- Perataan 1 lintasan  = (Lh x 60) : (v x 1000)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1 :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>2.d.</v>
          </cell>
          <cell r="C89" t="str">
            <v>TANDEM ROLLER</v>
          </cell>
          <cell r="G89" t="str">
            <v>(E17)</v>
          </cell>
        </row>
        <row r="90">
          <cell r="C90" t="str">
            <v>Kecepatan rata-rata</v>
          </cell>
          <cell r="G90" t="str">
            <v>v</v>
          </cell>
          <cell r="H90">
            <v>3</v>
          </cell>
          <cell r="I90" t="str">
            <v>KM / 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1 : Q4</v>
          </cell>
          <cell r="G97" t="str">
            <v>(E17)</v>
          </cell>
          <cell r="H97">
            <v>1.7849174475680501E-2</v>
          </cell>
          <cell r="I97" t="str">
            <v>Jam</v>
          </cell>
        </row>
        <row r="99">
          <cell r="A99" t="str">
            <v>2.e.</v>
          </cell>
          <cell r="C99" t="str">
            <v>WATERTANK TRUCK</v>
          </cell>
          <cell r="G99" t="str">
            <v>(E23)</v>
          </cell>
        </row>
        <row r="100">
          <cell r="C100" t="str">
            <v>Volume tangki air</v>
          </cell>
          <cell r="G100" t="str">
            <v>V</v>
          </cell>
          <cell r="H100">
            <v>4</v>
          </cell>
          <cell r="I100" t="str">
            <v>M3</v>
          </cell>
        </row>
        <row r="101">
          <cell r="C101" t="str">
            <v>Kebutuhan air / M3 agregat padat</v>
          </cell>
          <cell r="G101" t="str">
            <v>Wc</v>
          </cell>
          <cell r="H101">
            <v>7.0000000000000007E-2</v>
          </cell>
          <cell r="I101" t="str">
            <v>M3</v>
          </cell>
        </row>
        <row r="102">
          <cell r="C102" t="str">
            <v>Pengisian tangki / jam</v>
          </cell>
          <cell r="G102" t="str">
            <v>n</v>
          </cell>
          <cell r="H102">
            <v>1</v>
          </cell>
          <cell r="I102" t="str">
            <v>kali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Kap.Prod. / jam =</v>
          </cell>
          <cell r="D105" t="str">
            <v>V x n x Fa</v>
          </cell>
          <cell r="G105" t="str">
            <v>Q5</v>
          </cell>
          <cell r="H105">
            <v>47.428571428571423</v>
          </cell>
          <cell r="I105" t="str">
            <v>M3</v>
          </cell>
        </row>
        <row r="106">
          <cell r="D106" t="str">
            <v>Wc</v>
          </cell>
        </row>
        <row r="107">
          <cell r="C107" t="str">
            <v>Koefisien Alat / M3</v>
          </cell>
          <cell r="D107" t="str">
            <v xml:space="preserve"> = 1 : Q5</v>
          </cell>
          <cell r="G107" t="str">
            <v>(E23)</v>
          </cell>
          <cell r="H107">
            <v>2.1084337349397592E-2</v>
          </cell>
          <cell r="I107" t="str">
            <v>Jam</v>
          </cell>
        </row>
        <row r="110">
          <cell r="A110" t="str">
            <v>2.g.</v>
          </cell>
          <cell r="C110" t="str">
            <v>ALAT BANTU</v>
          </cell>
        </row>
        <row r="111">
          <cell r="C111" t="str">
            <v>diperlukan :</v>
          </cell>
          <cell r="J111" t="str">
            <v>Lump Sum</v>
          </cell>
        </row>
        <row r="112">
          <cell r="C112" t="str">
            <v>- Kereta dorong     = 2 buah</v>
          </cell>
        </row>
        <row r="113">
          <cell r="C113" t="str">
            <v>- Sekop                = 3 buah</v>
          </cell>
        </row>
        <row r="114">
          <cell r="C114" t="str">
            <v>- Garpu                = 2 buah</v>
          </cell>
        </row>
        <row r="120">
          <cell r="J120" t="str">
            <v>Berlanjut ke halaman berikut</v>
          </cell>
        </row>
        <row r="121">
          <cell r="A121" t="str">
            <v>ITEM PEMBAYARAN NO.</v>
          </cell>
          <cell r="D121" t="str">
            <v>:  4.2 (1)</v>
          </cell>
          <cell r="J121" t="str">
            <v>Analisa EI-421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J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3.</v>
          </cell>
          <cell r="C129" t="str">
            <v>TENAGA</v>
          </cell>
        </row>
        <row r="130">
          <cell r="C130" t="str">
            <v>Produksi menentukan : WHEEL LOADER</v>
          </cell>
          <cell r="G130" t="str">
            <v>Q1</v>
          </cell>
          <cell r="H130">
            <v>28.012500000000003</v>
          </cell>
          <cell r="I130" t="str">
            <v>M3/Jam</v>
          </cell>
        </row>
        <row r="131">
          <cell r="C131" t="str">
            <v>Produksi Agregat / hari  =  Tk x Q1</v>
          </cell>
          <cell r="G131" t="str">
            <v>Qt</v>
          </cell>
          <cell r="H131">
            <v>196.08750000000003</v>
          </cell>
          <cell r="I131" t="str">
            <v>M3</v>
          </cell>
        </row>
        <row r="132">
          <cell r="C132" t="str">
            <v>Kebutuhan tenaga :</v>
          </cell>
        </row>
        <row r="133">
          <cell r="D133" t="str">
            <v>- Pekerja</v>
          </cell>
          <cell r="G133" t="str">
            <v>P</v>
          </cell>
          <cell r="H133">
            <v>7</v>
          </cell>
          <cell r="I133" t="str">
            <v>orang</v>
          </cell>
        </row>
        <row r="134">
          <cell r="D134" t="str">
            <v>- Mandor</v>
          </cell>
          <cell r="G134" t="str">
            <v>M</v>
          </cell>
          <cell r="H134">
            <v>1</v>
          </cell>
          <cell r="I134" t="str">
            <v>orang</v>
          </cell>
        </row>
        <row r="136">
          <cell r="C136" t="str">
            <v>Koefisien tenaga / M3     :</v>
          </cell>
        </row>
        <row r="137">
          <cell r="D137" t="str">
            <v>- Pekerja</v>
          </cell>
          <cell r="E137" t="str">
            <v>= (Tk x P) : Qt</v>
          </cell>
          <cell r="G137" t="str">
            <v>(L01)</v>
          </cell>
          <cell r="H137">
            <v>0.24988844265952695</v>
          </cell>
          <cell r="I137" t="str">
            <v>Jam</v>
          </cell>
        </row>
        <row r="138">
          <cell r="D138" t="str">
            <v>- Mandor</v>
          </cell>
          <cell r="E138" t="str">
            <v>= (Tk x M) : Qt</v>
          </cell>
          <cell r="G138" t="str">
            <v>(L03)</v>
          </cell>
          <cell r="H138">
            <v>3.5698348951360995E-2</v>
          </cell>
          <cell r="I138" t="str">
            <v>Jam</v>
          </cell>
        </row>
        <row r="141">
          <cell r="A141" t="str">
            <v>4.</v>
          </cell>
          <cell r="C141" t="str">
            <v>HARGA DASAR SATUAN UPAH, BAHAN DAN ALAT</v>
          </cell>
        </row>
        <row r="142">
          <cell r="C142" t="str">
            <v>Lihat lampiran.</v>
          </cell>
        </row>
        <row r="144">
          <cell r="A144" t="str">
            <v>5.</v>
          </cell>
          <cell r="C144" t="str">
            <v>ANALISA HARGA SATUAN PEKERJAAN</v>
          </cell>
        </row>
        <row r="145">
          <cell r="C145" t="str">
            <v>Lihat perhitungan dalam FORMULIR STANDAR UNTUK</v>
          </cell>
        </row>
        <row r="146">
          <cell r="C146" t="str">
            <v>PEREKEMAN ANALISA MASING-MASING HARGA</v>
          </cell>
        </row>
        <row r="147">
          <cell r="C147" t="str">
            <v>SATUAN.</v>
          </cell>
        </row>
        <row r="148">
          <cell r="C148" t="str">
            <v>Didapat Harga Satuan Pekerjaan :</v>
          </cell>
        </row>
        <row r="150">
          <cell r="C150" t="str">
            <v xml:space="preserve">Rp.  </v>
          </cell>
          <cell r="D150">
            <v>305360.26695768902</v>
          </cell>
          <cell r="E150" t="str">
            <v xml:space="preserve"> / M3.</v>
          </cell>
        </row>
        <row r="153">
          <cell r="A153" t="str">
            <v>6.</v>
          </cell>
          <cell r="C153" t="str">
            <v>WAKTU PELAKSANAAN YANG DIPERLUKAN</v>
          </cell>
        </row>
        <row r="154">
          <cell r="C154" t="str">
            <v>Waktu pelaksanaan</v>
          </cell>
          <cell r="D154" t="str">
            <v>:  . . . . . . .  bulan</v>
          </cell>
        </row>
        <row r="156">
          <cell r="A156" t="str">
            <v>7.</v>
          </cell>
          <cell r="C156" t="str">
            <v>VOLUME PEKERJAAN YANG DIPERLUKAN</v>
          </cell>
        </row>
        <row r="157">
          <cell r="C157" t="str">
            <v>Volume pekerjaan  :</v>
          </cell>
          <cell r="D157">
            <v>0</v>
          </cell>
          <cell r="E157" t="str">
            <v>M3</v>
          </cell>
        </row>
        <row r="180">
          <cell r="A180" t="str">
            <v>ITEM PEMBAYARAN NO.</v>
          </cell>
          <cell r="D180" t="str">
            <v>:  4.2 (2)</v>
          </cell>
          <cell r="J180" t="str">
            <v>Analisa EI-422</v>
          </cell>
          <cell r="T180" t="str">
            <v>Analisa EI-422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J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>: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>: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>: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>: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4.2 (2)</v>
          </cell>
          <cell r="R191" t="str">
            <v>PERKIRAAN VOL. PEK.</v>
          </cell>
          <cell r="T191" t="str">
            <v>:</v>
          </cell>
          <cell r="U191">
            <v>0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 (Rp.)</v>
          </cell>
          <cell r="T192" t="str">
            <v>:</v>
          </cell>
          <cell r="U192">
            <v>3711291.7469440131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 t="e">
            <v>#DIV/0!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Lebar bahu jalan</v>
          </cell>
          <cell r="G196" t="str">
            <v>Lb</v>
          </cell>
          <cell r="H196">
            <v>1</v>
          </cell>
          <cell r="I196" t="str">
            <v>M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A197">
            <v>9</v>
          </cell>
          <cell r="C197" t="str">
            <v>Proporsi Campuran :</v>
          </cell>
          <cell r="D197" t="str">
            <v>- Agregat Kasar</v>
          </cell>
          <cell r="G197" t="str">
            <v>Ak</v>
          </cell>
          <cell r="H197">
            <v>35</v>
          </cell>
          <cell r="I197" t="str">
            <v>%</v>
          </cell>
          <cell r="J197" t="str">
            <v xml:space="preserve"> Gradasi harus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Agregat Halus</v>
          </cell>
          <cell r="G198" t="str">
            <v>Ah</v>
          </cell>
          <cell r="H198">
            <v>20</v>
          </cell>
          <cell r="I198" t="str">
            <v>%</v>
          </cell>
          <cell r="J198" t="str">
            <v xml:space="preserve"> memenuhi</v>
          </cell>
          <cell r="R198" t="str">
            <v>(Rp.)</v>
          </cell>
          <cell r="S198" t="str">
            <v>(Rp.)</v>
          </cell>
        </row>
        <row r="199">
          <cell r="D199" t="str">
            <v>- Sirtu</v>
          </cell>
          <cell r="G199" t="str">
            <v>St</v>
          </cell>
          <cell r="H199">
            <v>45</v>
          </cell>
          <cell r="I199" t="str">
            <v>%</v>
          </cell>
          <cell r="J199" t="str">
            <v xml:space="preserve"> Spesifikasi</v>
          </cell>
        </row>
        <row r="200">
          <cell r="A200" t="str">
            <v>II.</v>
          </cell>
          <cell r="C200" t="str">
            <v>URUTAN KERJA</v>
          </cell>
        </row>
        <row r="201">
          <cell r="A201">
            <v>1</v>
          </cell>
          <cell r="C201" t="str">
            <v xml:space="preserve">Wheel Loader mencampur &amp; memuat Agregat ke </v>
          </cell>
          <cell r="L201" t="str">
            <v>A.</v>
          </cell>
          <cell r="N201" t="str">
            <v>TENAGA</v>
          </cell>
        </row>
        <row r="202">
          <cell r="C202" t="str">
            <v>dalam Dump Truck di Base Camp</v>
          </cell>
        </row>
        <row r="203">
          <cell r="A203">
            <v>2</v>
          </cell>
          <cell r="C203" t="str">
            <v>Dump Truck mengangkut Agregat ke lokasi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C204" t="str">
            <v>pekerjaan dan dihampar dengan Motor Grader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A205">
            <v>3</v>
          </cell>
          <cell r="C205" t="str">
            <v>Hamparan Agregat dibasahi dengan Water Tank Truck</v>
          </cell>
        </row>
        <row r="206">
          <cell r="C206" t="str">
            <v>sebelum dipadatkan dengan Tandem Roller &amp; PTR</v>
          </cell>
        </row>
        <row r="207">
          <cell r="A207">
            <v>4</v>
          </cell>
          <cell r="C207" t="str">
            <v>Selama pemadatan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1">
          <cell r="A211" t="str">
            <v>III.</v>
          </cell>
          <cell r="C211" t="str">
            <v>PEMAKAIAN BAHAN, ALAT DAN TENAGA</v>
          </cell>
          <cell r="L211" t="str">
            <v>1.</v>
          </cell>
          <cell r="N211" t="str">
            <v>Agregat Kasar  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A212" t="str">
            <v xml:space="preserve">   1.</v>
          </cell>
          <cell r="C212" t="str">
            <v>BAHAN</v>
          </cell>
          <cell r="L212" t="str">
            <v>2.</v>
          </cell>
          <cell r="N212" t="str">
            <v>Agregat Halus 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Kasar</v>
          </cell>
          <cell r="D213" t="str">
            <v>=  Ak x 1 M3 x Fk</v>
          </cell>
          <cell r="G213" t="str">
            <v>M03</v>
          </cell>
          <cell r="H213">
            <v>0.42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Agregat Halus</v>
          </cell>
          <cell r="D214" t="str">
            <v>=  Ah x 1 M3 x Fk</v>
          </cell>
          <cell r="G214" t="str">
            <v>M04</v>
          </cell>
          <cell r="H214">
            <v>0.24</v>
          </cell>
          <cell r="I214" t="str">
            <v>M3</v>
          </cell>
        </row>
        <row r="215">
          <cell r="C215" t="str">
            <v>- Sirtu</v>
          </cell>
          <cell r="D215" t="str">
            <v>=  St x 1 M3 x Fk</v>
          </cell>
          <cell r="G215" t="str">
            <v>M16</v>
          </cell>
          <cell r="H215">
            <v>0.54</v>
          </cell>
          <cell r="I215" t="str">
            <v>M3</v>
          </cell>
        </row>
        <row r="216">
          <cell r="A216" t="str">
            <v xml:space="preserve">   2.</v>
          </cell>
          <cell r="C216" t="str">
            <v>ALAT</v>
          </cell>
        </row>
        <row r="217">
          <cell r="A217" t="str">
            <v>2.a.</v>
          </cell>
          <cell r="C217" t="str">
            <v>WHEEL LOADER</v>
          </cell>
          <cell r="G217" t="str">
            <v>(E15)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Kapasitas bucket</v>
          </cell>
          <cell r="G218" t="str">
            <v>V</v>
          </cell>
          <cell r="H218">
            <v>1.5</v>
          </cell>
          <cell r="I218" t="str">
            <v>M3</v>
          </cell>
        </row>
        <row r="219">
          <cell r="C219" t="str">
            <v>Faktor bucket</v>
          </cell>
          <cell r="G219" t="str">
            <v>Fb</v>
          </cell>
          <cell r="H219">
            <v>0.9</v>
          </cell>
          <cell r="I219" t="str">
            <v>-</v>
          </cell>
          <cell r="J219" t="str">
            <v>Pemuatan ringan</v>
          </cell>
          <cell r="L219" t="str">
            <v>C.</v>
          </cell>
          <cell r="N219" t="str">
            <v>PERALATAN</v>
          </cell>
        </row>
        <row r="220">
          <cell r="C220" t="str">
            <v>Faktor Efisiensi alat</v>
          </cell>
          <cell r="G220" t="str">
            <v>Fa</v>
          </cell>
          <cell r="H220">
            <v>0.83</v>
          </cell>
          <cell r="I220" t="str">
            <v>-</v>
          </cell>
        </row>
        <row r="221">
          <cell r="C221" t="str">
            <v>Waktu siklus</v>
          </cell>
          <cell r="G221" t="str">
            <v>Ts1</v>
          </cell>
          <cell r="L221" t="str">
            <v>1</v>
          </cell>
          <cell r="N221" t="str">
            <v>Wheel Loader</v>
          </cell>
          <cell r="O221" t="str">
            <v>E15</v>
          </cell>
          <cell r="P221" t="str">
            <v>Jam</v>
          </cell>
          <cell r="Q221">
            <v>3.5698348951360995E-2</v>
          </cell>
          <cell r="R221">
            <v>163808.13869490434</v>
          </cell>
          <cell r="U221">
            <v>5847.680096203635</v>
          </cell>
        </row>
        <row r="222">
          <cell r="C222" t="str">
            <v>- Mencampur</v>
          </cell>
          <cell r="G222" t="str">
            <v>T1</v>
          </cell>
          <cell r="H222">
            <v>1.5</v>
          </cell>
          <cell r="I222" t="str">
            <v>menit</v>
          </cell>
          <cell r="L222" t="str">
            <v>2</v>
          </cell>
          <cell r="N222" t="str">
            <v>Dump Truck</v>
          </cell>
          <cell r="O222" t="str">
            <v>E09</v>
          </cell>
          <cell r="P222" t="str">
            <v>Jam</v>
          </cell>
          <cell r="Q222">
            <v>0.14542063837680036</v>
          </cell>
          <cell r="R222">
            <v>70230.073977639215</v>
          </cell>
          <cell r="U222">
            <v>10212.90219107821</v>
          </cell>
        </row>
        <row r="223">
          <cell r="C223" t="str">
            <v>- Memuat dan lain-lain</v>
          </cell>
          <cell r="G223" t="str">
            <v>T2</v>
          </cell>
          <cell r="H223">
            <v>0.5</v>
          </cell>
          <cell r="I223" t="str">
            <v>menit</v>
          </cell>
          <cell r="L223" t="str">
            <v>3</v>
          </cell>
          <cell r="N223" t="str">
            <v>Motor Grader</v>
          </cell>
          <cell r="O223" t="str">
            <v>E13</v>
          </cell>
          <cell r="P223" t="str">
            <v>Jam</v>
          </cell>
          <cell r="Q223">
            <v>1.1713520749665328E-2</v>
          </cell>
          <cell r="R223">
            <v>201666.62574070093</v>
          </cell>
          <cell r="U223">
            <v>2362.2262051286921</v>
          </cell>
        </row>
        <row r="224">
          <cell r="G224" t="str">
            <v>Ts1</v>
          </cell>
          <cell r="H224">
            <v>2</v>
          </cell>
          <cell r="I224" t="str">
            <v>menit</v>
          </cell>
          <cell r="L224" t="str">
            <v>4</v>
          </cell>
          <cell r="N224" t="str">
            <v>Tandem Roller</v>
          </cell>
          <cell r="O224" t="str">
            <v>E17</v>
          </cell>
          <cell r="P224" t="str">
            <v>Jam</v>
          </cell>
          <cell r="Q224">
            <v>1.7849174475680501E-2</v>
          </cell>
          <cell r="R224">
            <v>293927.19306224468</v>
          </cell>
          <cell r="U224">
            <v>5246.3577521150328</v>
          </cell>
        </row>
        <row r="225">
          <cell r="L225" t="str">
            <v>5</v>
          </cell>
          <cell r="N225" t="str">
            <v>Water Tanker</v>
          </cell>
          <cell r="O225" t="str">
            <v>E23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C226" t="str">
            <v>Kap. Prod. / jam =</v>
          </cell>
          <cell r="D226" t="str">
            <v>V x Fb x Fa x 60</v>
          </cell>
          <cell r="G226" t="str">
            <v>Q1</v>
          </cell>
          <cell r="H226">
            <v>28.012500000000003</v>
          </cell>
          <cell r="I226" t="str">
            <v>M3</v>
          </cell>
          <cell r="L226" t="str">
            <v>6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D227" t="str">
            <v>Fk x Ts1</v>
          </cell>
        </row>
        <row r="228">
          <cell r="C228" t="str">
            <v>Koefisien Alat / M3</v>
          </cell>
          <cell r="D228" t="str">
            <v xml:space="preserve"> =  1  :  Q1</v>
          </cell>
          <cell r="G228" t="str">
            <v>(E15)</v>
          </cell>
          <cell r="H228">
            <v>3.5698348951360995E-2</v>
          </cell>
          <cell r="I228" t="str">
            <v>Jam</v>
          </cell>
        </row>
        <row r="229">
          <cell r="Q229" t="str">
            <v xml:space="preserve">JUMLAH HARGA PERALATAN   </v>
          </cell>
          <cell r="U229">
            <v>25157.249307366055</v>
          </cell>
        </row>
        <row r="230">
          <cell r="A230" t="str">
            <v>2.b.</v>
          </cell>
          <cell r="C230" t="str">
            <v>DUMP TRUCK</v>
          </cell>
          <cell r="G230" t="str">
            <v>(E09)</v>
          </cell>
        </row>
        <row r="231">
          <cell r="C231" t="str">
            <v>Kapasitas bak</v>
          </cell>
          <cell r="G231" t="str">
            <v>V</v>
          </cell>
          <cell r="H231">
            <v>6</v>
          </cell>
          <cell r="I231" t="str">
            <v>M3</v>
          </cell>
          <cell r="L231" t="str">
            <v>D.</v>
          </cell>
          <cell r="N231" t="str">
            <v>JUMLAH HARGA TENAGA, BAHAN DAN PERALATAN  ( A + B + C )</v>
          </cell>
          <cell r="U231">
            <v>308808.29942325567</v>
          </cell>
        </row>
        <row r="232">
          <cell r="C232" t="str">
            <v>Faktor Efisiensi alat</v>
          </cell>
          <cell r="G232" t="str">
            <v>Fa</v>
          </cell>
          <cell r="H232">
            <v>0.83</v>
          </cell>
          <cell r="I232" t="str">
            <v>-</v>
          </cell>
          <cell r="L232" t="str">
            <v>E.</v>
          </cell>
          <cell r="N232" t="str">
            <v>OVERHEAD &amp; PROFIT</v>
          </cell>
          <cell r="P232">
            <v>10</v>
          </cell>
          <cell r="Q232" t="str">
            <v>%  x  D</v>
          </cell>
          <cell r="U232">
            <v>30880.829942325567</v>
          </cell>
        </row>
        <row r="233">
          <cell r="C233" t="str">
            <v>Kecepatan rata-rata bermuatan</v>
          </cell>
          <cell r="G233" t="str">
            <v>v1</v>
          </cell>
          <cell r="H233">
            <v>45</v>
          </cell>
          <cell r="I233" t="str">
            <v>KM / Jam</v>
          </cell>
          <cell r="L233" t="str">
            <v>F.</v>
          </cell>
          <cell r="N233" t="str">
            <v>HARGA SATUAN PEKERJAAN  ( D + E )</v>
          </cell>
          <cell r="U233">
            <v>339689.1293655812</v>
          </cell>
        </row>
        <row r="234">
          <cell r="C234" t="str">
            <v>Kecepatan rata-rata kosong</v>
          </cell>
          <cell r="G234" t="str">
            <v>v2</v>
          </cell>
          <cell r="H234">
            <v>60</v>
          </cell>
          <cell r="I234" t="str">
            <v>KM / Jam</v>
          </cell>
          <cell r="L234" t="str">
            <v>Note: 1</v>
          </cell>
          <cell r="N234" t="str">
            <v>SATUAN dapat berdasarkan atas jam operasi untuk Tenaga Kerja dan Peralatan, volume dan/atau ukuran</v>
          </cell>
        </row>
        <row r="235">
          <cell r="C235" t="str">
            <v>Waktu Siklus  :  - Waktu memuat = V : Q1 x 60</v>
          </cell>
          <cell r="G235" t="str">
            <v>T1</v>
          </cell>
          <cell r="H235">
            <v>12.851405622489958</v>
          </cell>
          <cell r="I235" t="str">
            <v>menit</v>
          </cell>
          <cell r="N235" t="str">
            <v>berat untuk bahan-bahan.</v>
          </cell>
        </row>
        <row r="236">
          <cell r="C236" t="str">
            <v>- Waktu tempuh isi = (L : v1) x 60 menit</v>
          </cell>
          <cell r="G236" t="str">
            <v>T2</v>
          </cell>
          <cell r="H236">
            <v>11.633333333333333</v>
          </cell>
          <cell r="I236" t="str">
            <v>menit</v>
          </cell>
          <cell r="L236">
            <v>2</v>
          </cell>
          <cell r="N236" t="str">
            <v>Kuantitas satuan adalah kuantitas setiap komponen untuk menyelesaikan satu satuan pekerjaan dari nomor</v>
          </cell>
        </row>
        <row r="237">
          <cell r="C237" t="str">
            <v>- Waktu tempuh kosong = (L : v2) x 60 menit</v>
          </cell>
          <cell r="G237" t="str">
            <v>T3</v>
          </cell>
          <cell r="H237">
            <v>8.7249999999999996</v>
          </cell>
          <cell r="I237" t="str">
            <v>menit</v>
          </cell>
          <cell r="N237" t="str">
            <v>mata pembayaran.</v>
          </cell>
        </row>
        <row r="238">
          <cell r="C238" t="str">
            <v>- Lain-lain termasuk menurunkan Agregat</v>
          </cell>
          <cell r="G238" t="str">
            <v>T4</v>
          </cell>
          <cell r="H238">
            <v>3</v>
          </cell>
          <cell r="I238" t="str">
            <v>menit</v>
          </cell>
          <cell r="L238">
            <v>3</v>
          </cell>
          <cell r="N238" t="str">
            <v>Biaya satuan untuk peralatan sudah termasuk bahan bakar, bahan habis dipakai dan operator.</v>
          </cell>
        </row>
        <row r="239">
          <cell r="G239" t="str">
            <v>Ts2</v>
          </cell>
          <cell r="H239">
            <v>36.20973895582329</v>
          </cell>
          <cell r="I239" t="str">
            <v>menit</v>
          </cell>
          <cell r="L239">
            <v>4</v>
          </cell>
          <cell r="N239" t="str">
            <v>Biaya satuan sudah termasuk pengeluaran untuk seluruh pajak yang berkaitan (tetapi tidak termasuk PPN</v>
          </cell>
        </row>
        <row r="240">
          <cell r="J240" t="str">
            <v>Berlanjut ke halaman berikut</v>
          </cell>
          <cell r="N240" t="str">
            <v>yang dibayar dari kontrak) dan biaya-biaya lainnya.</v>
          </cell>
        </row>
        <row r="241">
          <cell r="A241" t="str">
            <v>ITEM PEMBAYARAN NO.</v>
          </cell>
          <cell r="D241" t="str">
            <v>:  4.2 (2)</v>
          </cell>
          <cell r="J241" t="str">
            <v>Analisa EI-422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J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 xml:space="preserve">Kap. Prod. / Jam = 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1 : Q2</v>
          </cell>
          <cell r="G251" t="str">
            <v>(E08)</v>
          </cell>
          <cell r="H251">
            <v>0.14542063837680036</v>
          </cell>
          <cell r="I251" t="str">
            <v>Jam</v>
          </cell>
        </row>
        <row r="253">
          <cell r="A253" t="str">
            <v>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 / 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>3 x pp</v>
          </cell>
        </row>
        <row r="259">
          <cell r="C259" t="str">
            <v>Waktu Siklus</v>
          </cell>
          <cell r="G259" t="str">
            <v>Ts3</v>
          </cell>
        </row>
        <row r="260">
          <cell r="C260" t="str">
            <v>- Perataan 1 lintasan  = (Lh x 60) : (v x 1000)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1 :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>2.d.</v>
          </cell>
          <cell r="C268" t="str">
            <v>TANDEM ROLLER</v>
          </cell>
          <cell r="G268" t="str">
            <v>(E17)</v>
          </cell>
        </row>
        <row r="269">
          <cell r="C269" t="str">
            <v>Kecepatan rata-rata</v>
          </cell>
          <cell r="G269" t="str">
            <v>v</v>
          </cell>
          <cell r="H269">
            <v>3</v>
          </cell>
          <cell r="I269" t="str">
            <v>KM / 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Kap.Prod./jam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1 : Q4</v>
          </cell>
          <cell r="G276" t="str">
            <v>(E17)</v>
          </cell>
          <cell r="H276">
            <v>1.7849174475680501E-2</v>
          </cell>
          <cell r="I276" t="str">
            <v>Jam</v>
          </cell>
        </row>
        <row r="279">
          <cell r="A279" t="str">
            <v>2.e.</v>
          </cell>
          <cell r="C279" t="str">
            <v>WATER TANKER</v>
          </cell>
          <cell r="G279" t="str">
            <v>(E23)</v>
          </cell>
        </row>
        <row r="280">
          <cell r="C280" t="str">
            <v>Volume Tangki air</v>
          </cell>
          <cell r="G280" t="str">
            <v>V</v>
          </cell>
          <cell r="H280">
            <v>4</v>
          </cell>
          <cell r="I280" t="str">
            <v>M3</v>
          </cell>
          <cell r="J280" t="str">
            <v>Lump Sum</v>
          </cell>
        </row>
        <row r="281">
          <cell r="C281" t="str">
            <v>Kebutuhan air / M3 agregat padat</v>
          </cell>
          <cell r="G281" t="str">
            <v>Wc</v>
          </cell>
          <cell r="H281">
            <v>7.0000000000000007E-2</v>
          </cell>
          <cell r="I281" t="str">
            <v>M3</v>
          </cell>
        </row>
        <row r="282">
          <cell r="C282" t="str">
            <v>Pengisian tangki / Jam</v>
          </cell>
          <cell r="G282" t="str">
            <v>n</v>
          </cell>
          <cell r="H282">
            <v>1</v>
          </cell>
          <cell r="I282" t="str">
            <v>kali</v>
          </cell>
        </row>
        <row r="283">
          <cell r="C283" t="str">
            <v>Faktor efisiensi alat</v>
          </cell>
          <cell r="G283" t="str">
            <v>Fa</v>
          </cell>
          <cell r="H283">
            <v>0.83</v>
          </cell>
          <cell r="I283" t="str">
            <v>-</v>
          </cell>
        </row>
        <row r="285">
          <cell r="C285" t="str">
            <v>Kap. Prod. / Jam  =</v>
          </cell>
          <cell r="D285" t="str">
            <v>V x n Fa</v>
          </cell>
          <cell r="G285" t="str">
            <v>Q5</v>
          </cell>
          <cell r="H285">
            <v>47.428571428571423</v>
          </cell>
          <cell r="I285" t="str">
            <v>M3</v>
          </cell>
        </row>
        <row r="286">
          <cell r="D286" t="str">
            <v>Wc</v>
          </cell>
        </row>
        <row r="288">
          <cell r="C288" t="str">
            <v>Koefisien Alat / M3</v>
          </cell>
          <cell r="D288" t="str">
            <v xml:space="preserve"> =   1 : Q5</v>
          </cell>
          <cell r="G288" t="str">
            <v>(E23)</v>
          </cell>
          <cell r="H288">
            <v>2.1084337349397592E-2</v>
          </cell>
          <cell r="I288" t="str">
            <v>Jam</v>
          </cell>
        </row>
        <row r="292">
          <cell r="C292" t="str">
            <v>ALAT BANTU</v>
          </cell>
        </row>
        <row r="293">
          <cell r="C293" t="str">
            <v>diperlukan :</v>
          </cell>
        </row>
        <row r="294">
          <cell r="C294" t="str">
            <v>- Kereta dorong   = 2 buah</v>
          </cell>
        </row>
        <row r="295">
          <cell r="C295" t="str">
            <v>- Sekop                = 3 buah</v>
          </cell>
        </row>
        <row r="296">
          <cell r="C296" t="str">
            <v>- Garpu                = 2 buah</v>
          </cell>
        </row>
        <row r="299">
          <cell r="J299" t="str">
            <v>Berlanjut ke halaman berikut</v>
          </cell>
        </row>
        <row r="300">
          <cell r="A300" t="str">
            <v>ITEM PEMBAYARAN NO.</v>
          </cell>
          <cell r="D300" t="str">
            <v>:  4.2 (2)</v>
          </cell>
          <cell r="J300" t="str">
            <v>Analisa EI-422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J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3.</v>
          </cell>
          <cell r="C308" t="str">
            <v>TENAGA</v>
          </cell>
        </row>
        <row r="309">
          <cell r="C309" t="str">
            <v>Produksi menentukan : WHEEL LOADER</v>
          </cell>
          <cell r="G309" t="str">
            <v>Q1</v>
          </cell>
          <cell r="H309">
            <v>28.012500000000003</v>
          </cell>
          <cell r="I309" t="str">
            <v>M3/Jam</v>
          </cell>
        </row>
        <row r="310">
          <cell r="C310" t="str">
            <v>Produksi Agregat / hari  =  Tk x Q1</v>
          </cell>
          <cell r="G310" t="str">
            <v>Qt</v>
          </cell>
          <cell r="H310">
            <v>196.08750000000003</v>
          </cell>
          <cell r="I310" t="str">
            <v>M3</v>
          </cell>
        </row>
        <row r="311">
          <cell r="C311" t="str">
            <v>Kebutuhan tenaga :</v>
          </cell>
        </row>
        <row r="312">
          <cell r="D312" t="str">
            <v>- Pekerja</v>
          </cell>
          <cell r="G312" t="str">
            <v>P</v>
          </cell>
          <cell r="H312">
            <v>7</v>
          </cell>
          <cell r="I312" t="str">
            <v>orang</v>
          </cell>
        </row>
        <row r="313">
          <cell r="D313" t="str">
            <v>- Mandor</v>
          </cell>
          <cell r="G313" t="str">
            <v>M</v>
          </cell>
          <cell r="H313">
            <v>1</v>
          </cell>
          <cell r="I313" t="str">
            <v>orang</v>
          </cell>
        </row>
        <row r="315">
          <cell r="C315" t="str">
            <v>Koefisien tenaga / M3     :</v>
          </cell>
        </row>
        <row r="316">
          <cell r="D316" t="str">
            <v>- Pekerja</v>
          </cell>
          <cell r="E316" t="str">
            <v>= (Tk x P) : Qt</v>
          </cell>
          <cell r="G316" t="str">
            <v>(L01)</v>
          </cell>
          <cell r="H316">
            <v>0.24988844265952695</v>
          </cell>
          <cell r="I316" t="str">
            <v>Jam</v>
          </cell>
        </row>
        <row r="317">
          <cell r="D317" t="str">
            <v>- Mandor</v>
          </cell>
          <cell r="E317" t="str">
            <v>= (Tk x M) : Qt</v>
          </cell>
          <cell r="G317" t="str">
            <v>(L03)</v>
          </cell>
          <cell r="H317">
            <v>3.5698348951360995E-2</v>
          </cell>
          <cell r="I317" t="str">
            <v>Jam</v>
          </cell>
        </row>
        <row r="319">
          <cell r="A319" t="str">
            <v>4.</v>
          </cell>
          <cell r="C319" t="str">
            <v>HARGA DASAR SATUAN UPAH, BAHAN DAN ALAT</v>
          </cell>
        </row>
        <row r="320">
          <cell r="C320" t="str">
            <v>Lihat lampiran.</v>
          </cell>
        </row>
        <row r="322">
          <cell r="A322" t="str">
            <v>5.</v>
          </cell>
          <cell r="C322" t="str">
            <v>ANALISA HARGA SATUAN PEKERJAAN</v>
          </cell>
        </row>
        <row r="323">
          <cell r="C323" t="str">
            <v>Lihat perhitungan dalam FORMULIR STANDAR UNTUK</v>
          </cell>
        </row>
        <row r="324">
          <cell r="C324" t="str">
            <v>PEREKEMAN ANALISA MASING-MASING HARGA</v>
          </cell>
        </row>
        <row r="325">
          <cell r="C325" t="str">
            <v>SATUAN.</v>
          </cell>
        </row>
        <row r="326">
          <cell r="C326" t="str">
            <v>Didapat Harga Satuan Pekerjaan :</v>
          </cell>
        </row>
        <row r="328">
          <cell r="C328" t="str">
            <v xml:space="preserve">Rp.  </v>
          </cell>
          <cell r="D328">
            <v>339689.1293655812</v>
          </cell>
          <cell r="E328" t="str">
            <v xml:space="preserve"> / M3.</v>
          </cell>
        </row>
        <row r="331">
          <cell r="A331" t="str">
            <v>6.</v>
          </cell>
          <cell r="C331" t="str">
            <v>WAKTU PELAKSANAAN YANG DIPERLUKAN</v>
          </cell>
        </row>
        <row r="332">
          <cell r="C332" t="str">
            <v>Waktu pelaksanaan</v>
          </cell>
          <cell r="D332" t="str">
            <v>:  . . . . . . .  bulan</v>
          </cell>
        </row>
        <row r="334">
          <cell r="A334" t="str">
            <v>7.</v>
          </cell>
          <cell r="C334" t="str">
            <v>VOLUME PEKERJAAN YANG DIPERLUKAN</v>
          </cell>
        </row>
        <row r="335">
          <cell r="C335" t="str">
            <v>Volume pekerjaan  :</v>
          </cell>
          <cell r="D335">
            <v>0</v>
          </cell>
          <cell r="E335" t="str">
            <v>M3</v>
          </cell>
        </row>
        <row r="359">
          <cell r="A359" t="str">
            <v>ITEM PEMBAYARAN NO.</v>
          </cell>
          <cell r="D359" t="str">
            <v>:  4.2 (4)</v>
          </cell>
          <cell r="J359" t="str">
            <v>Analisa EI-424</v>
          </cell>
          <cell r="T359" t="str">
            <v>Analisa EI-424</v>
          </cell>
        </row>
        <row r="360">
          <cell r="A360" t="str">
            <v>JENIS PEKERJAAN</v>
          </cell>
          <cell r="D360" t="str">
            <v>:  SEMEN Utk. Pond. Semen Tanah</v>
          </cell>
        </row>
        <row r="361">
          <cell r="A361" t="str">
            <v>SATUAN PEMBAYARAN</v>
          </cell>
          <cell r="D361" t="str">
            <v>:  TON</v>
          </cell>
          <cell r="J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>: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>:</v>
          </cell>
        </row>
        <row r="368">
          <cell r="A368">
            <v>1</v>
          </cell>
          <cell r="C368" t="str">
            <v>Pekerjaan dilakukan secara manual</v>
          </cell>
          <cell r="L368" t="str">
            <v>NAMA PAKET</v>
          </cell>
          <cell r="O368" t="str">
            <v>: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>:</v>
          </cell>
        </row>
        <row r="370">
          <cell r="A370">
            <v>3</v>
          </cell>
          <cell r="C370" t="str">
            <v>Kondisi Jalan   :  sedang / baik</v>
          </cell>
          <cell r="L370" t="str">
            <v>ITEM PEMBAYARAN NO.</v>
          </cell>
          <cell r="O370" t="str">
            <v>:  4.2 (4)</v>
          </cell>
          <cell r="R370" t="str">
            <v>PERKIRAAN VOL. PEK.</v>
          </cell>
          <cell r="T370" t="str">
            <v>:</v>
          </cell>
          <cell r="U370">
            <v>0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SEMEN Utk. Pond. Semen Tanah</v>
          </cell>
          <cell r="R371" t="str">
            <v>TOTAL HARGA (Rp.)</v>
          </cell>
          <cell r="T371" t="str">
            <v>:</v>
          </cell>
          <cell r="U371">
            <v>0</v>
          </cell>
        </row>
        <row r="372">
          <cell r="A372">
            <v>5</v>
          </cell>
          <cell r="C372" t="str">
            <v>Jam kerja efektif per-hari</v>
          </cell>
          <cell r="G372" t="str">
            <v>Tk</v>
          </cell>
          <cell r="H372">
            <v>7</v>
          </cell>
          <cell r="I372" t="str">
            <v>Jam</v>
          </cell>
          <cell r="L372" t="str">
            <v>SATUAN PEMBAYARAN</v>
          </cell>
          <cell r="O372" t="str">
            <v>:  TON</v>
          </cell>
          <cell r="R372" t="str">
            <v>% THD. BIAYA PROYEK</v>
          </cell>
          <cell r="T372" t="str">
            <v>:</v>
          </cell>
          <cell r="U372" t="e">
            <v>#DIV/0!</v>
          </cell>
        </row>
        <row r="373">
          <cell r="A373">
            <v>6</v>
          </cell>
          <cell r="C373" t="str">
            <v>Semen diangkut dari Base Camp ke lapangan</v>
          </cell>
        </row>
        <row r="374">
          <cell r="C374" t="str">
            <v>dengan menggunakan Dump Truck</v>
          </cell>
        </row>
        <row r="375">
          <cell r="A375">
            <v>7</v>
          </cell>
          <cell r="C375" t="str">
            <v>Satu hari dapat diselesaikan hamparan Soil Cement</v>
          </cell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C376" t="str">
            <v>sepanjang</v>
          </cell>
          <cell r="G376" t="str">
            <v>Ls</v>
          </cell>
          <cell r="H376">
            <v>400</v>
          </cell>
          <cell r="I376" t="str">
            <v>M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8</v>
          </cell>
          <cell r="C377" t="str">
            <v>Faktor kehilangan bahan</v>
          </cell>
          <cell r="G377" t="str">
            <v>Fh</v>
          </cell>
          <cell r="H377">
            <v>1.05</v>
          </cell>
          <cell r="I377" t="str">
            <v>-</v>
          </cell>
          <cell r="R377" t="str">
            <v>(Rp.)</v>
          </cell>
          <cell r="S377" t="str">
            <v>(Rp.)</v>
          </cell>
        </row>
        <row r="378">
          <cell r="A378">
            <v>9</v>
          </cell>
          <cell r="C378" t="str">
            <v>Tebal hamparan</v>
          </cell>
          <cell r="G378" t="str">
            <v>t</v>
          </cell>
          <cell r="H378">
            <v>0.15</v>
          </cell>
          <cell r="I378" t="str">
            <v>M</v>
          </cell>
        </row>
        <row r="380">
          <cell r="A380" t="str">
            <v>II.</v>
          </cell>
          <cell r="C380" t="str">
            <v>URUTAN KERJA</v>
          </cell>
          <cell r="L380" t="str">
            <v>A.</v>
          </cell>
          <cell r="N380" t="str">
            <v>TENAGA</v>
          </cell>
        </row>
        <row r="381">
          <cell r="A381">
            <v>1</v>
          </cell>
          <cell r="C381" t="str">
            <v>Dump Truck mengangkut semen dari Base Camp</v>
          </cell>
        </row>
        <row r="382">
          <cell r="C382" t="str">
            <v>ke lokasi Pekerjaan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2.4305555555555554</v>
          </cell>
          <cell r="R382">
            <v>2857.14</v>
          </cell>
          <cell r="U382">
            <v>6944.4374999999991</v>
          </cell>
        </row>
        <row r="383">
          <cell r="A383">
            <v>2</v>
          </cell>
          <cell r="C383" t="str">
            <v>Semen diatur/disusun di tempat hamparan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0.16203703703703703</v>
          </cell>
          <cell r="R383">
            <v>3214.29</v>
          </cell>
          <cell r="U383">
            <v>520.83402777777781</v>
          </cell>
        </row>
        <row r="384">
          <cell r="C384" t="str">
            <v>soil/tanah oleh tenaga manusia</v>
          </cell>
        </row>
        <row r="386">
          <cell r="A386" t="str">
            <v>III.</v>
          </cell>
          <cell r="C386" t="str">
            <v>PEMAKAIAN BAHAN, ALAT DAN TENAGA</v>
          </cell>
          <cell r="Q386" t="str">
            <v xml:space="preserve">JUMLAH HARGA TENAGA   </v>
          </cell>
          <cell r="U386">
            <v>7465.271527777777</v>
          </cell>
        </row>
        <row r="387">
          <cell r="A387" t="str">
            <v xml:space="preserve">   1.</v>
          </cell>
          <cell r="C387" t="str">
            <v>BAHAN</v>
          </cell>
        </row>
        <row r="388">
          <cell r="C388" t="str">
            <v>Semen yang diperlukan / ton   = (1 x Fh) x 1000</v>
          </cell>
          <cell r="G388" t="str">
            <v>(M12)</v>
          </cell>
          <cell r="H388">
            <v>1050</v>
          </cell>
          <cell r="I388" t="str">
            <v>Kg</v>
          </cell>
          <cell r="L388" t="str">
            <v>B.</v>
          </cell>
          <cell r="N388" t="str">
            <v>BAHAN</v>
          </cell>
        </row>
        <row r="389">
          <cell r="L389" t="str">
            <v>1.</v>
          </cell>
          <cell r="N389" t="str">
            <v>Semen</v>
          </cell>
          <cell r="O389" t="str">
            <v>(M12)</v>
          </cell>
          <cell r="P389" t="str">
            <v>Kg</v>
          </cell>
          <cell r="Q389">
            <v>1050</v>
          </cell>
          <cell r="R389">
            <v>550.92499999999995</v>
          </cell>
          <cell r="U389">
            <v>578471.25</v>
          </cell>
        </row>
        <row r="390">
          <cell r="A390" t="str">
            <v xml:space="preserve">   2.</v>
          </cell>
          <cell r="C390" t="str">
            <v>ALAT</v>
          </cell>
        </row>
        <row r="391">
          <cell r="A391" t="str">
            <v>2.a.</v>
          </cell>
          <cell r="C391" t="str">
            <v>DUMP TRUCK</v>
          </cell>
          <cell r="G391" t="str">
            <v>(E08)</v>
          </cell>
        </row>
        <row r="392">
          <cell r="C392" t="str">
            <v>Kapasitas bak</v>
          </cell>
          <cell r="G392" t="str">
            <v>V</v>
          </cell>
          <cell r="H392">
            <v>10</v>
          </cell>
          <cell r="I392" t="str">
            <v>Ton</v>
          </cell>
        </row>
        <row r="393">
          <cell r="C393" t="str">
            <v>Faktor efisiensi alat</v>
          </cell>
          <cell r="G393" t="str">
            <v>Fa</v>
          </cell>
          <cell r="H393">
            <v>0.83</v>
          </cell>
          <cell r="I393" t="str">
            <v>-</v>
          </cell>
        </row>
        <row r="394">
          <cell r="C394" t="str">
            <v>Kecepatan rata-rata bermuatan</v>
          </cell>
          <cell r="G394" t="str">
            <v>v1</v>
          </cell>
          <cell r="H394">
            <v>45</v>
          </cell>
          <cell r="I394" t="str">
            <v>Km / Jam</v>
          </cell>
        </row>
        <row r="395">
          <cell r="C395" t="str">
            <v>Kecepatan rata-rata kosong</v>
          </cell>
          <cell r="G395" t="str">
            <v>v2</v>
          </cell>
          <cell r="H395">
            <v>60</v>
          </cell>
          <cell r="I395" t="str">
            <v>Km / Jam</v>
          </cell>
        </row>
        <row r="396">
          <cell r="C396" t="str">
            <v>Waktu siklus</v>
          </cell>
          <cell r="G396" t="str">
            <v>Ts1</v>
          </cell>
          <cell r="Q396" t="str">
            <v xml:space="preserve">JUMLAH HARGA BAHAN   </v>
          </cell>
          <cell r="U396">
            <v>578471.25</v>
          </cell>
        </row>
        <row r="397">
          <cell r="C397" t="str">
            <v>- Waktu tempuh isi            = (L : v1) x 60</v>
          </cell>
          <cell r="G397" t="str">
            <v>T1</v>
          </cell>
          <cell r="H397">
            <v>11.633333333333333</v>
          </cell>
          <cell r="I397" t="str">
            <v>menit</v>
          </cell>
        </row>
        <row r="398">
          <cell r="C398" t="str">
            <v>- Waktu tempuh kosong   = (L : v2) x 60</v>
          </cell>
          <cell r="G398" t="str">
            <v>T2</v>
          </cell>
          <cell r="H398">
            <v>8.7249999999999996</v>
          </cell>
          <cell r="I398" t="str">
            <v>menit</v>
          </cell>
          <cell r="L398" t="str">
            <v>C.</v>
          </cell>
          <cell r="N398" t="str">
            <v>PERALATAN</v>
          </cell>
        </row>
        <row r="399">
          <cell r="C399" t="str">
            <v>- Waktu mengisi</v>
          </cell>
          <cell r="G399" t="str">
            <v>T3</v>
          </cell>
          <cell r="H399">
            <v>40</v>
          </cell>
          <cell r="I399" t="str">
            <v>menit</v>
          </cell>
          <cell r="L399" t="str">
            <v>1.</v>
          </cell>
          <cell r="N399" t="str">
            <v>Dump Truck</v>
          </cell>
          <cell r="O399" t="str">
            <v>(E08)</v>
          </cell>
          <cell r="P399" t="str">
            <v>Jam</v>
          </cell>
          <cell r="Q399">
            <v>0.21159889558232936</v>
          </cell>
          <cell r="R399">
            <v>153645.58193291764</v>
          </cell>
          <cell r="U399">
            <v>32511.23544810967</v>
          </cell>
        </row>
        <row r="400">
          <cell r="C400" t="str">
            <v>- Waktu bongkar</v>
          </cell>
          <cell r="G400" t="str">
            <v>T4</v>
          </cell>
          <cell r="H400">
            <v>30</v>
          </cell>
          <cell r="I400" t="str">
            <v>menit</v>
          </cell>
        </row>
        <row r="401">
          <cell r="C401" t="str">
            <v>- Lain-lain</v>
          </cell>
          <cell r="G401" t="str">
            <v>T5</v>
          </cell>
          <cell r="H401">
            <v>10</v>
          </cell>
          <cell r="I401" t="str">
            <v>menit</v>
          </cell>
        </row>
        <row r="402">
          <cell r="G402" t="str">
            <v>Ts1</v>
          </cell>
          <cell r="H402">
            <v>100.35833333333333</v>
          </cell>
          <cell r="I402" t="str">
            <v>menit</v>
          </cell>
        </row>
        <row r="404">
          <cell r="C404" t="str">
            <v>Kap. Prod. / jam =</v>
          </cell>
          <cell r="D404" t="str">
            <v>V x Fa x 60</v>
          </cell>
          <cell r="G404" t="str">
            <v>Q1</v>
          </cell>
          <cell r="H404">
            <v>4.7259225869206762</v>
          </cell>
          <cell r="I404" t="str">
            <v>Ton</v>
          </cell>
        </row>
        <row r="405">
          <cell r="D405" t="str">
            <v xml:space="preserve">   Fh x Ts1</v>
          </cell>
        </row>
        <row r="407">
          <cell r="C407" t="str">
            <v>Koefisien Alat/Ton</v>
          </cell>
          <cell r="D407" t="str">
            <v xml:space="preserve">  =    1 / Q1</v>
          </cell>
          <cell r="G407" t="str">
            <v>(E08)</v>
          </cell>
          <cell r="H407">
            <v>0.21159889558232936</v>
          </cell>
          <cell r="I407" t="str">
            <v>Jam</v>
          </cell>
        </row>
        <row r="408">
          <cell r="Q408" t="str">
            <v xml:space="preserve">JUMLAH HARGA PERALATAN   </v>
          </cell>
          <cell r="U408">
            <v>32511.23544810967</v>
          </cell>
        </row>
        <row r="409">
          <cell r="A409" t="str">
            <v xml:space="preserve">   3.</v>
          </cell>
          <cell r="C409" t="str">
            <v>TENAGA</v>
          </cell>
        </row>
        <row r="410">
          <cell r="C410" t="str">
            <v>Lebar Hamparan Soil Cement</v>
          </cell>
          <cell r="G410" t="str">
            <v>b</v>
          </cell>
          <cell r="H410">
            <v>6</v>
          </cell>
          <cell r="I410" t="str">
            <v>M</v>
          </cell>
          <cell r="L410" t="str">
            <v>D.</v>
          </cell>
          <cell r="N410" t="str">
            <v>JUMLAH HARGA TENAGA, BAHAN DAN PERALATAN  ( A + B + C )</v>
          </cell>
          <cell r="U410">
            <v>618447.75697588746</v>
          </cell>
        </row>
        <row r="411">
          <cell r="C411" t="str">
            <v>Kadar semen  (3 - 12) %</v>
          </cell>
          <cell r="G411" t="str">
            <v>s</v>
          </cell>
          <cell r="H411">
            <v>7.5</v>
          </cell>
          <cell r="I411" t="str">
            <v>%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61844.775697588746</v>
          </cell>
        </row>
        <row r="412">
          <cell r="C412" t="str">
            <v>Berat jenis tanah</v>
          </cell>
          <cell r="G412" t="str">
            <v>Bj</v>
          </cell>
          <cell r="H412">
            <v>1.6</v>
          </cell>
          <cell r="I412" t="str">
            <v>ton / M3</v>
          </cell>
          <cell r="L412" t="str">
            <v>F.</v>
          </cell>
          <cell r="N412" t="str">
            <v>HARGA SATUAN PEKERJAAN  ( D + E )</v>
          </cell>
          <cell r="U412">
            <v>680292.53267347626</v>
          </cell>
        </row>
        <row r="413">
          <cell r="C413" t="str">
            <v>Setiap hari dengan produksi = {(s : 100) x t x b x Ls} x Bj</v>
          </cell>
          <cell r="G413" t="str">
            <v>Qt</v>
          </cell>
          <cell r="H413">
            <v>43.2</v>
          </cell>
          <cell r="I413" t="str">
            <v>Ton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N414" t="str">
            <v>berat untuk bahan-bahan.</v>
          </cell>
        </row>
        <row r="415">
          <cell r="C415" t="str">
            <v>Kebutuhan tenaga :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D416" t="str">
            <v>- Pekerja</v>
          </cell>
          <cell r="G416" t="str">
            <v>P</v>
          </cell>
          <cell r="H416">
            <v>15</v>
          </cell>
          <cell r="I416" t="str">
            <v>orang</v>
          </cell>
          <cell r="N416" t="str">
            <v>mata pembayaran.</v>
          </cell>
        </row>
        <row r="417">
          <cell r="D417" t="str">
            <v>- Mandor</v>
          </cell>
          <cell r="G417" t="str">
            <v>M</v>
          </cell>
          <cell r="H417">
            <v>1</v>
          </cell>
          <cell r="I417" t="str">
            <v>orang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halaman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4.2 (4)</v>
          </cell>
          <cell r="J420" t="str">
            <v>Analisa EI-424</v>
          </cell>
        </row>
        <row r="421">
          <cell r="A421" t="str">
            <v>JENIS PEKERJAAN</v>
          </cell>
          <cell r="D421" t="str">
            <v>:  SEMEN Utk. Pond. Semen Tanah</v>
          </cell>
        </row>
        <row r="422">
          <cell r="A422" t="str">
            <v>SATUAN PEMBAYARAN</v>
          </cell>
          <cell r="D422" t="str">
            <v>:  TON</v>
          </cell>
          <cell r="J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>Koefisien tenaga / Ton  :</v>
          </cell>
        </row>
        <row r="429">
          <cell r="D429" t="str">
            <v>- Pekerja</v>
          </cell>
          <cell r="E429" t="str">
            <v>= (Tk x P) : Qt</v>
          </cell>
          <cell r="G429" t="str">
            <v>(L01)</v>
          </cell>
          <cell r="H429">
            <v>2.4305555555555554</v>
          </cell>
          <cell r="I429" t="str">
            <v>Jam</v>
          </cell>
        </row>
        <row r="430">
          <cell r="D430" t="str">
            <v>- Mandor</v>
          </cell>
          <cell r="E430" t="str">
            <v>= (Tk x M) : Qt</v>
          </cell>
          <cell r="G430" t="str">
            <v>(L03)</v>
          </cell>
          <cell r="H430">
            <v>0.16203703703703703</v>
          </cell>
          <cell r="I430" t="str">
            <v>Jam</v>
          </cell>
        </row>
        <row r="433">
          <cell r="A433" t="str">
            <v>4.</v>
          </cell>
          <cell r="C433" t="str">
            <v>HARGA DASAR SATUAN UPAH, BAHAN DAN ALAT</v>
          </cell>
        </row>
        <row r="434">
          <cell r="C434" t="str">
            <v>Lihat lampiran.</v>
          </cell>
        </row>
        <row r="437">
          <cell r="A437" t="str">
            <v>5.</v>
          </cell>
          <cell r="C437" t="str">
            <v>ANALISA HARGA SATUAN PEKERJAAN</v>
          </cell>
        </row>
        <row r="438">
          <cell r="C438" t="str">
            <v>Lihat perhitungan dalam FORMULIR STANDAR UNTUK</v>
          </cell>
        </row>
        <row r="439">
          <cell r="C439" t="str">
            <v>PEREKEMAN ANALISA MASING-MASING HARGA</v>
          </cell>
        </row>
        <row r="440">
          <cell r="C440" t="str">
            <v>SATUAN.</v>
          </cell>
        </row>
        <row r="441">
          <cell r="C441" t="str">
            <v>Didapat Harga Satuan Pekerjaan :</v>
          </cell>
        </row>
        <row r="443">
          <cell r="C443" t="str">
            <v xml:space="preserve">Rp.  </v>
          </cell>
          <cell r="D443">
            <v>680292.53267347626</v>
          </cell>
          <cell r="E443" t="str">
            <v xml:space="preserve"> / Ton</v>
          </cell>
        </row>
        <row r="446">
          <cell r="A446" t="str">
            <v>6.</v>
          </cell>
          <cell r="C446" t="str">
            <v>WAKTU PELAKSANAAN YANG DIPERLUKAN</v>
          </cell>
        </row>
        <row r="447">
          <cell r="C447" t="str">
            <v>Waktu pelaksanaan</v>
          </cell>
          <cell r="D447" t="str">
            <v>:  . . . . . . .  bulan</v>
          </cell>
        </row>
        <row r="449">
          <cell r="A449" t="str">
            <v>7.</v>
          </cell>
          <cell r="C449" t="str">
            <v>VOLUME PEKERJAAN YANG DIPERLUKAN</v>
          </cell>
        </row>
        <row r="450">
          <cell r="C450" t="str">
            <v>Volume pekerjaan  :</v>
          </cell>
          <cell r="D450">
            <v>0</v>
          </cell>
          <cell r="E450" t="str">
            <v>Ton</v>
          </cell>
        </row>
        <row r="479">
          <cell r="A479" t="str">
            <v>ITEM PEMBAYARAN NO.</v>
          </cell>
          <cell r="D479" t="str">
            <v>:  4.2 (3)</v>
          </cell>
          <cell r="J479" t="str">
            <v>Analisa EI-423</v>
          </cell>
          <cell r="T479" t="str">
            <v>Analisa EI-423</v>
          </cell>
        </row>
        <row r="480">
          <cell r="A480" t="str">
            <v>JENIS PEKERJAAN</v>
          </cell>
          <cell r="D480" t="str">
            <v>:  Lapis Pondasi Semen Tanah</v>
          </cell>
        </row>
        <row r="481">
          <cell r="A481" t="str">
            <v>SATUAN PEMBAYARAN</v>
          </cell>
          <cell r="D481" t="str">
            <v>:  M3</v>
          </cell>
          <cell r="J481" t="str">
            <v xml:space="preserve">         URAIAN ANALISA HARGA SATUAN</v>
          </cell>
          <cell r="L481" t="str">
            <v>FORMULIR STANDAR UNTUK</v>
          </cell>
        </row>
        <row r="482">
          <cell r="L482" t="str">
            <v>PEREKAMAN ANALISA MASING-MASING HARGA SATUAN</v>
          </cell>
        </row>
        <row r="483">
          <cell r="L483" t="str">
            <v/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6">
          <cell r="L486" t="str">
            <v>PROYEK</v>
          </cell>
          <cell r="O486" t="str">
            <v>:</v>
          </cell>
        </row>
        <row r="487">
          <cell r="A487" t="str">
            <v>I.</v>
          </cell>
          <cell r="C487" t="str">
            <v>ASUMSI</v>
          </cell>
          <cell r="L487" t="str">
            <v>No. PAKET KONTRAK</v>
          </cell>
          <cell r="O487" t="str">
            <v>:</v>
          </cell>
        </row>
        <row r="488">
          <cell r="A488">
            <v>1</v>
          </cell>
          <cell r="C488" t="str">
            <v>Pekerjaan dilakukan secara mekanik</v>
          </cell>
          <cell r="L488" t="str">
            <v>NAMA PAKET</v>
          </cell>
          <cell r="O488" t="str">
            <v>:</v>
          </cell>
        </row>
        <row r="489">
          <cell r="A489">
            <v>2</v>
          </cell>
          <cell r="C489" t="str">
            <v>Lokasi pekerjaan : sepanjang jalan</v>
          </cell>
          <cell r="L489" t="str">
            <v>PROP / KAB / KODYA</v>
          </cell>
          <cell r="O489" t="str">
            <v>:</v>
          </cell>
        </row>
        <row r="490">
          <cell r="A490">
            <v>3</v>
          </cell>
          <cell r="C490" t="str">
            <v>Kondisi Jalan   :  sedang / baik</v>
          </cell>
          <cell r="L490" t="str">
            <v>ITEM PEMBAYARAN NO.</v>
          </cell>
          <cell r="O490" t="str">
            <v>:  4.2 (3)</v>
          </cell>
          <cell r="R490" t="str">
            <v>PERKIRAAN VOL. PEK.</v>
          </cell>
          <cell r="T490" t="str">
            <v>:</v>
          </cell>
          <cell r="U490">
            <v>0</v>
          </cell>
        </row>
        <row r="491">
          <cell r="A491">
            <v>4</v>
          </cell>
          <cell r="C491" t="str">
            <v>Jarak rata-rata sumber material ke lokasi pekerjaan</v>
          </cell>
          <cell r="G491" t="str">
            <v>L</v>
          </cell>
          <cell r="H491">
            <v>8.7249999999999996</v>
          </cell>
          <cell r="I491" t="str">
            <v>Km</v>
          </cell>
          <cell r="L491" t="str">
            <v>JENIS PEKERJAAN</v>
          </cell>
          <cell r="O491" t="str">
            <v>:  Lapis Pondasi Semen Tanah</v>
          </cell>
          <cell r="R491" t="str">
            <v>TOTAL HARGA (Rp.)</v>
          </cell>
          <cell r="T491" t="str">
            <v>:</v>
          </cell>
          <cell r="U491">
            <v>0</v>
          </cell>
        </row>
        <row r="492">
          <cell r="A492">
            <v>5</v>
          </cell>
          <cell r="C492" t="str">
            <v>Jam kerja efektif per-hari</v>
          </cell>
          <cell r="G492" t="str">
            <v>Tk</v>
          </cell>
          <cell r="H492">
            <v>7</v>
          </cell>
          <cell r="I492" t="str">
            <v>Jam</v>
          </cell>
          <cell r="L492" t="str">
            <v>SATUAN PEMBAYARAN</v>
          </cell>
          <cell r="O492" t="str">
            <v>:  M3</v>
          </cell>
          <cell r="R492" t="str">
            <v>% THD. BIAYA PROYEK</v>
          </cell>
          <cell r="T492" t="str">
            <v>:</v>
          </cell>
          <cell r="U492" t="e">
            <v>#DIV/0!</v>
          </cell>
        </row>
        <row r="493">
          <cell r="A493">
            <v>6</v>
          </cell>
          <cell r="C493" t="str">
            <v>Harga pembayaran tidak termasuk semen ( semen</v>
          </cell>
        </row>
        <row r="494">
          <cell r="C494" t="str">
            <v>dibayar dalam item tersendiri)</v>
          </cell>
        </row>
        <row r="495">
          <cell r="A495">
            <v>7</v>
          </cell>
          <cell r="C495" t="str">
            <v>Satu hari dapat diselesaikan hamparan Soil Cement</v>
          </cell>
          <cell r="Q495" t="str">
            <v>PERKIRAAN</v>
          </cell>
          <cell r="R495" t="str">
            <v>HARGA</v>
          </cell>
          <cell r="S495" t="str">
            <v>JUMLAH</v>
          </cell>
        </row>
        <row r="496">
          <cell r="C496" t="str">
            <v>sepanjang</v>
          </cell>
          <cell r="G496" t="str">
            <v>Ls</v>
          </cell>
          <cell r="H496">
            <v>400</v>
          </cell>
          <cell r="I496" t="str">
            <v>M</v>
          </cell>
          <cell r="L496" t="str">
            <v>NO.</v>
          </cell>
          <cell r="N496" t="str">
            <v>KOMPONEN</v>
          </cell>
          <cell r="P496" t="str">
            <v>SATUAN</v>
          </cell>
          <cell r="Q496" t="str">
            <v>KUANTITAS</v>
          </cell>
          <cell r="R496" t="str">
            <v>SATUAN</v>
          </cell>
          <cell r="S496" t="str">
            <v>HARGA</v>
          </cell>
        </row>
        <row r="497">
          <cell r="A497">
            <v>8</v>
          </cell>
          <cell r="C497" t="str">
            <v>Faktor kembang material (padat - lepas)</v>
          </cell>
          <cell r="G497" t="str">
            <v>Fk</v>
          </cell>
          <cell r="H497">
            <v>1.2</v>
          </cell>
          <cell r="I497" t="str">
            <v>-</v>
          </cell>
          <cell r="R497" t="str">
            <v>(Rp.)</v>
          </cell>
          <cell r="S497" t="str">
            <v>(Rp.)</v>
          </cell>
        </row>
        <row r="498">
          <cell r="A498">
            <v>9</v>
          </cell>
          <cell r="C498" t="str">
            <v>Tebal hamparan padat</v>
          </cell>
          <cell r="G498" t="str">
            <v>t</v>
          </cell>
          <cell r="H498">
            <v>0.15</v>
          </cell>
          <cell r="I498" t="str">
            <v>M</v>
          </cell>
        </row>
        <row r="500">
          <cell r="A500" t="str">
            <v>II.</v>
          </cell>
          <cell r="C500" t="str">
            <v>URUTAN KERJA</v>
          </cell>
          <cell r="L500" t="str">
            <v>A.</v>
          </cell>
          <cell r="N500" t="str">
            <v>TENAGA</v>
          </cell>
        </row>
        <row r="501">
          <cell r="A501">
            <v>1</v>
          </cell>
          <cell r="C501" t="str">
            <v>Whell Loader memuat material ke dalam Dump Truck</v>
          </cell>
        </row>
        <row r="502">
          <cell r="C502" t="str">
            <v>di lokasi sumber bahan</v>
          </cell>
          <cell r="L502" t="str">
            <v>1.</v>
          </cell>
          <cell r="N502" t="str">
            <v>Pekerja</v>
          </cell>
          <cell r="O502" t="str">
            <v>(L01)</v>
          </cell>
          <cell r="P502" t="str">
            <v>Jam</v>
          </cell>
          <cell r="Q502">
            <v>0.12494422132976349</v>
          </cell>
          <cell r="R502">
            <v>2857.14</v>
          </cell>
          <cell r="U502">
            <v>356.98313253012043</v>
          </cell>
        </row>
        <row r="503">
          <cell r="A503">
            <v>2</v>
          </cell>
          <cell r="C503" t="str">
            <v>Dump Truck mengangkut material ke lokasi pekerjaan</v>
          </cell>
          <cell r="L503" t="str">
            <v>2.</v>
          </cell>
          <cell r="N503" t="str">
            <v>Mandor</v>
          </cell>
          <cell r="O503" t="str">
            <v>(L03)</v>
          </cell>
          <cell r="P503" t="str">
            <v>Jam</v>
          </cell>
          <cell r="Q503">
            <v>1.7849174475680501E-2</v>
          </cell>
          <cell r="R503">
            <v>3214.29</v>
          </cell>
          <cell r="U503">
            <v>57.372423025435076</v>
          </cell>
        </row>
        <row r="504">
          <cell r="A504">
            <v>3</v>
          </cell>
          <cell r="C504" t="str">
            <v>Motor Grader menghampar material di lokasi pekerjaan</v>
          </cell>
        </row>
        <row r="505">
          <cell r="A505">
            <v>4</v>
          </cell>
          <cell r="C505" t="str">
            <v>Semen dan material tanah diaduk ditempat dengan</v>
          </cell>
        </row>
        <row r="506">
          <cell r="C506" t="str">
            <v>menggunakan Vulvi Mixer</v>
          </cell>
          <cell r="Q506" t="str">
            <v xml:space="preserve">JUMLAH HARGA TENAGA   </v>
          </cell>
          <cell r="U506">
            <v>414.3555555555555</v>
          </cell>
        </row>
        <row r="507">
          <cell r="A507">
            <v>5</v>
          </cell>
          <cell r="C507" t="str">
            <v>Sebelum pemadatan material dibasahi dengan</v>
          </cell>
        </row>
        <row r="508">
          <cell r="C508" t="str">
            <v>menggunakan Water Tank Truck</v>
          </cell>
          <cell r="L508" t="str">
            <v>B.</v>
          </cell>
          <cell r="N508" t="str">
            <v>BAHAN</v>
          </cell>
        </row>
        <row r="509">
          <cell r="A509">
            <v>6</v>
          </cell>
          <cell r="C509" t="str">
            <v>Pemadatan dilakukan dengan menggunakan</v>
          </cell>
          <cell r="L509" t="str">
            <v>1.</v>
          </cell>
          <cell r="N509" t="str">
            <v>Tanah Timbunan  (M08)</v>
          </cell>
          <cell r="P509" t="str">
            <v>M3</v>
          </cell>
          <cell r="Q509">
            <v>1.2</v>
          </cell>
          <cell r="R509">
            <v>20000</v>
          </cell>
          <cell r="U509">
            <v>24000</v>
          </cell>
        </row>
        <row r="510">
          <cell r="C510" t="str">
            <v>Vibrator Roller dan Pneumatic Tire Roller</v>
          </cell>
        </row>
        <row r="511">
          <cell r="A511">
            <v>7</v>
          </cell>
          <cell r="C511" t="str">
            <v>Selama pelaksanaan pekerjaan sekelompok pekerja</v>
          </cell>
        </row>
        <row r="512">
          <cell r="C512" t="str">
            <v>akan merapikan tepi hamparan dan level permukaan</v>
          </cell>
        </row>
        <row r="513">
          <cell r="C513" t="str">
            <v>dengan menggunakan alat bantu</v>
          </cell>
        </row>
        <row r="515">
          <cell r="A515" t="str">
            <v>III.</v>
          </cell>
          <cell r="C515" t="str">
            <v>PEMAKAIAN BAHAN, ALAT DAN TENAGA</v>
          </cell>
        </row>
        <row r="516">
          <cell r="Q516" t="str">
            <v xml:space="preserve">JUMLAH HARGA BAHAN   </v>
          </cell>
          <cell r="U516">
            <v>24000</v>
          </cell>
        </row>
        <row r="517">
          <cell r="A517" t="str">
            <v>1.</v>
          </cell>
          <cell r="C517" t="str">
            <v>BAHAN</v>
          </cell>
        </row>
        <row r="518">
          <cell r="C518" t="str">
            <v>Setiap M3 Soil Cement padat diperlukan = 1 x Fk</v>
          </cell>
          <cell r="G518" t="str">
            <v>(M08)</v>
          </cell>
          <cell r="H518">
            <v>1.2</v>
          </cell>
          <cell r="I518" t="str">
            <v>M3</v>
          </cell>
          <cell r="L518" t="str">
            <v>C.</v>
          </cell>
          <cell r="N518" t="str">
            <v>PERALATAN</v>
          </cell>
        </row>
        <row r="519">
          <cell r="L519" t="str">
            <v>1.</v>
          </cell>
          <cell r="N519" t="str">
            <v>Wheel Loader</v>
          </cell>
          <cell r="O519" t="str">
            <v>(E15)</v>
          </cell>
          <cell r="P519" t="str">
            <v>Jam</v>
          </cell>
          <cell r="Q519">
            <v>1.7849174475680497E-2</v>
          </cell>
          <cell r="R519">
            <v>163808.13869490434</v>
          </cell>
          <cell r="U519">
            <v>2923.8400481018175</v>
          </cell>
        </row>
        <row r="520">
          <cell r="A520" t="str">
            <v>2.</v>
          </cell>
          <cell r="C520" t="str">
            <v>ALAT</v>
          </cell>
          <cell r="L520" t="str">
            <v>2.</v>
          </cell>
          <cell r="N520" t="str">
            <v>Dump Truck</v>
          </cell>
          <cell r="O520" t="str">
            <v>(E08)</v>
          </cell>
          <cell r="P520" t="str">
            <v>Jam</v>
          </cell>
          <cell r="Q520">
            <v>0.16651888679214849</v>
          </cell>
          <cell r="R520">
            <v>153645.58193291764</v>
          </cell>
          <cell r="U520">
            <v>25584.89126400129</v>
          </cell>
        </row>
        <row r="521">
          <cell r="A521" t="str">
            <v>2.a.</v>
          </cell>
          <cell r="C521" t="str">
            <v>WHEL LOADER</v>
          </cell>
          <cell r="G521" t="str">
            <v>(E15)</v>
          </cell>
          <cell r="L521" t="str">
            <v>3.</v>
          </cell>
          <cell r="N521" t="str">
            <v>Motor Grader</v>
          </cell>
          <cell r="O521" t="str">
            <v>(E13)</v>
          </cell>
          <cell r="P521" t="str">
            <v>Jam</v>
          </cell>
          <cell r="Q521">
            <v>8.3668005354752342E-3</v>
          </cell>
          <cell r="R521">
            <v>201666.62574070093</v>
          </cell>
          <cell r="U521">
            <v>1687.3044322347801</v>
          </cell>
        </row>
        <row r="522">
          <cell r="C522" t="str">
            <v>Kapasitas bucket</v>
          </cell>
          <cell r="G522" t="str">
            <v>V</v>
          </cell>
          <cell r="H522">
            <v>1.5</v>
          </cell>
          <cell r="I522" t="str">
            <v>M3</v>
          </cell>
          <cell r="L522" t="str">
            <v>4.</v>
          </cell>
          <cell r="N522" t="str">
            <v>Tandem Roller</v>
          </cell>
          <cell r="O522" t="str">
            <v>(E17)</v>
          </cell>
          <cell r="P522" t="str">
            <v>Jam</v>
          </cell>
          <cell r="Q522">
            <v>1.7849174475680501E-2</v>
          </cell>
          <cell r="R522">
            <v>293927.19306224468</v>
          </cell>
          <cell r="U522">
            <v>5246.3577521150328</v>
          </cell>
        </row>
        <row r="523">
          <cell r="C523" t="str">
            <v>Faktor bucket</v>
          </cell>
          <cell r="G523" t="str">
            <v>Fb</v>
          </cell>
          <cell r="H523">
            <v>0.9</v>
          </cell>
          <cell r="I523" t="str">
            <v>-</v>
          </cell>
          <cell r="J523" t="str">
            <v>Pemuatan ringan</v>
          </cell>
          <cell r="L523" t="str">
            <v>5.</v>
          </cell>
          <cell r="N523" t="str">
            <v>P. Tyre Roller</v>
          </cell>
          <cell r="O523" t="str">
            <v>(E18)</v>
          </cell>
          <cell r="P523" t="str">
            <v>Jam</v>
          </cell>
          <cell r="Q523">
            <v>8.5676037483266403E-3</v>
          </cell>
          <cell r="R523">
            <v>113384.24751021285</v>
          </cell>
          <cell r="U523">
            <v>971.43130396969514</v>
          </cell>
        </row>
        <row r="524">
          <cell r="C524" t="str">
            <v>Faktor efisiensi alat</v>
          </cell>
          <cell r="G524" t="str">
            <v>Fa</v>
          </cell>
          <cell r="H524">
            <v>0.83</v>
          </cell>
          <cell r="I524" t="str">
            <v>-</v>
          </cell>
          <cell r="L524" t="str">
            <v>6.</v>
          </cell>
          <cell r="N524" t="str">
            <v>Water Tanker</v>
          </cell>
          <cell r="O524" t="str">
            <v>(E23)</v>
          </cell>
          <cell r="P524" t="str">
            <v>Jam</v>
          </cell>
          <cell r="Q524">
            <v>7.0281124497991983E-3</v>
          </cell>
          <cell r="R524">
            <v>67020.510980434308</v>
          </cell>
          <cell r="U524">
            <v>471.02768761349421</v>
          </cell>
        </row>
        <row r="525">
          <cell r="C525" t="str">
            <v>Waktu siklus :</v>
          </cell>
          <cell r="G525" t="str">
            <v>Ts1</v>
          </cell>
          <cell r="L525" t="str">
            <v>7.</v>
          </cell>
          <cell r="N525" t="str">
            <v>Fulvi Mixer</v>
          </cell>
          <cell r="O525" t="str">
            <v>(E27)</v>
          </cell>
          <cell r="P525" t="str">
            <v>Jam</v>
          </cell>
          <cell r="Q525">
            <v>1.9277108433734941E-2</v>
          </cell>
          <cell r="R525">
            <v>559029.00777943374</v>
          </cell>
          <cell r="U525">
            <v>10776.462800567399</v>
          </cell>
        </row>
        <row r="526">
          <cell r="C526" t="str">
            <v>- Muat</v>
          </cell>
          <cell r="G526" t="str">
            <v>T1</v>
          </cell>
          <cell r="H526">
            <v>0.5</v>
          </cell>
          <cell r="I526" t="str">
            <v>menit</v>
          </cell>
          <cell r="L526" t="str">
            <v>8.</v>
          </cell>
          <cell r="N526" t="str">
            <v>Alat Bantu</v>
          </cell>
          <cell r="P526" t="str">
            <v>Ls</v>
          </cell>
          <cell r="Q526">
            <v>1</v>
          </cell>
          <cell r="R526">
            <v>90</v>
          </cell>
          <cell r="U526">
            <v>90</v>
          </cell>
        </row>
        <row r="527">
          <cell r="C527" t="str">
            <v>- Lain-lain</v>
          </cell>
          <cell r="G527" t="str">
            <v>T2</v>
          </cell>
          <cell r="H527">
            <v>0.5</v>
          </cell>
          <cell r="I527" t="str">
            <v>menit</v>
          </cell>
        </row>
        <row r="528">
          <cell r="G528" t="str">
            <v>Ts1</v>
          </cell>
          <cell r="H528">
            <v>1</v>
          </cell>
          <cell r="I528" t="str">
            <v>menit</v>
          </cell>
          <cell r="Q528" t="str">
            <v xml:space="preserve">JUMLAH HARGA PERALATAN   </v>
          </cell>
          <cell r="U528">
            <v>47751.31528860351</v>
          </cell>
        </row>
        <row r="530">
          <cell r="C530" t="str">
            <v>Kap. Prod. / Jam  =</v>
          </cell>
          <cell r="D530" t="str">
            <v>V x Fb x Fa x 60</v>
          </cell>
          <cell r="G530" t="str">
            <v>Q1</v>
          </cell>
          <cell r="H530">
            <v>56.025000000000006</v>
          </cell>
          <cell r="I530" t="str">
            <v>M3</v>
          </cell>
          <cell r="L530" t="str">
            <v>D.</v>
          </cell>
          <cell r="N530" t="str">
            <v>JUMLAH HARGA TENAGA, BAHAN DAN PERALATAN  ( A + B + C )</v>
          </cell>
          <cell r="U530">
            <v>72165.67084415906</v>
          </cell>
        </row>
        <row r="531">
          <cell r="D531" t="str">
            <v>Fk x Ts1</v>
          </cell>
          <cell r="L531" t="str">
            <v>E.</v>
          </cell>
          <cell r="N531" t="str">
            <v>OVERHEAD &amp; PROFIT</v>
          </cell>
          <cell r="P531">
            <v>10</v>
          </cell>
          <cell r="Q531" t="str">
            <v>%  x  D</v>
          </cell>
          <cell r="U531">
            <v>7216.5670844159067</v>
          </cell>
        </row>
        <row r="532">
          <cell r="L532" t="str">
            <v>F.</v>
          </cell>
          <cell r="N532" t="str">
            <v>HARGA SATUAN PEKERJAAN  ( D + E )</v>
          </cell>
          <cell r="U532">
            <v>79382.237928574963</v>
          </cell>
        </row>
        <row r="533">
          <cell r="C533" t="str">
            <v>Koefisien Alat / M3</v>
          </cell>
          <cell r="D533" t="str">
            <v xml:space="preserve"> = 1 / Q1</v>
          </cell>
          <cell r="G533" t="str">
            <v>(E15)</v>
          </cell>
          <cell r="H533">
            <v>1.7849174475680497E-2</v>
          </cell>
          <cell r="I533" t="str">
            <v>Jam</v>
          </cell>
          <cell r="L533" t="str">
            <v>Note: 1</v>
          </cell>
          <cell r="N533" t="str">
            <v>SATUAN dapat berdasarkan atas jam operasi untuk Tenaga Kerja dan Peralatan, volume dan/atau ukuran</v>
          </cell>
        </row>
        <row r="534">
          <cell r="N534" t="str">
            <v>berat untuk bahan-bahan.</v>
          </cell>
        </row>
        <row r="535">
          <cell r="L535">
            <v>2</v>
          </cell>
          <cell r="N535" t="str">
            <v>Kuantitas satuan adalah kuantitas setiap komponen untuk menyelesaikan satu satuan pekerjaan dari nomor</v>
          </cell>
        </row>
        <row r="536">
          <cell r="N536" t="str">
            <v>mata pembayaran.</v>
          </cell>
        </row>
        <row r="537">
          <cell r="L537">
            <v>3</v>
          </cell>
          <cell r="N537" t="str">
            <v>Biaya satuan untuk peralatan sudah termasuk bahan bakar, bahan habis dipakai dan operator.</v>
          </cell>
        </row>
        <row r="538">
          <cell r="L538">
            <v>4</v>
          </cell>
          <cell r="N538" t="str">
            <v>Biaya satuan sudah termasuk pengeluaran untuk seluruh pajak yang berkaitan (tetapi tidak termasuk PPN</v>
          </cell>
        </row>
        <row r="539">
          <cell r="J539" t="str">
            <v>Berlanjut ke halaman berikut</v>
          </cell>
          <cell r="N539" t="str">
            <v>yang dibayar dari kontrak) dan biaya-biaya lainnya.</v>
          </cell>
        </row>
        <row r="540">
          <cell r="A540" t="str">
            <v>ITEM PEMBAYARAN NO.</v>
          </cell>
          <cell r="D540" t="str">
            <v>:  4.2 (3)</v>
          </cell>
          <cell r="J540" t="str">
            <v>Analisa EI-423</v>
          </cell>
        </row>
        <row r="541">
          <cell r="A541" t="str">
            <v>JENIS PEKERJAAN</v>
          </cell>
          <cell r="D541" t="str">
            <v>:  Lapis Pondasi Semen Tanah</v>
          </cell>
        </row>
        <row r="542">
          <cell r="A542" t="str">
            <v>SATUAN PEMBAYARAN</v>
          </cell>
          <cell r="D542" t="str">
            <v>:  M3</v>
          </cell>
          <cell r="J542" t="str">
            <v xml:space="preserve">         URAIAN ANALISA HARGA SATUAN</v>
          </cell>
        </row>
        <row r="543">
          <cell r="J543" t="str">
            <v>Lanjutan</v>
          </cell>
        </row>
        <row r="545">
          <cell r="A545" t="str">
            <v>No.</v>
          </cell>
          <cell r="C545" t="str">
            <v>U R A I A N</v>
          </cell>
          <cell r="G545" t="str">
            <v>KODE</v>
          </cell>
          <cell r="H545" t="str">
            <v>KOEF.</v>
          </cell>
          <cell r="I545" t="str">
            <v>SATUAN</v>
          </cell>
          <cell r="J545" t="str">
            <v>KETERANGAN</v>
          </cell>
        </row>
        <row r="548">
          <cell r="A548" t="str">
            <v>2.b.</v>
          </cell>
          <cell r="C548" t="str">
            <v>DUMP TRUCK</v>
          </cell>
          <cell r="G548" t="str">
            <v>(E08)</v>
          </cell>
        </row>
        <row r="549">
          <cell r="C549" t="str">
            <v>Kapasitas bak</v>
          </cell>
          <cell r="G549" t="str">
            <v>V</v>
          </cell>
          <cell r="H549">
            <v>4</v>
          </cell>
          <cell r="I549" t="str">
            <v>M3</v>
          </cell>
        </row>
        <row r="550">
          <cell r="C550" t="str">
            <v>Faktor efisiensi alat</v>
          </cell>
          <cell r="G550" t="str">
            <v>Fa</v>
          </cell>
          <cell r="H550">
            <v>0.83</v>
          </cell>
          <cell r="I550" t="str">
            <v>-</v>
          </cell>
        </row>
        <row r="551">
          <cell r="C551" t="str">
            <v>Kecepatan rata-rata bermuatan</v>
          </cell>
          <cell r="G551" t="str">
            <v>v1</v>
          </cell>
          <cell r="H551">
            <v>45</v>
          </cell>
          <cell r="I551" t="str">
            <v>Km / Jam</v>
          </cell>
        </row>
        <row r="552">
          <cell r="C552" t="str">
            <v>Kecepatan rata-rata kosong</v>
          </cell>
          <cell r="G552" t="str">
            <v>v2</v>
          </cell>
          <cell r="H552">
            <v>60</v>
          </cell>
          <cell r="I552" t="str">
            <v>Km / Jam</v>
          </cell>
        </row>
        <row r="553">
          <cell r="C553" t="str">
            <v>Waktu Siklus  :  - Waktu memuat = V : Q1 x 60</v>
          </cell>
          <cell r="G553" t="str">
            <v>T1</v>
          </cell>
          <cell r="H553">
            <v>4.283801874163319</v>
          </cell>
          <cell r="I553" t="str">
            <v>menit</v>
          </cell>
        </row>
        <row r="554">
          <cell r="C554" t="str">
            <v>- Waktu tempuh isi          = (L : v1) x 60</v>
          </cell>
          <cell r="G554" t="str">
            <v>T2</v>
          </cell>
          <cell r="H554">
            <v>11.633333333333333</v>
          </cell>
          <cell r="I554" t="str">
            <v>menit</v>
          </cell>
        </row>
        <row r="555">
          <cell r="C555" t="str">
            <v>- Waktu tempuh kosong   = (L : v2) x 60</v>
          </cell>
          <cell r="G555" t="str">
            <v>T3</v>
          </cell>
          <cell r="H555">
            <v>8.7249999999999996</v>
          </cell>
          <cell r="I555" t="str">
            <v>menit</v>
          </cell>
        </row>
        <row r="556">
          <cell r="C556" t="str">
            <v>- Lain-lain</v>
          </cell>
          <cell r="G556" t="str">
            <v>T4</v>
          </cell>
          <cell r="H556">
            <v>3</v>
          </cell>
          <cell r="I556" t="str">
            <v>menit</v>
          </cell>
        </row>
        <row r="557">
          <cell r="G557" t="str">
            <v>Ts2</v>
          </cell>
          <cell r="H557">
            <v>27.642135207496651</v>
          </cell>
          <cell r="I557" t="str">
            <v>menit</v>
          </cell>
        </row>
        <row r="559">
          <cell r="C559" t="str">
            <v>Kapasitas Prod. / jam =</v>
          </cell>
          <cell r="E559" t="str">
            <v>V x Fa x 60</v>
          </cell>
          <cell r="G559" t="str">
            <v>Q2</v>
          </cell>
          <cell r="H559">
            <v>6.0053247968695338</v>
          </cell>
          <cell r="I559" t="str">
            <v>M3</v>
          </cell>
        </row>
        <row r="560">
          <cell r="E560" t="str">
            <v xml:space="preserve">   Fk x Ts2</v>
          </cell>
        </row>
        <row r="562">
          <cell r="C562" t="str">
            <v>Koefisien Alat / M3</v>
          </cell>
          <cell r="D562" t="str">
            <v xml:space="preserve"> =    1 / Q2</v>
          </cell>
          <cell r="G562" t="str">
            <v>(E08)</v>
          </cell>
          <cell r="H562">
            <v>0.16651888679214849</v>
          </cell>
          <cell r="I562" t="str">
            <v>Jam</v>
          </cell>
        </row>
        <row r="564">
          <cell r="A564" t="str">
            <v>2.c.</v>
          </cell>
          <cell r="C564" t="str">
            <v>MOTOR GRADER</v>
          </cell>
          <cell r="G564" t="str">
            <v>(E13)</v>
          </cell>
        </row>
        <row r="565">
          <cell r="C565" t="str">
            <v>Panjang hamparan</v>
          </cell>
          <cell r="G565" t="str">
            <v>Lh</v>
          </cell>
          <cell r="H565">
            <v>100</v>
          </cell>
          <cell r="I565" t="str">
            <v>M</v>
          </cell>
        </row>
        <row r="566">
          <cell r="C566" t="str">
            <v>Lebar efektif kerja blade</v>
          </cell>
          <cell r="G566" t="str">
            <v>b</v>
          </cell>
          <cell r="H566">
            <v>2.4</v>
          </cell>
          <cell r="I566" t="str">
            <v>M</v>
          </cell>
        </row>
        <row r="567">
          <cell r="C567" t="str">
            <v>Faktor efisiensi alat</v>
          </cell>
          <cell r="G567" t="str">
            <v>Fa</v>
          </cell>
          <cell r="H567">
            <v>0.83</v>
          </cell>
          <cell r="I567" t="str">
            <v>-</v>
          </cell>
        </row>
        <row r="568">
          <cell r="C568" t="str">
            <v>Kecepatan rata-rata alat</v>
          </cell>
          <cell r="G568" t="str">
            <v>v</v>
          </cell>
          <cell r="H568">
            <v>4</v>
          </cell>
          <cell r="I568" t="str">
            <v>Km / Jam</v>
          </cell>
        </row>
        <row r="569">
          <cell r="C569" t="str">
            <v>Jumlah lintasan</v>
          </cell>
          <cell r="G569" t="str">
            <v>n</v>
          </cell>
          <cell r="H569">
            <v>6</v>
          </cell>
          <cell r="I569" t="str">
            <v>lintasan</v>
          </cell>
          <cell r="J569" t="str">
            <v>3 x pp</v>
          </cell>
        </row>
        <row r="570">
          <cell r="C570" t="str">
            <v>Waktu siklus</v>
          </cell>
          <cell r="G570" t="str">
            <v>Ts3</v>
          </cell>
        </row>
        <row r="571">
          <cell r="C571" t="str">
            <v>- Perataan 1 lintasan  = Lh : (v x 1000) x 60</v>
          </cell>
          <cell r="G571" t="str">
            <v>T1</v>
          </cell>
          <cell r="H571">
            <v>1.5</v>
          </cell>
          <cell r="I571" t="str">
            <v>menit</v>
          </cell>
        </row>
        <row r="572">
          <cell r="C572" t="str">
            <v>- Lain-lain</v>
          </cell>
          <cell r="G572" t="str">
            <v>T2</v>
          </cell>
          <cell r="H572">
            <v>1</v>
          </cell>
          <cell r="I572" t="str">
            <v>menit</v>
          </cell>
        </row>
        <row r="573">
          <cell r="G573" t="str">
            <v>Ts3</v>
          </cell>
          <cell r="H573">
            <v>2.5</v>
          </cell>
          <cell r="I573" t="str">
            <v>menit</v>
          </cell>
        </row>
        <row r="575">
          <cell r="C575" t="str">
            <v>Kap. Prod. / Jam  =</v>
          </cell>
          <cell r="D575" t="str">
            <v>Lh x b x t x Fa x 60</v>
          </cell>
          <cell r="G575" t="str">
            <v>Q3</v>
          </cell>
          <cell r="H575">
            <v>119.52</v>
          </cell>
          <cell r="I575" t="str">
            <v>M3</v>
          </cell>
        </row>
        <row r="576">
          <cell r="D576" t="str">
            <v>n x Ts3</v>
          </cell>
        </row>
        <row r="578">
          <cell r="C578" t="str">
            <v>Koefisien Alat / M3</v>
          </cell>
          <cell r="D578" t="str">
            <v xml:space="preserve"> =  1 / Q3</v>
          </cell>
          <cell r="G578" t="str">
            <v>(E13)</v>
          </cell>
          <cell r="H578">
            <v>8.3668005354752342E-3</v>
          </cell>
          <cell r="I578" t="str">
            <v>jam</v>
          </cell>
        </row>
        <row r="580">
          <cell r="A580" t="str">
            <v>2.d.</v>
          </cell>
          <cell r="C580" t="str">
            <v>TANDEM ROLLER</v>
          </cell>
          <cell r="G580" t="str">
            <v>(E19)</v>
          </cell>
        </row>
        <row r="581">
          <cell r="C581" t="str">
            <v>Kecepatan rata-rata alat</v>
          </cell>
          <cell r="G581" t="str">
            <v>v</v>
          </cell>
          <cell r="H581">
            <v>3</v>
          </cell>
          <cell r="I581" t="str">
            <v>Km / Jam</v>
          </cell>
        </row>
        <row r="582">
          <cell r="C582" t="str">
            <v>Lebar efektif pemadatan</v>
          </cell>
          <cell r="G582" t="str">
            <v>b</v>
          </cell>
          <cell r="H582">
            <v>1.2</v>
          </cell>
          <cell r="I582" t="str">
            <v>M</v>
          </cell>
        </row>
        <row r="583">
          <cell r="C583" t="str">
            <v>Jumlah lintasan</v>
          </cell>
          <cell r="G583" t="str">
            <v>n</v>
          </cell>
          <cell r="H583">
            <v>8</v>
          </cell>
          <cell r="I583" t="str">
            <v>lintasan</v>
          </cell>
          <cell r="J583" t="str">
            <v>4 x pp</v>
          </cell>
        </row>
        <row r="584">
          <cell r="C584" t="str">
            <v>Faktor efisiensi alat</v>
          </cell>
          <cell r="G584" t="str">
            <v>Fa</v>
          </cell>
          <cell r="H584">
            <v>0.83</v>
          </cell>
          <cell r="I584" t="str">
            <v>-</v>
          </cell>
        </row>
        <row r="586">
          <cell r="C586" t="str">
            <v xml:space="preserve">Kap. Prod. / Jam = </v>
          </cell>
          <cell r="D586" t="str">
            <v>(v x 1000) x b x t x Fa</v>
          </cell>
          <cell r="G586" t="str">
            <v>Q4</v>
          </cell>
          <cell r="H586">
            <v>56.024999999999999</v>
          </cell>
          <cell r="I586" t="str">
            <v>M3</v>
          </cell>
        </row>
        <row r="587">
          <cell r="D587" t="str">
            <v>n</v>
          </cell>
        </row>
        <row r="589">
          <cell r="C589" t="str">
            <v>Koefisien Alat / M3</v>
          </cell>
          <cell r="D589" t="str">
            <v xml:space="preserve"> = 1/ Q4</v>
          </cell>
          <cell r="G589" t="str">
            <v>(E19)</v>
          </cell>
          <cell r="H589">
            <v>1.7849174475680501E-2</v>
          </cell>
          <cell r="I589" t="str">
            <v>Jam</v>
          </cell>
        </row>
        <row r="591">
          <cell r="A591" t="str">
            <v>2.e.</v>
          </cell>
          <cell r="C591" t="str">
            <v>PNEUMATIC TIRE ROLLER</v>
          </cell>
          <cell r="G591" t="str">
            <v>(E18)</v>
          </cell>
        </row>
        <row r="592">
          <cell r="C592" t="str">
            <v>Kecepatan rata-rata alat</v>
          </cell>
          <cell r="G592" t="str">
            <v>v</v>
          </cell>
          <cell r="H592">
            <v>5</v>
          </cell>
          <cell r="I592" t="str">
            <v>Km / Jam</v>
          </cell>
        </row>
        <row r="593">
          <cell r="C593" t="str">
            <v>Lebar efektif pemadatan</v>
          </cell>
          <cell r="G593" t="str">
            <v>b</v>
          </cell>
          <cell r="H593">
            <v>1.5</v>
          </cell>
          <cell r="I593" t="str">
            <v>M</v>
          </cell>
        </row>
        <row r="594">
          <cell r="C594" t="str">
            <v>Jumlah lintasan</v>
          </cell>
          <cell r="G594" t="str">
            <v>n</v>
          </cell>
          <cell r="H594">
            <v>8</v>
          </cell>
          <cell r="I594" t="str">
            <v>lintasan</v>
          </cell>
          <cell r="J594" t="str">
            <v>4 x pp</v>
          </cell>
        </row>
        <row r="595">
          <cell r="C595" t="str">
            <v>Faktor efisiensi alat</v>
          </cell>
          <cell r="G595" t="str">
            <v>Fa</v>
          </cell>
          <cell r="H595">
            <v>0.83</v>
          </cell>
          <cell r="I595" t="str">
            <v>-</v>
          </cell>
        </row>
        <row r="598">
          <cell r="J598" t="str">
            <v>Berlanjut ke halaman berikut</v>
          </cell>
        </row>
        <row r="599">
          <cell r="A599" t="str">
            <v>ITEM PEMBAYARAN NO.</v>
          </cell>
          <cell r="D599" t="str">
            <v>:  4.2 (3)</v>
          </cell>
          <cell r="J599" t="str">
            <v>Analisa EI-423</v>
          </cell>
        </row>
        <row r="600">
          <cell r="A600" t="str">
            <v>JENIS PEKERJAAN</v>
          </cell>
          <cell r="D600" t="str">
            <v>:  Lapis Pondasi Semen Tanah</v>
          </cell>
        </row>
        <row r="601">
          <cell r="A601" t="str">
            <v>SATUAN PEMBAYARAN</v>
          </cell>
          <cell r="D601" t="str">
            <v>:  M3</v>
          </cell>
          <cell r="J601" t="str">
            <v xml:space="preserve">         URAIAN ANALISA HARGA SATUAN</v>
          </cell>
        </row>
        <row r="602">
          <cell r="J602" t="str">
            <v>Lanjutan</v>
          </cell>
        </row>
        <row r="604">
          <cell r="A604" t="str">
            <v>No.</v>
          </cell>
          <cell r="C604" t="str">
            <v>U R A I A N</v>
          </cell>
          <cell r="G604" t="str">
            <v>KODE</v>
          </cell>
          <cell r="H604" t="str">
            <v>KOEF.</v>
          </cell>
          <cell r="I604" t="str">
            <v>SATUAN</v>
          </cell>
          <cell r="J604" t="str">
            <v>KETERANGAN</v>
          </cell>
        </row>
        <row r="607">
          <cell r="C607" t="str">
            <v xml:space="preserve">Kap. Prod. / Jam = </v>
          </cell>
          <cell r="D607" t="str">
            <v>(v x 1000) x b x t x Fa</v>
          </cell>
          <cell r="G607" t="str">
            <v>Q5</v>
          </cell>
          <cell r="H607">
            <v>116.71875</v>
          </cell>
          <cell r="I607" t="str">
            <v>M3</v>
          </cell>
        </row>
        <row r="608">
          <cell r="D608" t="str">
            <v>n</v>
          </cell>
        </row>
        <row r="610">
          <cell r="C610" t="str">
            <v>Koefisien Alat / M3</v>
          </cell>
          <cell r="D610" t="str">
            <v xml:space="preserve"> = 1 / Q5</v>
          </cell>
          <cell r="G610" t="str">
            <v>(E18)</v>
          </cell>
          <cell r="H610">
            <v>8.5676037483266403E-3</v>
          </cell>
          <cell r="I610" t="str">
            <v>Jam</v>
          </cell>
        </row>
        <row r="612">
          <cell r="A612" t="str">
            <v>2.e.</v>
          </cell>
          <cell r="C612" t="str">
            <v>WATER TANK TRUCK</v>
          </cell>
          <cell r="G612" t="str">
            <v>(E23)</v>
          </cell>
        </row>
        <row r="613">
          <cell r="C613" t="str">
            <v>Volume Tangki air</v>
          </cell>
          <cell r="G613" t="str">
            <v>V</v>
          </cell>
          <cell r="H613">
            <v>4</v>
          </cell>
          <cell r="I613" t="str">
            <v>M3</v>
          </cell>
        </row>
        <row r="614">
          <cell r="C614" t="str">
            <v>Kebutuhan air / M3 material padat</v>
          </cell>
          <cell r="G614" t="str">
            <v>Wc</v>
          </cell>
          <cell r="H614">
            <v>7.0000000000000007E-2</v>
          </cell>
          <cell r="I614" t="str">
            <v>M3</v>
          </cell>
        </row>
        <row r="615">
          <cell r="C615" t="str">
            <v>Pengisian tanhgki / jam</v>
          </cell>
          <cell r="G615" t="str">
            <v>n</v>
          </cell>
          <cell r="H615">
            <v>3</v>
          </cell>
          <cell r="I615" t="str">
            <v>kali</v>
          </cell>
        </row>
        <row r="616">
          <cell r="C616" t="str">
            <v>Faktor efisiensi alat</v>
          </cell>
          <cell r="G616" t="str">
            <v>Fa</v>
          </cell>
          <cell r="H616">
            <v>0.83</v>
          </cell>
          <cell r="I616" t="str">
            <v>-</v>
          </cell>
        </row>
        <row r="618">
          <cell r="C618" t="str">
            <v>Kap. Prod. / Jam  =</v>
          </cell>
          <cell r="D618" t="str">
            <v>V x n x Fa</v>
          </cell>
          <cell r="G618" t="str">
            <v>Q6</v>
          </cell>
          <cell r="H618">
            <v>142.28571428571425</v>
          </cell>
          <cell r="I618" t="str">
            <v>M3</v>
          </cell>
        </row>
        <row r="619">
          <cell r="D619" t="str">
            <v>Wc</v>
          </cell>
        </row>
        <row r="621">
          <cell r="C621" t="str">
            <v>Koefisien Alat / M3</v>
          </cell>
          <cell r="D621" t="str">
            <v xml:space="preserve">  = 1 / Q6</v>
          </cell>
          <cell r="G621" t="str">
            <v>(E23)</v>
          </cell>
          <cell r="H621">
            <v>7.0281124497991983E-3</v>
          </cell>
          <cell r="I621" t="str">
            <v>Jam</v>
          </cell>
        </row>
        <row r="623">
          <cell r="A623" t="str">
            <v>2.f.</v>
          </cell>
          <cell r="C623" t="str">
            <v>FULVI MIXER</v>
          </cell>
          <cell r="G623" t="str">
            <v>(E27)</v>
          </cell>
        </row>
        <row r="624">
          <cell r="C624" t="str">
            <v>Kecepatan rata-rata alat</v>
          </cell>
          <cell r="G624" t="str">
            <v>v</v>
          </cell>
          <cell r="H624">
            <v>2.5</v>
          </cell>
          <cell r="I624" t="str">
            <v>Km / Jam</v>
          </cell>
        </row>
        <row r="625">
          <cell r="C625" t="str">
            <v>Lebar efektif pemadatan</v>
          </cell>
          <cell r="G625" t="str">
            <v>b</v>
          </cell>
          <cell r="H625">
            <v>1</v>
          </cell>
          <cell r="I625" t="str">
            <v>M</v>
          </cell>
        </row>
        <row r="626">
          <cell r="C626" t="str">
            <v>Jumlah lintasan</v>
          </cell>
          <cell r="G626" t="str">
            <v>n</v>
          </cell>
          <cell r="H626">
            <v>6</v>
          </cell>
          <cell r="I626" t="str">
            <v>lintasan</v>
          </cell>
          <cell r="J626" t="str">
            <v>3 x pp</v>
          </cell>
        </row>
        <row r="627">
          <cell r="C627" t="str">
            <v>Faktor efisiensi alat</v>
          </cell>
          <cell r="G627" t="str">
            <v>Fa</v>
          </cell>
          <cell r="H627">
            <v>0.83</v>
          </cell>
          <cell r="I627" t="str">
            <v>-</v>
          </cell>
        </row>
        <row r="629">
          <cell r="C629" t="str">
            <v xml:space="preserve">Kap. Prod. / Jam = </v>
          </cell>
          <cell r="D629" t="str">
            <v>(v x 1000) x b x t x Fa</v>
          </cell>
          <cell r="G629" t="str">
            <v>Q7</v>
          </cell>
          <cell r="H629">
            <v>51.875</v>
          </cell>
          <cell r="I629" t="str">
            <v>M3</v>
          </cell>
        </row>
        <row r="630">
          <cell r="D630" t="str">
            <v>n</v>
          </cell>
        </row>
        <row r="632">
          <cell r="C632" t="str">
            <v>Koefisien Alat / M3</v>
          </cell>
          <cell r="D632" t="str">
            <v xml:space="preserve">  = 1 / Q7</v>
          </cell>
          <cell r="G632" t="str">
            <v>(E27)</v>
          </cell>
          <cell r="H632">
            <v>1.9277108433734941E-2</v>
          </cell>
          <cell r="I632" t="str">
            <v>Jam</v>
          </cell>
        </row>
        <row r="634">
          <cell r="A634" t="str">
            <v>2.g.</v>
          </cell>
          <cell r="C634" t="str">
            <v>ALAT BANTU</v>
          </cell>
        </row>
        <row r="635">
          <cell r="C635" t="str">
            <v>Diperlukan :</v>
          </cell>
          <cell r="J635" t="str">
            <v>Lump Sump</v>
          </cell>
        </row>
        <row r="636">
          <cell r="C636" t="str">
            <v>- Kereta dorong  = 2 buah</v>
          </cell>
        </row>
        <row r="637">
          <cell r="C637" t="str">
            <v>- Sekop             = 3 buah</v>
          </cell>
        </row>
        <row r="639">
          <cell r="A639" t="str">
            <v>3.</v>
          </cell>
          <cell r="C639" t="str">
            <v>TENAGA</v>
          </cell>
        </row>
        <row r="640">
          <cell r="C640" t="str">
            <v>Produksi menetukan : VIBRATOR ROLLER</v>
          </cell>
          <cell r="G640" t="str">
            <v>Q4</v>
          </cell>
          <cell r="H640">
            <v>56.024999999999999</v>
          </cell>
          <cell r="I640" t="str">
            <v>M3/Jam</v>
          </cell>
        </row>
        <row r="641">
          <cell r="C641" t="str">
            <v>Produksi Soil Cement / hari  = Tk x Q4</v>
          </cell>
          <cell r="G641" t="str">
            <v>Qt</v>
          </cell>
          <cell r="H641">
            <v>392.17500000000001</v>
          </cell>
          <cell r="I641" t="str">
            <v>M3</v>
          </cell>
        </row>
        <row r="642">
          <cell r="C642" t="str">
            <v>Kebutuhan tenaga  :</v>
          </cell>
        </row>
        <row r="643">
          <cell r="D643" t="str">
            <v>- Pekerja</v>
          </cell>
          <cell r="G643" t="str">
            <v>P</v>
          </cell>
          <cell r="H643">
            <v>7</v>
          </cell>
          <cell r="I643" t="str">
            <v>orang</v>
          </cell>
        </row>
        <row r="644">
          <cell r="D644" t="str">
            <v>- Mandor</v>
          </cell>
          <cell r="G644" t="str">
            <v>M</v>
          </cell>
          <cell r="H644">
            <v>1</v>
          </cell>
          <cell r="I644" t="str">
            <v>orang</v>
          </cell>
        </row>
        <row r="646">
          <cell r="C646" t="str">
            <v>Koefisien tenaga / M3  :</v>
          </cell>
        </row>
        <row r="647">
          <cell r="D647" t="str">
            <v>- Pekerja</v>
          </cell>
          <cell r="E647" t="str">
            <v xml:space="preserve">  = (Tk x P) : Qt</v>
          </cell>
          <cell r="G647" t="str">
            <v>(L01)</v>
          </cell>
          <cell r="H647">
            <v>0.12494422132976349</v>
          </cell>
          <cell r="I647" t="str">
            <v>Jam</v>
          </cell>
        </row>
        <row r="648">
          <cell r="D648" t="str">
            <v>- Mandor</v>
          </cell>
          <cell r="E648" t="str">
            <v xml:space="preserve">  = (Tk x M) : Qt</v>
          </cell>
          <cell r="G648" t="str">
            <v>(L03)</v>
          </cell>
          <cell r="H648">
            <v>1.7849174475680501E-2</v>
          </cell>
          <cell r="I648" t="str">
            <v>Jam</v>
          </cell>
        </row>
        <row r="657">
          <cell r="J657" t="str">
            <v>Berlanjut ke halaman berikut</v>
          </cell>
        </row>
        <row r="658">
          <cell r="A658" t="str">
            <v>ITEM PEMBAYARAN NO.</v>
          </cell>
          <cell r="D658" t="str">
            <v>:  4.2 (3)</v>
          </cell>
          <cell r="J658" t="str">
            <v>Analisa EI-423</v>
          </cell>
        </row>
        <row r="659">
          <cell r="A659" t="str">
            <v>JENIS PEKERJAAN</v>
          </cell>
          <cell r="D659" t="str">
            <v>:  Lapis Pondasi Semen Tanah</v>
          </cell>
        </row>
        <row r="660">
          <cell r="A660" t="str">
            <v>SATUAN PEMBAYARAN</v>
          </cell>
          <cell r="D660" t="str">
            <v>:  M3</v>
          </cell>
          <cell r="J660" t="str">
            <v xml:space="preserve">         URAIAN ANALISA HARGA SATUAN</v>
          </cell>
        </row>
        <row r="661">
          <cell r="J661" t="str">
            <v>Lanjutan</v>
          </cell>
        </row>
        <row r="663">
          <cell r="A663" t="str">
            <v>No.</v>
          </cell>
          <cell r="C663" t="str">
            <v>U R A I A N</v>
          </cell>
          <cell r="G663" t="str">
            <v>KODE</v>
          </cell>
          <cell r="H663" t="str">
            <v>KOEF.</v>
          </cell>
          <cell r="I663" t="str">
            <v>SATUAN</v>
          </cell>
          <cell r="J663" t="str">
            <v>KETERANGAN</v>
          </cell>
        </row>
        <row r="666">
          <cell r="A666" t="str">
            <v>4.</v>
          </cell>
          <cell r="C666" t="str">
            <v>HARGA DASAR SATUAN UPAH, BAHAN DAN ALAT</v>
          </cell>
        </row>
        <row r="667">
          <cell r="C667" t="str">
            <v>Lihat lampiran.</v>
          </cell>
        </row>
        <row r="670">
          <cell r="A670" t="str">
            <v>5.</v>
          </cell>
          <cell r="C670" t="str">
            <v>ANALISA HARGA SATUAN PEKERJAAN</v>
          </cell>
        </row>
        <row r="671">
          <cell r="C671" t="str">
            <v>Lihat perhitungan dalam FORMULIR STANDAR UNTUK</v>
          </cell>
        </row>
        <row r="672">
          <cell r="C672" t="str">
            <v>PEREKEMAN ANALISA MASING-MASING HARGA</v>
          </cell>
        </row>
        <row r="673">
          <cell r="C673" t="str">
            <v>SATUAN.</v>
          </cell>
        </row>
        <row r="674">
          <cell r="C674" t="str">
            <v>Didapat Harga Satuan Pekerjaan :</v>
          </cell>
        </row>
        <row r="676">
          <cell r="C676" t="str">
            <v xml:space="preserve">Rp.  </v>
          </cell>
          <cell r="D676">
            <v>79382.237928574963</v>
          </cell>
          <cell r="E676" t="str">
            <v xml:space="preserve"> / M3</v>
          </cell>
        </row>
        <row r="679">
          <cell r="A679" t="str">
            <v>6.</v>
          </cell>
          <cell r="C679" t="str">
            <v>WAKTU PELAKSANAAN YANG DIPERLUKAN</v>
          </cell>
        </row>
        <row r="680">
          <cell r="C680" t="str">
            <v>Waktu pelaksanaan</v>
          </cell>
          <cell r="D680" t="str">
            <v>:  . . . . . . .  bulan</v>
          </cell>
        </row>
        <row r="682">
          <cell r="A682" t="str">
            <v>7.</v>
          </cell>
          <cell r="C682" t="str">
            <v>VOLUME PEKERJAAN YANG DIPERLUKAN</v>
          </cell>
        </row>
        <row r="683">
          <cell r="C683" t="str">
            <v>Volume pekerjaan  :</v>
          </cell>
          <cell r="D683">
            <v>0</v>
          </cell>
          <cell r="E683" t="str">
            <v>M3</v>
          </cell>
        </row>
        <row r="897">
          <cell r="A897" t="str">
            <v>ITEM PEMBAYARAN NO.</v>
          </cell>
          <cell r="D897" t="str">
            <v>:  4.2 (6)</v>
          </cell>
          <cell r="J897" t="str">
            <v>Analisa EI-426</v>
          </cell>
          <cell r="T897" t="str">
            <v>Analisa EI-426</v>
          </cell>
        </row>
        <row r="898">
          <cell r="A898" t="str">
            <v>JENIS PEKERJAAN</v>
          </cell>
          <cell r="D898" t="str">
            <v>:  Aspal Utk. Pekerjaan Pelaburan</v>
          </cell>
        </row>
        <row r="899">
          <cell r="A899" t="str">
            <v>SATUAN PEMBAYARAN</v>
          </cell>
          <cell r="D899" t="str">
            <v>:  LITER</v>
          </cell>
          <cell r="J899" t="str">
            <v xml:space="preserve">         URAIAN ANALISA HARGA SATUAN</v>
          </cell>
          <cell r="L899" t="str">
            <v>FORMULIR STANDAR UNTUK</v>
          </cell>
        </row>
        <row r="900">
          <cell r="L900" t="str">
            <v>PEREKAMAN ANALISA MASING-MASING HARGA SATUAN</v>
          </cell>
        </row>
        <row r="901">
          <cell r="L901" t="str">
            <v/>
          </cell>
        </row>
        <row r="902">
          <cell r="A902" t="str">
            <v>No.</v>
          </cell>
          <cell r="C902" t="str">
            <v>U R A I A N</v>
          </cell>
          <cell r="G902" t="str">
            <v>KODE</v>
          </cell>
          <cell r="H902" t="str">
            <v>KOEF.</v>
          </cell>
          <cell r="I902" t="str">
            <v>SATUAN</v>
          </cell>
          <cell r="J902" t="str">
            <v>KETERANGAN</v>
          </cell>
        </row>
        <row r="904">
          <cell r="L904" t="str">
            <v>PROYEK</v>
          </cell>
          <cell r="O904" t="str">
            <v>:</v>
          </cell>
        </row>
        <row r="905">
          <cell r="A905" t="str">
            <v>I.</v>
          </cell>
          <cell r="C905" t="str">
            <v>ASUMSI</v>
          </cell>
          <cell r="L905" t="str">
            <v>No. PAKET KONTRAK</v>
          </cell>
          <cell r="O905" t="str">
            <v>:</v>
          </cell>
        </row>
        <row r="906">
          <cell r="A906">
            <v>1</v>
          </cell>
          <cell r="C906" t="str">
            <v>Menggunakan alat berat (cara mekanik)</v>
          </cell>
          <cell r="L906" t="str">
            <v>NAMA PAKET</v>
          </cell>
          <cell r="O906" t="str">
            <v>:</v>
          </cell>
        </row>
        <row r="907">
          <cell r="A907">
            <v>2</v>
          </cell>
          <cell r="C907" t="str">
            <v>Lokasi pekerjaan : sepanjang jalan</v>
          </cell>
          <cell r="L907" t="str">
            <v>PROP / KAB / KODYA</v>
          </cell>
          <cell r="O907" t="str">
            <v>:</v>
          </cell>
        </row>
        <row r="908">
          <cell r="A908">
            <v>3</v>
          </cell>
          <cell r="C908" t="str">
            <v>Jarak rata-rata Base Camp ke lokasi pekerjaan</v>
          </cell>
          <cell r="G908" t="str">
            <v>L</v>
          </cell>
          <cell r="H908">
            <v>8.7249999999999996</v>
          </cell>
          <cell r="I908" t="str">
            <v>KM</v>
          </cell>
          <cell r="L908" t="str">
            <v>ITEM PEMBAYARAN NO.</v>
          </cell>
          <cell r="O908" t="str">
            <v>:  4.2 (6)</v>
          </cell>
          <cell r="R908" t="str">
            <v>PERKIRAAN VOL. PEK.</v>
          </cell>
          <cell r="T908" t="str">
            <v>:</v>
          </cell>
          <cell r="U908">
            <v>0</v>
          </cell>
        </row>
        <row r="909">
          <cell r="A909">
            <v>4</v>
          </cell>
          <cell r="C909" t="str">
            <v>Jam kerja efektif per-hari</v>
          </cell>
          <cell r="G909" t="str">
            <v>Tk</v>
          </cell>
          <cell r="H909">
            <v>7</v>
          </cell>
          <cell r="I909" t="str">
            <v>Jam</v>
          </cell>
          <cell r="L909" t="str">
            <v>JENIS PEKERJAAN</v>
          </cell>
          <cell r="O909" t="str">
            <v>:  Aspal Utk. Pekerjaan Pelaburan</v>
          </cell>
          <cell r="R909" t="str">
            <v>TOTAL HARGA (Rp.)</v>
          </cell>
          <cell r="T909" t="str">
            <v>:</v>
          </cell>
          <cell r="U909">
            <v>0</v>
          </cell>
        </row>
        <row r="910">
          <cell r="A910">
            <v>5</v>
          </cell>
          <cell r="C910" t="str">
            <v>Faktor kehilangan bahan</v>
          </cell>
          <cell r="G910" t="str">
            <v>Fh</v>
          </cell>
          <cell r="H910">
            <v>1.1000000000000001</v>
          </cell>
          <cell r="I910" t="str">
            <v>-</v>
          </cell>
          <cell r="L910" t="str">
            <v>SATUAN PEMBAYARAN</v>
          </cell>
          <cell r="O910" t="str">
            <v>:  LITER</v>
          </cell>
          <cell r="R910" t="str">
            <v>% THD. BIAYA PROYEK</v>
          </cell>
          <cell r="T910" t="str">
            <v>:</v>
          </cell>
          <cell r="U910" t="e">
            <v>#DIV/0!</v>
          </cell>
        </row>
        <row r="911">
          <cell r="A911">
            <v>6</v>
          </cell>
          <cell r="C911" t="str">
            <v>Komposisi campuran  :</v>
          </cell>
        </row>
        <row r="912">
          <cell r="A912" t="str">
            <v/>
          </cell>
          <cell r="C912" t="str">
            <v>- Aspal AC - 10 atau AC - 20</v>
          </cell>
          <cell r="G912" t="str">
            <v>As</v>
          </cell>
          <cell r="H912">
            <v>95.238095238095227</v>
          </cell>
          <cell r="I912" t="str">
            <v>%</v>
          </cell>
          <cell r="J912" t="str">
            <v>100 bagian</v>
          </cell>
        </row>
        <row r="913">
          <cell r="A913" t="str">
            <v/>
          </cell>
          <cell r="C913" t="str">
            <v>- Minyak Tanah / Pencair</v>
          </cell>
          <cell r="G913" t="str">
            <v>K</v>
          </cell>
          <cell r="H913">
            <v>4.7619047619047734</v>
          </cell>
          <cell r="I913" t="str">
            <v>%</v>
          </cell>
          <cell r="J913" t="str">
            <v>5 bagian</v>
          </cell>
          <cell r="Q913" t="str">
            <v>PERKIRAAN</v>
          </cell>
          <cell r="R913" t="str">
            <v>HARGA</v>
          </cell>
          <cell r="S913" t="str">
            <v>JUMLAH</v>
          </cell>
        </row>
        <row r="914">
          <cell r="A914">
            <v>7</v>
          </cell>
          <cell r="C914" t="str">
            <v>Berat jenis bahan  :</v>
          </cell>
          <cell r="L914" t="str">
            <v>NO.</v>
          </cell>
          <cell r="N914" t="str">
            <v>KOMPONEN</v>
          </cell>
          <cell r="P914" t="str">
            <v>SATUAN</v>
          </cell>
          <cell r="Q914" t="str">
            <v>KUANTITAS</v>
          </cell>
          <cell r="R914" t="str">
            <v>SATUAN</v>
          </cell>
          <cell r="S914" t="str">
            <v>HARGA</v>
          </cell>
        </row>
        <row r="915">
          <cell r="C915" t="str">
            <v>- Aspal AC - 10 atau AC - 20</v>
          </cell>
          <cell r="G915" t="str">
            <v>D1</v>
          </cell>
          <cell r="H915">
            <v>1.05</v>
          </cell>
          <cell r="I915" t="str">
            <v>Kg / Ltr</v>
          </cell>
          <cell r="R915" t="str">
            <v>(Rp.)</v>
          </cell>
          <cell r="S915" t="str">
            <v>(Rp.)</v>
          </cell>
        </row>
        <row r="916">
          <cell r="C916" t="str">
            <v>- Minyak Tanah / Pencair</v>
          </cell>
          <cell r="G916" t="str">
            <v>D2</v>
          </cell>
          <cell r="H916">
            <v>0.8</v>
          </cell>
          <cell r="I916" t="str">
            <v>Kg / Ltr</v>
          </cell>
        </row>
        <row r="917">
          <cell r="A917">
            <v>8</v>
          </cell>
          <cell r="C917" t="str">
            <v>Bahan dasar (aspal &amp; minyak pencair) semuanya</v>
          </cell>
        </row>
        <row r="918">
          <cell r="C918" t="str">
            <v>diterima dilokasi pekerjaan</v>
          </cell>
          <cell r="L918" t="str">
            <v>A.</v>
          </cell>
          <cell r="N918" t="str">
            <v>TENAGA</v>
          </cell>
        </row>
        <row r="919">
          <cell r="A919" t="str">
            <v/>
          </cell>
          <cell r="C919" t="str">
            <v/>
          </cell>
        </row>
        <row r="920">
          <cell r="A920" t="str">
            <v>II.</v>
          </cell>
          <cell r="C920" t="str">
            <v>URUTAN KERJA</v>
          </cell>
          <cell r="L920" t="str">
            <v>1.</v>
          </cell>
          <cell r="N920" t="str">
            <v>Pekerja</v>
          </cell>
          <cell r="O920" t="str">
            <v>(L01)</v>
          </cell>
          <cell r="P920" t="str">
            <v>Jam</v>
          </cell>
          <cell r="Q920">
            <v>2.8348688873139617E-2</v>
          </cell>
          <cell r="R920">
            <v>2857.14</v>
          </cell>
          <cell r="U920">
            <v>80.996172927002121</v>
          </cell>
        </row>
        <row r="921">
          <cell r="A921">
            <v>1</v>
          </cell>
          <cell r="C921" t="str">
            <v>Aspal dan minyak tanah dicampur dan dipanaskan</v>
          </cell>
          <cell r="L921" t="str">
            <v>2.</v>
          </cell>
          <cell r="N921" t="str">
            <v>Mandor</v>
          </cell>
          <cell r="O921" t="str">
            <v>(L03)</v>
          </cell>
          <cell r="P921" t="str">
            <v>Jam</v>
          </cell>
          <cell r="Q921">
            <v>2.8348688873139618E-3</v>
          </cell>
          <cell r="R921">
            <v>3214.29</v>
          </cell>
          <cell r="U921">
            <v>9.1120907158043938</v>
          </cell>
        </row>
        <row r="922">
          <cell r="C922" t="str">
            <v>sehingga menjadi campuran aspal cair</v>
          </cell>
        </row>
        <row r="923">
          <cell r="A923">
            <v>2</v>
          </cell>
          <cell r="C923" t="str">
            <v>Permukaan yang akan dilapis dibersihkan dari debu</v>
          </cell>
        </row>
        <row r="924">
          <cell r="C924" t="str">
            <v>dan kotoran dengan Air Compresor</v>
          </cell>
          <cell r="Q924" t="str">
            <v xml:space="preserve">JUMLAH HARGA TENAGA   </v>
          </cell>
          <cell r="U924">
            <v>90.10826364280652</v>
          </cell>
        </row>
        <row r="925">
          <cell r="A925">
            <v>3</v>
          </cell>
          <cell r="C925" t="str">
            <v>Campuran aspal cair disemprotkan dengan Asphalt</v>
          </cell>
        </row>
        <row r="926">
          <cell r="C926" t="str">
            <v>Sprayer ke atas permukaan yang akan dilapis</v>
          </cell>
          <cell r="L926" t="str">
            <v>B.</v>
          </cell>
          <cell r="N926" t="str">
            <v>BAHAN</v>
          </cell>
        </row>
        <row r="927">
          <cell r="A927">
            <v>4</v>
          </cell>
          <cell r="C927" t="str">
            <v>Angkutan Aspal dan Minyak Tanah menggunakan</v>
          </cell>
          <cell r="Q927" t="str">
            <v/>
          </cell>
        </row>
        <row r="928">
          <cell r="C928" t="str">
            <v>Dump Truck</v>
          </cell>
          <cell r="L928" t="str">
            <v>1.</v>
          </cell>
          <cell r="N928" t="str">
            <v>Aspal</v>
          </cell>
          <cell r="O928" t="str">
            <v>(M10)</v>
          </cell>
          <cell r="P928" t="str">
            <v>Kg</v>
          </cell>
          <cell r="Q928">
            <v>1.1000000000000001</v>
          </cell>
          <cell r="R928">
            <v>2086.6280000000002</v>
          </cell>
          <cell r="U928">
            <v>2295.2908000000002</v>
          </cell>
        </row>
        <row r="929">
          <cell r="L929" t="str">
            <v>2.</v>
          </cell>
          <cell r="N929" t="str">
            <v>Minyak Tanah</v>
          </cell>
          <cell r="O929" t="str">
            <v>(M11)</v>
          </cell>
          <cell r="P929" t="str">
            <v>Liter</v>
          </cell>
          <cell r="Q929">
            <v>5.2380952380952514E-2</v>
          </cell>
          <cell r="R929">
            <v>1650</v>
          </cell>
          <cell r="U929">
            <v>86.428571428571644</v>
          </cell>
        </row>
        <row r="930">
          <cell r="A930" t="str">
            <v>III.</v>
          </cell>
          <cell r="C930" t="str">
            <v>PEMAKAIAN BAHAN, ALAT DAN TENAGA</v>
          </cell>
        </row>
        <row r="932">
          <cell r="A932" t="str">
            <v xml:space="preserve">   1.</v>
          </cell>
          <cell r="C932" t="str">
            <v>BAHAN</v>
          </cell>
        </row>
        <row r="933">
          <cell r="C933" t="str">
            <v>Untuk mendapatkan 1 liter Lapis resap Pengikat</v>
          </cell>
        </row>
        <row r="934">
          <cell r="C934" t="str">
            <v>diperlukan :</v>
          </cell>
          <cell r="D934" t="str">
            <v>(1 liter x Fh)</v>
          </cell>
          <cell r="G934" t="str">
            <v>Pc</v>
          </cell>
          <cell r="H934">
            <v>1.1000000000000001</v>
          </cell>
          <cell r="I934" t="str">
            <v>liter</v>
          </cell>
          <cell r="J934" t="str">
            <v>Campuran</v>
          </cell>
          <cell r="Q934" t="str">
            <v xml:space="preserve">JUMLAH HARGA BAHAN   </v>
          </cell>
          <cell r="U934">
            <v>2381.7193714285718</v>
          </cell>
        </row>
        <row r="936">
          <cell r="C936" t="str">
            <v>Aspal</v>
          </cell>
          <cell r="D936" t="str">
            <v>= As x Pc x D1 : 100</v>
          </cell>
          <cell r="G936" t="str">
            <v>(M10)</v>
          </cell>
          <cell r="H936">
            <v>1.1000000000000001</v>
          </cell>
          <cell r="I936" t="str">
            <v>Kg</v>
          </cell>
          <cell r="L936" t="str">
            <v>C.</v>
          </cell>
          <cell r="N936" t="str">
            <v>PERALATAN</v>
          </cell>
        </row>
        <row r="937">
          <cell r="C937" t="str">
            <v>Minyak Tanah</v>
          </cell>
          <cell r="D937" t="str">
            <v>= K x Pc : 100</v>
          </cell>
          <cell r="G937" t="str">
            <v>(M11)</v>
          </cell>
          <cell r="H937">
            <v>5.2380952380952514E-2</v>
          </cell>
          <cell r="I937" t="str">
            <v>liter</v>
          </cell>
        </row>
        <row r="938">
          <cell r="L938" t="str">
            <v>1.</v>
          </cell>
          <cell r="N938" t="str">
            <v>Asphalt Sprayer  (E03)</v>
          </cell>
          <cell r="P938" t="str">
            <v>Jam</v>
          </cell>
          <cell r="Q938">
            <v>2.8348688873139618E-3</v>
          </cell>
          <cell r="R938">
            <v>30575.535383788432</v>
          </cell>
          <cell r="U938">
            <v>86.677633972468982</v>
          </cell>
        </row>
        <row r="939">
          <cell r="A939" t="str">
            <v>2.</v>
          </cell>
          <cell r="C939" t="str">
            <v>ALAT</v>
          </cell>
          <cell r="L939" t="str">
            <v>2.</v>
          </cell>
          <cell r="N939" t="str">
            <v>Air Compresor    (E05)</v>
          </cell>
          <cell r="P939" t="str">
            <v>Jam</v>
          </cell>
          <cell r="Q939">
            <v>1.7857142857142857E-3</v>
          </cell>
          <cell r="R939">
            <v>53840.365312835944</v>
          </cell>
          <cell r="U939">
            <v>96.143509487207041</v>
          </cell>
        </row>
        <row r="940">
          <cell r="A940" t="str">
            <v>2.a.</v>
          </cell>
          <cell r="C940" t="str">
            <v>APHALT SPRAYER</v>
          </cell>
          <cell r="G940" t="str">
            <v>(E03)</v>
          </cell>
          <cell r="L940" t="str">
            <v>3.</v>
          </cell>
          <cell r="N940" t="str">
            <v>Dump Truck</v>
          </cell>
          <cell r="O940" t="str">
            <v>(E08)</v>
          </cell>
          <cell r="P940" t="str">
            <v>Jam</v>
          </cell>
          <cell r="Q940">
            <v>2.8348688873139618E-3</v>
          </cell>
          <cell r="R940">
            <v>153645.58193291764</v>
          </cell>
          <cell r="U940">
            <v>435.56507989487642</v>
          </cell>
        </row>
        <row r="941">
          <cell r="C941" t="str">
            <v>Kapasitas alat</v>
          </cell>
          <cell r="G941" t="str">
            <v>V</v>
          </cell>
          <cell r="H941">
            <v>850</v>
          </cell>
          <cell r="I941" t="str">
            <v>liter</v>
          </cell>
        </row>
        <row r="942">
          <cell r="C942" t="str">
            <v>Faktor Efisiensi Alat</v>
          </cell>
          <cell r="G942" t="str">
            <v>Fa</v>
          </cell>
          <cell r="H942">
            <v>0.83</v>
          </cell>
          <cell r="I942" t="str">
            <v>-</v>
          </cell>
        </row>
        <row r="943">
          <cell r="C943" t="str">
            <v>Waktu Siklus (termasuk proses pemanasan)</v>
          </cell>
          <cell r="G943" t="str">
            <v>Ts</v>
          </cell>
          <cell r="H943">
            <v>2</v>
          </cell>
          <cell r="I943" t="str">
            <v>Jam</v>
          </cell>
        </row>
        <row r="945">
          <cell r="C945" t="str">
            <v>Kap.Prod. / jam =</v>
          </cell>
          <cell r="D945" t="str">
            <v>V x Fa</v>
          </cell>
          <cell r="G945" t="str">
            <v>Q1</v>
          </cell>
          <cell r="H945">
            <v>352.75</v>
          </cell>
          <cell r="I945" t="str">
            <v>liter</v>
          </cell>
        </row>
        <row r="946">
          <cell r="D946" t="str">
            <v>Ts</v>
          </cell>
          <cell r="Q946" t="str">
            <v xml:space="preserve">JUMLAH HARGA PERALATAN   </v>
          </cell>
          <cell r="U946">
            <v>618.38622335455238</v>
          </cell>
        </row>
        <row r="947">
          <cell r="C947" t="str">
            <v>Koefisien Alat / Ltr</v>
          </cell>
          <cell r="D947" t="str">
            <v xml:space="preserve"> = 1 : Q1</v>
          </cell>
          <cell r="G947" t="str">
            <v>(E03)</v>
          </cell>
          <cell r="H947">
            <v>2.8348688873139618E-3</v>
          </cell>
          <cell r="I947" t="str">
            <v>Jam</v>
          </cell>
        </row>
        <row r="948">
          <cell r="L948" t="str">
            <v>D.</v>
          </cell>
          <cell r="N948" t="str">
            <v>JUMLAH HARGA TENAGA, BAHAN DAN PERALATAN  ( A + B + C )</v>
          </cell>
          <cell r="U948">
            <v>3090.2138584259305</v>
          </cell>
        </row>
        <row r="949">
          <cell r="A949" t="str">
            <v>2.b.</v>
          </cell>
          <cell r="C949" t="str">
            <v>AIR COMPRESOR</v>
          </cell>
          <cell r="G949" t="str">
            <v>(E05)</v>
          </cell>
          <cell r="L949" t="str">
            <v>E.</v>
          </cell>
          <cell r="N949" t="str">
            <v>OVERHEAD &amp; PROFIT</v>
          </cell>
          <cell r="P949">
            <v>10</v>
          </cell>
          <cell r="Q949" t="str">
            <v>%  x  D</v>
          </cell>
          <cell r="U949">
            <v>309.02138584259308</v>
          </cell>
        </row>
        <row r="950">
          <cell r="C950" t="str">
            <v>Kapasitas Alat ------&gt;&gt;  diambil</v>
          </cell>
          <cell r="G950" t="str">
            <v>V</v>
          </cell>
          <cell r="H950">
            <v>700</v>
          </cell>
          <cell r="I950" t="str">
            <v>M2 / Jam</v>
          </cell>
          <cell r="L950" t="str">
            <v>F.</v>
          </cell>
          <cell r="N950" t="str">
            <v>HARGA SATUAN PEKERJAAN  ( D + E )</v>
          </cell>
          <cell r="U950">
            <v>3399.2352442685237</v>
          </cell>
        </row>
        <row r="951">
          <cell r="C951" t="str">
            <v>Aplikasi rata-rata</v>
          </cell>
          <cell r="G951" t="str">
            <v>Ap</v>
          </cell>
          <cell r="H951">
            <v>0.8</v>
          </cell>
          <cell r="I951" t="str">
            <v>liter / M2</v>
          </cell>
          <cell r="L951" t="str">
            <v>Note: 1</v>
          </cell>
          <cell r="N951" t="str">
            <v>SATUAN dapat berdasarkan atas jam operasi untuk Tenaga Kerja dan Peralatan, volume dan/atau ukuran</v>
          </cell>
        </row>
        <row r="952">
          <cell r="N952" t="str">
            <v>berat untuk bahan-bahan.</v>
          </cell>
        </row>
        <row r="953">
          <cell r="C953" t="str">
            <v xml:space="preserve">Kap. Prod. / jam = </v>
          </cell>
          <cell r="D953" t="str">
            <v>(V x Ap)</v>
          </cell>
          <cell r="G953" t="str">
            <v>Q2</v>
          </cell>
          <cell r="H953">
            <v>560</v>
          </cell>
          <cell r="I953" t="str">
            <v>liter</v>
          </cell>
          <cell r="L953">
            <v>2</v>
          </cell>
          <cell r="N953" t="str">
            <v>Kuantitas satuan adalah kuantitas setiap komponen untuk menyelesaikan satu satuan pekerjaan dari nomor</v>
          </cell>
        </row>
        <row r="954">
          <cell r="N954" t="str">
            <v>mata pembayaran.</v>
          </cell>
        </row>
        <row r="955">
          <cell r="C955" t="str">
            <v>Koefisien Alat / Ltr</v>
          </cell>
          <cell r="D955" t="str">
            <v xml:space="preserve"> = 1 : Q2</v>
          </cell>
          <cell r="G955" t="str">
            <v>(E05)</v>
          </cell>
          <cell r="H955">
            <v>1.7857142857142857E-3</v>
          </cell>
          <cell r="I955" t="str">
            <v>Jam</v>
          </cell>
          <cell r="L955">
            <v>3</v>
          </cell>
          <cell r="N955" t="str">
            <v>Biaya satuan untuk peralatan sudah termasuk bahan bakar, bahan habis dipakai dan operator.</v>
          </cell>
        </row>
        <row r="956">
          <cell r="L956">
            <v>4</v>
          </cell>
          <cell r="N956" t="str">
            <v>Biaya satuan sudah termasuk pengeluaran untuk seluruh pajak yang berkaitan (tetapi tidak termasuk PPN</v>
          </cell>
        </row>
        <row r="957">
          <cell r="J957" t="str">
            <v>Berlanjut ke halaman berikut</v>
          </cell>
          <cell r="N957" t="str">
            <v>yang dibayar dari kontrak) dan biaya-biaya lainnya.</v>
          </cell>
        </row>
        <row r="958">
          <cell r="A958" t="str">
            <v>ITEM PEMBAYARAN NO.</v>
          </cell>
          <cell r="D958" t="str">
            <v>:  4.2 (6)</v>
          </cell>
          <cell r="J958" t="str">
            <v>Analisa EI-426</v>
          </cell>
        </row>
        <row r="959">
          <cell r="A959" t="str">
            <v xml:space="preserve">JENIS PEKERJAAN                                  </v>
          </cell>
          <cell r="D959" t="str">
            <v>:  Aspal Utk. Pekerjaan Pelaburan</v>
          </cell>
        </row>
        <row r="960">
          <cell r="A960" t="str">
            <v>SATUAN PEMBAYARAN</v>
          </cell>
          <cell r="D960" t="str">
            <v>:  LITER</v>
          </cell>
          <cell r="J960" t="str">
            <v xml:space="preserve">         URAIAN ANALISA HARGA SATUAN</v>
          </cell>
        </row>
        <row r="961">
          <cell r="J961" t="str">
            <v>Lanjutan</v>
          </cell>
        </row>
        <row r="963">
          <cell r="A963" t="str">
            <v>No.</v>
          </cell>
          <cell r="C963" t="str">
            <v>U R A I A N</v>
          </cell>
          <cell r="G963" t="str">
            <v>KODE</v>
          </cell>
          <cell r="H963" t="str">
            <v>KOEF.</v>
          </cell>
          <cell r="I963" t="str">
            <v>SATUAN</v>
          </cell>
          <cell r="J963" t="str">
            <v>KETERANGAN</v>
          </cell>
        </row>
        <row r="966">
          <cell r="A966" t="str">
            <v>2.c.</v>
          </cell>
          <cell r="C966" t="str">
            <v>DUMP TRUCK (DT)</v>
          </cell>
          <cell r="G966" t="str">
            <v>(E08)</v>
          </cell>
        </row>
        <row r="967">
          <cell r="C967" t="str">
            <v>Sebagai alat pengangkut bahan dilokasi pekerjaan</v>
          </cell>
        </row>
        <row r="968">
          <cell r="C968" t="str">
            <v>Dump Truck melayani alat Asphalt Sprayer.</v>
          </cell>
        </row>
        <row r="969">
          <cell r="C969" t="str">
            <v>Kap.Prod. / jam = sama dengan Asphalt Sprayer</v>
          </cell>
          <cell r="G969" t="str">
            <v>Q3</v>
          </cell>
          <cell r="H969">
            <v>352.75</v>
          </cell>
          <cell r="I969" t="str">
            <v>liter</v>
          </cell>
        </row>
        <row r="971">
          <cell r="C971" t="str">
            <v>Koefisien Alat / Ltr</v>
          </cell>
          <cell r="D971" t="str">
            <v xml:space="preserve"> = 1 : Q3</v>
          </cell>
          <cell r="G971" t="str">
            <v>(E08)</v>
          </cell>
          <cell r="H971">
            <v>2.8348688873139618E-3</v>
          </cell>
          <cell r="I971" t="str">
            <v>Jam</v>
          </cell>
        </row>
        <row r="973">
          <cell r="A973" t="str">
            <v>3.</v>
          </cell>
          <cell r="C973" t="str">
            <v>TENAGA</v>
          </cell>
        </row>
        <row r="974">
          <cell r="C974" t="str">
            <v>Produksi menentukan : ASPHALT SPRAYER</v>
          </cell>
          <cell r="G974" t="str">
            <v>Q1</v>
          </cell>
          <cell r="H974">
            <v>352.75</v>
          </cell>
          <cell r="I974" t="str">
            <v>Ltr/Jam</v>
          </cell>
        </row>
        <row r="975">
          <cell r="C975" t="str">
            <v>Produksi / hari  =  Tk x Q1</v>
          </cell>
          <cell r="G975" t="str">
            <v>Qt</v>
          </cell>
          <cell r="H975">
            <v>2469.25</v>
          </cell>
          <cell r="I975" t="str">
            <v>Liter</v>
          </cell>
        </row>
        <row r="976">
          <cell r="C976" t="str">
            <v>Kebutuhan tenaga :</v>
          </cell>
        </row>
        <row r="977">
          <cell r="D977" t="str">
            <v>- Pekerja</v>
          </cell>
          <cell r="G977" t="str">
            <v>P</v>
          </cell>
          <cell r="H977">
            <v>10</v>
          </cell>
          <cell r="I977" t="str">
            <v>orang</v>
          </cell>
        </row>
        <row r="978">
          <cell r="D978" t="str">
            <v>- Mandor</v>
          </cell>
          <cell r="G978" t="str">
            <v>M</v>
          </cell>
          <cell r="H978">
            <v>1</v>
          </cell>
          <cell r="I978" t="str">
            <v>orang</v>
          </cell>
        </row>
        <row r="980">
          <cell r="C980" t="str">
            <v>Koefisien Tenaga / Ltr     :</v>
          </cell>
        </row>
        <row r="981">
          <cell r="D981" t="str">
            <v>- Pekerja</v>
          </cell>
          <cell r="E981" t="str">
            <v>= (Tk x P) / Qt</v>
          </cell>
          <cell r="G981" t="str">
            <v>(L01)</v>
          </cell>
          <cell r="H981">
            <v>2.8348688873139617E-2</v>
          </cell>
          <cell r="I981" t="str">
            <v>Jam</v>
          </cell>
        </row>
        <row r="982">
          <cell r="D982" t="str">
            <v>- Mandor</v>
          </cell>
          <cell r="E982" t="str">
            <v>= (Tk x M) / Qt</v>
          </cell>
          <cell r="G982" t="str">
            <v>(L03)</v>
          </cell>
          <cell r="H982">
            <v>2.8348688873139618E-3</v>
          </cell>
          <cell r="I982" t="str">
            <v>Jam</v>
          </cell>
        </row>
        <row r="984">
          <cell r="A984" t="str">
            <v>4.</v>
          </cell>
          <cell r="C984" t="str">
            <v>HARGA DASAR SATUAN UPAH, BAHAN DAN ALAT</v>
          </cell>
        </row>
        <row r="985">
          <cell r="C985" t="str">
            <v>Lihat lampiran.</v>
          </cell>
        </row>
        <row r="987">
          <cell r="A987" t="str">
            <v>5.</v>
          </cell>
          <cell r="C987" t="str">
            <v>ANALISA HARGA SATUAN PEKERJAAN</v>
          </cell>
        </row>
        <row r="988">
          <cell r="C988" t="str">
            <v>Lihat perhitungan dalam FORMULIR STANDAR UNTUK</v>
          </cell>
        </row>
        <row r="989">
          <cell r="C989" t="str">
            <v>PEREKEMAN ANALISA MASING-MASING HARGA</v>
          </cell>
        </row>
        <row r="990">
          <cell r="C990" t="str">
            <v>SATUAN.</v>
          </cell>
        </row>
        <row r="991">
          <cell r="C991" t="str">
            <v>Didapat Harga Satuan Pekerjaan :</v>
          </cell>
        </row>
        <row r="993">
          <cell r="C993" t="str">
            <v xml:space="preserve">Rp.  </v>
          </cell>
          <cell r="D993">
            <v>3399.2352442685237</v>
          </cell>
          <cell r="E993" t="str">
            <v xml:space="preserve"> / Liter</v>
          </cell>
        </row>
        <row r="996">
          <cell r="A996" t="str">
            <v>6.</v>
          </cell>
          <cell r="C996" t="str">
            <v>WAKTU PELAKSANAAN YANG DIPERLUKAN</v>
          </cell>
        </row>
        <row r="997">
          <cell r="C997" t="str">
            <v>Waktu pelaksanaan</v>
          </cell>
          <cell r="D997" t="str">
            <v>:  . . . . . . .  bulan</v>
          </cell>
        </row>
        <row r="999">
          <cell r="A999" t="str">
            <v>7.</v>
          </cell>
          <cell r="C999" t="str">
            <v>VOLUME PEKERJAAN YANG DIPERLUKAN</v>
          </cell>
        </row>
        <row r="1000">
          <cell r="C1000" t="str">
            <v>Volume pekerjaan  :</v>
          </cell>
          <cell r="D1000">
            <v>0</v>
          </cell>
          <cell r="E1000" t="str">
            <v>Liter</v>
          </cell>
        </row>
        <row r="1015">
          <cell r="C1015" t="str">
            <v/>
          </cell>
        </row>
        <row r="1017">
          <cell r="A1017" t="str">
            <v>ITEM PEMBAYARAN NO.</v>
          </cell>
          <cell r="D1017" t="str">
            <v>:  4.2 (7)</v>
          </cell>
          <cell r="J1017" t="str">
            <v>Analisa EI-427</v>
          </cell>
          <cell r="T1017" t="str">
            <v>Analisa EI-427</v>
          </cell>
        </row>
        <row r="1018">
          <cell r="A1018" t="str">
            <v>JENIS PEKERJAAN</v>
          </cell>
          <cell r="D1018" t="str">
            <v>:  Lapis Resap Pengikat</v>
          </cell>
        </row>
        <row r="1019">
          <cell r="A1019" t="str">
            <v>SATUAN PEMBAYARAN</v>
          </cell>
          <cell r="D1019" t="str">
            <v>:  LITER</v>
          </cell>
          <cell r="J1019" t="str">
            <v xml:space="preserve">         URAIAN ANALISA HARGA SATUAN</v>
          </cell>
          <cell r="L1019" t="str">
            <v>FORMULIR STANDAR UNTUK</v>
          </cell>
        </row>
        <row r="1020">
          <cell r="L1020" t="str">
            <v>PEREKAMAN ANALISA MASING-MASING HARGA SATUAN</v>
          </cell>
        </row>
        <row r="1021">
          <cell r="L1021" t="str">
            <v/>
          </cell>
        </row>
        <row r="1022">
          <cell r="A1022" t="str">
            <v>No.</v>
          </cell>
          <cell r="C1022" t="str">
            <v>U R A I A N</v>
          </cell>
          <cell r="G1022" t="str">
            <v>KODE</v>
          </cell>
          <cell r="H1022" t="str">
            <v>KOEF.</v>
          </cell>
          <cell r="I1022" t="str">
            <v>SATUAN</v>
          </cell>
          <cell r="J1022" t="str">
            <v>KETERANGAN</v>
          </cell>
        </row>
        <row r="1024">
          <cell r="L1024" t="str">
            <v>PROYEK</v>
          </cell>
          <cell r="O1024" t="str">
            <v>:</v>
          </cell>
        </row>
        <row r="1025">
          <cell r="A1025" t="str">
            <v>I.</v>
          </cell>
          <cell r="C1025" t="str">
            <v>ASUMSI</v>
          </cell>
          <cell r="L1025" t="str">
            <v>No. PAKET KONTRAK</v>
          </cell>
          <cell r="O1025" t="str">
            <v>:</v>
          </cell>
        </row>
        <row r="1026">
          <cell r="A1026">
            <v>1</v>
          </cell>
          <cell r="C1026" t="str">
            <v>Menggunakan alat berat (cara mekanik)</v>
          </cell>
          <cell r="L1026" t="str">
            <v>NAMA PAKET</v>
          </cell>
          <cell r="O1026" t="str">
            <v>:</v>
          </cell>
        </row>
        <row r="1027">
          <cell r="A1027">
            <v>2</v>
          </cell>
          <cell r="C1027" t="str">
            <v>Lokasi pekerjaan : sepanjang jalan</v>
          </cell>
          <cell r="L1027" t="str">
            <v>PROP / KAB / KODYA</v>
          </cell>
          <cell r="O1027" t="str">
            <v>:</v>
          </cell>
        </row>
        <row r="1028">
          <cell r="A1028">
            <v>3</v>
          </cell>
          <cell r="C1028" t="str">
            <v>Jarak rata-rata Base Camp ke lokasi pekerjaan</v>
          </cell>
          <cell r="G1028" t="str">
            <v>L</v>
          </cell>
          <cell r="H1028">
            <v>8.7249999999999996</v>
          </cell>
          <cell r="I1028" t="str">
            <v>KM</v>
          </cell>
          <cell r="L1028" t="str">
            <v>ITEM PEMBAYARAN NO.</v>
          </cell>
          <cell r="O1028" t="str">
            <v>:  4.2 (7)</v>
          </cell>
          <cell r="R1028" t="str">
            <v>PERKIRAAN VOL. PEK.</v>
          </cell>
          <cell r="T1028" t="str">
            <v>:</v>
          </cell>
          <cell r="U1028">
            <v>1</v>
          </cell>
        </row>
        <row r="1029">
          <cell r="A1029">
            <v>4</v>
          </cell>
          <cell r="C1029" t="str">
            <v>Jam kerja efektif per-hari</v>
          </cell>
          <cell r="G1029" t="str">
            <v>Tk</v>
          </cell>
          <cell r="H1029">
            <v>7</v>
          </cell>
          <cell r="I1029" t="str">
            <v>Jam</v>
          </cell>
          <cell r="L1029" t="str">
            <v>JENIS PEKERJAAN</v>
          </cell>
          <cell r="O1029" t="str">
            <v>:  Lapis Resap Pengikat</v>
          </cell>
          <cell r="R1029" t="str">
            <v>TOTAL HARGA (Rp.)</v>
          </cell>
          <cell r="T1029" t="str">
            <v>:</v>
          </cell>
          <cell r="U1029">
            <v>305360.27</v>
          </cell>
        </row>
        <row r="1030">
          <cell r="A1030">
            <v>5</v>
          </cell>
          <cell r="C1030" t="str">
            <v>Faktor kehilangan bahan</v>
          </cell>
          <cell r="G1030" t="str">
            <v>Fh</v>
          </cell>
          <cell r="H1030">
            <v>1.1000000000000001</v>
          </cell>
          <cell r="I1030" t="str">
            <v>-</v>
          </cell>
          <cell r="L1030" t="str">
            <v>SATUAN PEMBAYARAN</v>
          </cell>
          <cell r="O1030" t="str">
            <v>:  LITER</v>
          </cell>
          <cell r="R1030" t="str">
            <v>% THD. BIAYA PROYEK</v>
          </cell>
          <cell r="T1030" t="str">
            <v>:</v>
          </cell>
          <cell r="U1030" t="e">
            <v>#DIV/0!</v>
          </cell>
        </row>
        <row r="1031">
          <cell r="A1031">
            <v>6</v>
          </cell>
          <cell r="C1031" t="str">
            <v>Komposisi campuran :</v>
          </cell>
        </row>
        <row r="1032">
          <cell r="C1032" t="str">
            <v>- Aspal AC-10 atau AC-20</v>
          </cell>
          <cell r="G1032" t="str">
            <v>As</v>
          </cell>
          <cell r="H1032">
            <v>56</v>
          </cell>
          <cell r="I1032" t="str">
            <v>%</v>
          </cell>
          <cell r="J1032" t="str">
            <v xml:space="preserve"> 100 bagian</v>
          </cell>
        </row>
        <row r="1033">
          <cell r="C1033" t="str">
            <v>- Minyak Flux / Pencair</v>
          </cell>
          <cell r="G1033" t="str">
            <v>K</v>
          </cell>
          <cell r="H1033">
            <v>44</v>
          </cell>
          <cell r="I1033" t="str">
            <v>%</v>
          </cell>
          <cell r="J1033" t="str">
            <v xml:space="preserve"> 80   bagian</v>
          </cell>
          <cell r="Q1033" t="str">
            <v>PERKIRAAN</v>
          </cell>
          <cell r="R1033" t="str">
            <v>HARGA</v>
          </cell>
          <cell r="S1033" t="str">
            <v>JUMLAH</v>
          </cell>
        </row>
        <row r="1034">
          <cell r="A1034">
            <v>7</v>
          </cell>
          <cell r="C1034" t="str">
            <v>Berat jenis bahan :</v>
          </cell>
          <cell r="L1034" t="str">
            <v>NO.</v>
          </cell>
          <cell r="N1034" t="str">
            <v>KOMPONEN</v>
          </cell>
          <cell r="P1034" t="str">
            <v>SATUAN</v>
          </cell>
          <cell r="Q1034" t="str">
            <v>KUANTITAS</v>
          </cell>
          <cell r="R1034" t="str">
            <v>SATUAN</v>
          </cell>
          <cell r="S1034" t="str">
            <v>HARGA</v>
          </cell>
        </row>
        <row r="1035">
          <cell r="C1035" t="str">
            <v>- Aspal AC-10 atau AC-20</v>
          </cell>
          <cell r="G1035" t="str">
            <v>D1</v>
          </cell>
          <cell r="H1035">
            <v>1.03</v>
          </cell>
          <cell r="I1035" t="str">
            <v>Kg / liter</v>
          </cell>
          <cell r="R1035" t="str">
            <v>(Rp.)</v>
          </cell>
          <cell r="S1035" t="str">
            <v>(Rp.)</v>
          </cell>
        </row>
        <row r="1036">
          <cell r="C1036" t="str">
            <v>- Minyak Flux / Pencair</v>
          </cell>
          <cell r="G1036" t="str">
            <v>D2</v>
          </cell>
          <cell r="H1036">
            <v>0.8</v>
          </cell>
          <cell r="I1036" t="str">
            <v>Kg / liter</v>
          </cell>
        </row>
        <row r="1037">
          <cell r="A1037">
            <v>8</v>
          </cell>
          <cell r="C1037" t="str">
            <v>Bahan dasar (aspal &amp; minyak pencair) semuanya</v>
          </cell>
        </row>
        <row r="1038">
          <cell r="C1038" t="str">
            <v>diterima di lokasi pekerjaan</v>
          </cell>
          <cell r="L1038" t="str">
            <v>A.</v>
          </cell>
          <cell r="N1038" t="str">
            <v>TENAGA</v>
          </cell>
        </row>
        <row r="1040">
          <cell r="A1040" t="str">
            <v>II.</v>
          </cell>
          <cell r="C1040" t="str">
            <v>URUTAN KERJA</v>
          </cell>
          <cell r="L1040" t="str">
            <v>1.</v>
          </cell>
          <cell r="N1040" t="str">
            <v>Pekerja</v>
          </cell>
          <cell r="O1040" t="str">
            <v>(L01)</v>
          </cell>
          <cell r="P1040" t="str">
            <v>Jam</v>
          </cell>
          <cell r="Q1040">
            <v>2.8348688873139617E-2</v>
          </cell>
          <cell r="R1040">
            <v>2857.14</v>
          </cell>
          <cell r="U1040">
            <v>80.996172927002121</v>
          </cell>
        </row>
        <row r="1041">
          <cell r="A1041">
            <v>1</v>
          </cell>
          <cell r="C1041" t="str">
            <v>Aspal dan Minyak Flux dicampur dan dipanaskan</v>
          </cell>
          <cell r="L1041" t="str">
            <v>2.</v>
          </cell>
          <cell r="N1041" t="str">
            <v>Mandor</v>
          </cell>
          <cell r="O1041" t="str">
            <v>(L03)</v>
          </cell>
          <cell r="P1041" t="str">
            <v>Jam</v>
          </cell>
          <cell r="Q1041">
            <v>5.6697377746279237E-3</v>
          </cell>
          <cell r="R1041">
            <v>3214.29</v>
          </cell>
          <cell r="U1041">
            <v>18.224181431608788</v>
          </cell>
        </row>
        <row r="1042">
          <cell r="C1042" t="str">
            <v>sehingga menjadi campuran aspal cair</v>
          </cell>
        </row>
        <row r="1043">
          <cell r="A1043">
            <v>2</v>
          </cell>
          <cell r="C1043" t="str">
            <v>Permukaan yang akan dilapis dibersihkan dari debu</v>
          </cell>
        </row>
        <row r="1044">
          <cell r="C1044" t="str">
            <v>dan kotoran dengan Air Compressor</v>
          </cell>
          <cell r="Q1044" t="str">
            <v xml:space="preserve">JUMLAH HARGA TENAGA   </v>
          </cell>
          <cell r="U1044">
            <v>99.220354358610905</v>
          </cell>
        </row>
        <row r="1045">
          <cell r="A1045">
            <v>3</v>
          </cell>
          <cell r="C1045" t="str">
            <v>Campuran aspal cair disemprotkan dengan Asphalt</v>
          </cell>
        </row>
        <row r="1046">
          <cell r="C1046" t="str">
            <v>Sprayer ke atas permukaan yang akan dilapis.</v>
          </cell>
          <cell r="L1046" t="str">
            <v>B.</v>
          </cell>
          <cell r="N1046" t="str">
            <v>BAHAN</v>
          </cell>
        </row>
        <row r="1047">
          <cell r="A1047">
            <v>4</v>
          </cell>
          <cell r="C1047" t="str">
            <v>Angkutan Aspal &amp; Minyak Flux menggunakan Dump</v>
          </cell>
        </row>
        <row r="1048">
          <cell r="C1048" t="str">
            <v>Truck</v>
          </cell>
          <cell r="L1048" t="str">
            <v>1.</v>
          </cell>
          <cell r="N1048" t="str">
            <v>Aspal</v>
          </cell>
          <cell r="O1048" t="str">
            <v>(M10)</v>
          </cell>
          <cell r="P1048" t="str">
            <v>Kg</v>
          </cell>
          <cell r="Q1048">
            <v>0.63448000000000015</v>
          </cell>
          <cell r="R1048">
            <v>2086.6280000000002</v>
          </cell>
          <cell r="U1048">
            <v>1323.9237334400004</v>
          </cell>
        </row>
        <row r="1049">
          <cell r="L1049" t="str">
            <v>2.</v>
          </cell>
          <cell r="N1049" t="str">
            <v>Kerosene</v>
          </cell>
          <cell r="O1049" t="str">
            <v>(M11)</v>
          </cell>
          <cell r="P1049" t="str">
            <v>liter</v>
          </cell>
          <cell r="Q1049">
            <v>0.48400000000000004</v>
          </cell>
          <cell r="R1049">
            <v>1650</v>
          </cell>
          <cell r="U1049">
            <v>798.6</v>
          </cell>
        </row>
        <row r="1050">
          <cell r="A1050" t="str">
            <v>III.</v>
          </cell>
          <cell r="C1050" t="str">
            <v>PEMAKAIAN BAHAN, ALAT DAN TENAGA</v>
          </cell>
        </row>
        <row r="1052">
          <cell r="A1052" t="str">
            <v xml:space="preserve">   1.</v>
          </cell>
          <cell r="C1052" t="str">
            <v>BAHAN</v>
          </cell>
        </row>
        <row r="1053">
          <cell r="C1053" t="str">
            <v>Untuk mendapatkan 1 liter Lapis Resap Pengikat</v>
          </cell>
        </row>
        <row r="1054">
          <cell r="C1054" t="str">
            <v>diperlukan :</v>
          </cell>
          <cell r="D1054" t="str">
            <v>( 1 liter x Fh )</v>
          </cell>
          <cell r="G1054" t="str">
            <v>PC</v>
          </cell>
          <cell r="H1054">
            <v>1.1000000000000001</v>
          </cell>
          <cell r="I1054" t="str">
            <v>liter</v>
          </cell>
          <cell r="J1054" t="str">
            <v xml:space="preserve"> Campuran</v>
          </cell>
          <cell r="Q1054" t="str">
            <v xml:space="preserve">JUMLAH HARGA BAHAN   </v>
          </cell>
          <cell r="U1054">
            <v>2122.5237334400003</v>
          </cell>
        </row>
        <row r="1056">
          <cell r="A1056" t="str">
            <v xml:space="preserve">   1.a.</v>
          </cell>
          <cell r="C1056" t="str">
            <v>Aspal</v>
          </cell>
          <cell r="D1056" t="str">
            <v>=   As x PC x D1</v>
          </cell>
          <cell r="G1056" t="str">
            <v>(M10)</v>
          </cell>
          <cell r="H1056">
            <v>0.63448000000000015</v>
          </cell>
          <cell r="I1056" t="str">
            <v>Kg.</v>
          </cell>
          <cell r="L1056" t="str">
            <v>C.</v>
          </cell>
          <cell r="N1056" t="str">
            <v>PERALATAN</v>
          </cell>
        </row>
        <row r="1057">
          <cell r="A1057" t="str">
            <v xml:space="preserve">   1.b.</v>
          </cell>
          <cell r="C1057" t="str">
            <v>Minyak Flux</v>
          </cell>
          <cell r="D1057" t="str">
            <v>=   K x PC</v>
          </cell>
          <cell r="G1057" t="str">
            <v>(M11)</v>
          </cell>
          <cell r="H1057">
            <v>0.48400000000000004</v>
          </cell>
          <cell r="I1057" t="str">
            <v>liter</v>
          </cell>
        </row>
        <row r="1058">
          <cell r="L1058" t="str">
            <v>1.</v>
          </cell>
          <cell r="N1058" t="str">
            <v>Asphalt Sprayer  (E03)</v>
          </cell>
          <cell r="P1058" t="str">
            <v>Jam</v>
          </cell>
          <cell r="Q1058">
            <v>2.8348688873139618E-3</v>
          </cell>
          <cell r="R1058">
            <v>30575.535383788432</v>
          </cell>
          <cell r="U1058">
            <v>86.677633972468982</v>
          </cell>
        </row>
        <row r="1059">
          <cell r="A1059" t="str">
            <v xml:space="preserve">   2.</v>
          </cell>
          <cell r="C1059" t="str">
            <v>ALAT</v>
          </cell>
          <cell r="L1059" t="str">
            <v>2.</v>
          </cell>
          <cell r="N1059" t="str">
            <v>Air Compresor    (E05)</v>
          </cell>
          <cell r="P1059" t="str">
            <v>Jam</v>
          </cell>
          <cell r="Q1059">
            <v>2.0833333333333333E-3</v>
          </cell>
          <cell r="R1059">
            <v>53840.365312835944</v>
          </cell>
          <cell r="U1059">
            <v>112.16742773507488</v>
          </cell>
        </row>
        <row r="1060">
          <cell r="A1060" t="str">
            <v xml:space="preserve">   2.a.</v>
          </cell>
          <cell r="C1060" t="str">
            <v>ASPHALT SPRAYER</v>
          </cell>
          <cell r="G1060" t="str">
            <v>(E03)</v>
          </cell>
          <cell r="L1060" t="str">
            <v>3.</v>
          </cell>
          <cell r="N1060" t="str">
            <v>Dump Truck</v>
          </cell>
          <cell r="O1060" t="str">
            <v>(E08)</v>
          </cell>
          <cell r="P1060" t="str">
            <v>Jam</v>
          </cell>
          <cell r="Q1060">
            <v>2.8348688873139618E-3</v>
          </cell>
          <cell r="R1060">
            <v>153645.58193291764</v>
          </cell>
          <cell r="U1060">
            <v>435.56507989487642</v>
          </cell>
        </row>
        <row r="1061">
          <cell r="C1061" t="str">
            <v>Kapasitas alat</v>
          </cell>
          <cell r="G1061" t="str">
            <v>V</v>
          </cell>
          <cell r="H1061">
            <v>850</v>
          </cell>
          <cell r="I1061" t="str">
            <v>liter</v>
          </cell>
        </row>
        <row r="1062">
          <cell r="C1062" t="str">
            <v>Faktor efisiensi alat</v>
          </cell>
          <cell r="G1062" t="str">
            <v>Fa</v>
          </cell>
          <cell r="H1062">
            <v>0.83</v>
          </cell>
          <cell r="I1062" t="str">
            <v>-</v>
          </cell>
        </row>
        <row r="1063">
          <cell r="C1063" t="str">
            <v>Waktu Siklus (termasuk proses pemanasan)</v>
          </cell>
          <cell r="G1063" t="str">
            <v>Ts</v>
          </cell>
          <cell r="H1063">
            <v>2</v>
          </cell>
          <cell r="I1063" t="str">
            <v>Jam</v>
          </cell>
        </row>
        <row r="1065">
          <cell r="C1065" t="str">
            <v>Kap. Prod. / jam =</v>
          </cell>
          <cell r="D1065" t="str">
            <v>V x Fa</v>
          </cell>
          <cell r="G1065" t="str">
            <v>Q1</v>
          </cell>
          <cell r="H1065">
            <v>352.75</v>
          </cell>
          <cell r="I1065" t="str">
            <v>liter</v>
          </cell>
        </row>
        <row r="1066">
          <cell r="D1066" t="str">
            <v>Ts</v>
          </cell>
          <cell r="Q1066" t="str">
            <v xml:space="preserve">JUMLAH HARGA PERALATAN   </v>
          </cell>
          <cell r="U1066">
            <v>634.41014160242025</v>
          </cell>
        </row>
        <row r="1067">
          <cell r="C1067" t="str">
            <v>Koefisien Alat / Ltr</v>
          </cell>
          <cell r="D1067" t="str">
            <v xml:space="preserve"> =  1  :  Q1</v>
          </cell>
          <cell r="G1067" t="str">
            <v>(E03)</v>
          </cell>
          <cell r="H1067">
            <v>2.8348688873139618E-3</v>
          </cell>
          <cell r="I1067" t="str">
            <v>Jam</v>
          </cell>
        </row>
        <row r="1068">
          <cell r="L1068" t="str">
            <v>D.</v>
          </cell>
          <cell r="N1068" t="str">
            <v>JUMLAH HARGA TENAGA, BAHAN DAN PERALATAN  ( A + B + C )</v>
          </cell>
          <cell r="U1068">
            <v>2856.1542294010314</v>
          </cell>
        </row>
        <row r="1069">
          <cell r="A1069" t="str">
            <v xml:space="preserve">   2.b.</v>
          </cell>
          <cell r="C1069" t="str">
            <v>AIR COMPRESSOR</v>
          </cell>
          <cell r="G1069" t="str">
            <v>(E05)</v>
          </cell>
          <cell r="L1069" t="str">
            <v>E.</v>
          </cell>
          <cell r="N1069" t="str">
            <v>OVERHEAD &amp; PROFIT</v>
          </cell>
          <cell r="P1069">
            <v>10</v>
          </cell>
          <cell r="Q1069" t="str">
            <v>%  x  D</v>
          </cell>
          <cell r="U1069">
            <v>285.61542294010314</v>
          </cell>
        </row>
        <row r="1070">
          <cell r="C1070" t="str">
            <v xml:space="preserve">Kapasitas alat   -----&gt;&gt;   diambil </v>
          </cell>
          <cell r="G1070" t="str">
            <v>V</v>
          </cell>
          <cell r="H1070">
            <v>600</v>
          </cell>
          <cell r="I1070" t="str">
            <v>M2 / Jam</v>
          </cell>
          <cell r="L1070" t="str">
            <v>F.</v>
          </cell>
          <cell r="N1070" t="str">
            <v>HARGA SATUAN PEKERJAAN  ( D + E )</v>
          </cell>
          <cell r="U1070">
            <v>3141.7696523411346</v>
          </cell>
        </row>
        <row r="1071">
          <cell r="C1071" t="str">
            <v>Aplikasi Lapis Resap Pengikat rata-rata (Spesifikasi)</v>
          </cell>
          <cell r="G1071" t="str">
            <v>Ap</v>
          </cell>
          <cell r="H1071">
            <v>0.8</v>
          </cell>
          <cell r="I1071" t="str">
            <v>liter / M2</v>
          </cell>
          <cell r="L1071" t="str">
            <v>Note: 1</v>
          </cell>
          <cell r="N1071" t="str">
            <v>SATUAN dapat berdasarkan atas jam operasi untuk Tenaga Kerja dan Peralatan, volume dan/atau ukuran</v>
          </cell>
        </row>
        <row r="1072">
          <cell r="N1072" t="str">
            <v>berat untuk bahan-bahan.</v>
          </cell>
        </row>
        <row r="1073">
          <cell r="C1073" t="str">
            <v>Kap. Prod. / jam =</v>
          </cell>
          <cell r="D1073" t="str">
            <v>( V x Ap )</v>
          </cell>
          <cell r="G1073" t="str">
            <v>Q2</v>
          </cell>
          <cell r="H1073">
            <v>480</v>
          </cell>
          <cell r="I1073" t="str">
            <v>liter</v>
          </cell>
          <cell r="L1073">
            <v>2</v>
          </cell>
          <cell r="N1073" t="str">
            <v>Kuantitas satuan adalah kuantitas setiap komponen untuk menyelesaikan satu satuan pekerjaan dari nomor</v>
          </cell>
        </row>
        <row r="1074">
          <cell r="N1074" t="str">
            <v>mata pembayaran.</v>
          </cell>
        </row>
        <row r="1075">
          <cell r="C1075" t="str">
            <v>Koefisien Alat / Ltr</v>
          </cell>
          <cell r="D1075" t="str">
            <v xml:space="preserve"> =  1  :  Q2</v>
          </cell>
          <cell r="G1075" t="str">
            <v>(E05)</v>
          </cell>
          <cell r="H1075">
            <v>2.0833333333333333E-3</v>
          </cell>
          <cell r="I1075" t="str">
            <v>Jam</v>
          </cell>
          <cell r="L1075">
            <v>3</v>
          </cell>
          <cell r="N1075" t="str">
            <v>Biaya satuan untuk peralatan sudah termasuk bahan bakar, bahan habis dipakai dan operator.</v>
          </cell>
        </row>
        <row r="1076">
          <cell r="L1076">
            <v>4</v>
          </cell>
          <cell r="N1076" t="str">
            <v>Biaya satuan sudah termasuk pengeluaran untuk seluruh pajak yang berkaitan (tetapi tidak termasuk PPN</v>
          </cell>
        </row>
        <row r="1077">
          <cell r="J1077" t="str">
            <v>Berlanjut ke halaman berikut</v>
          </cell>
          <cell r="N1077" t="str">
            <v>yang dibayar dari kontrak) dan biaya-biaya lainnya.</v>
          </cell>
        </row>
        <row r="1078">
          <cell r="A1078" t="str">
            <v>ITEM PEMBAYARAN NO.</v>
          </cell>
          <cell r="D1078" t="str">
            <v>:  4.2 (7)</v>
          </cell>
          <cell r="J1078" t="str">
            <v>Analisa EI-427</v>
          </cell>
        </row>
        <row r="1079">
          <cell r="A1079" t="str">
            <v>JENIS PEKERJAAN</v>
          </cell>
          <cell r="D1079" t="str">
            <v>:  Lapis Resap Pengikat</v>
          </cell>
        </row>
        <row r="1080">
          <cell r="A1080" t="str">
            <v>SATUAN PEMBAYARAN</v>
          </cell>
          <cell r="D1080" t="str">
            <v>:  LITER</v>
          </cell>
          <cell r="J1080" t="str">
            <v xml:space="preserve">         URAIAN ANALISA HARGA SATUAN</v>
          </cell>
        </row>
        <row r="1081">
          <cell r="J1081" t="str">
            <v>Lanjutan</v>
          </cell>
        </row>
        <row r="1083">
          <cell r="A1083" t="str">
            <v>No.</v>
          </cell>
          <cell r="C1083" t="str">
            <v>U R A I A N</v>
          </cell>
          <cell r="G1083" t="str">
            <v>KODE</v>
          </cell>
          <cell r="H1083" t="str">
            <v>KOEF.</v>
          </cell>
          <cell r="I1083" t="str">
            <v>SATUAN</v>
          </cell>
          <cell r="J1083" t="str">
            <v>KETERANGAN</v>
          </cell>
        </row>
        <row r="1086">
          <cell r="A1086" t="str">
            <v xml:space="preserve">   2.c.</v>
          </cell>
          <cell r="C1086" t="str">
            <v>DUMP TRUCK</v>
          </cell>
          <cell r="G1086" t="str">
            <v>(E08)</v>
          </cell>
        </row>
        <row r="1087">
          <cell r="C1087" t="str">
            <v>Sebagai alat pengangkut bahan di lokasi pekerjaan,</v>
          </cell>
        </row>
        <row r="1088">
          <cell r="C1088" t="str">
            <v>Dump Truck melayani alat Asphalt Sprayer.</v>
          </cell>
        </row>
        <row r="1089">
          <cell r="C1089" t="str">
            <v>Kap. Prod. / jam =</v>
          </cell>
          <cell r="D1089" t="str">
            <v>sama dengan Asphalt Sprayer</v>
          </cell>
          <cell r="G1089" t="str">
            <v>Q3</v>
          </cell>
          <cell r="H1089">
            <v>352.75</v>
          </cell>
          <cell r="I1089" t="str">
            <v>liter</v>
          </cell>
        </row>
        <row r="1091">
          <cell r="C1091" t="str">
            <v>Koefisien Alat / Ltr</v>
          </cell>
          <cell r="D1091" t="str">
            <v xml:space="preserve"> =  1  :  Q3</v>
          </cell>
          <cell r="G1091" t="str">
            <v>(E08)</v>
          </cell>
          <cell r="H1091">
            <v>2.8348688873139618E-3</v>
          </cell>
          <cell r="I1091" t="str">
            <v>Jam</v>
          </cell>
        </row>
        <row r="1093">
          <cell r="A1093" t="str">
            <v xml:space="preserve">   3.</v>
          </cell>
          <cell r="C1093" t="str">
            <v>TENAGA</v>
          </cell>
        </row>
        <row r="1094">
          <cell r="C1094" t="str">
            <v>Produksi menentukan : ASPHALT SPRAYER</v>
          </cell>
          <cell r="G1094" t="str">
            <v>Q4</v>
          </cell>
          <cell r="H1094">
            <v>352.75</v>
          </cell>
          <cell r="I1094" t="str">
            <v>liter</v>
          </cell>
        </row>
        <row r="1095">
          <cell r="C1095" t="str">
            <v>Produksi Lapis Resap Pengikat / hari  =  Tk x Q4</v>
          </cell>
          <cell r="G1095" t="str">
            <v>Qt</v>
          </cell>
          <cell r="H1095">
            <v>2469.25</v>
          </cell>
          <cell r="I1095" t="str">
            <v>liter</v>
          </cell>
        </row>
        <row r="1096">
          <cell r="C1096" t="str">
            <v>Kebutuhan tenaga :</v>
          </cell>
        </row>
        <row r="1097">
          <cell r="D1097" t="str">
            <v>- Pekerja</v>
          </cell>
          <cell r="G1097" t="str">
            <v>P</v>
          </cell>
          <cell r="H1097">
            <v>10</v>
          </cell>
          <cell r="I1097" t="str">
            <v>orang</v>
          </cell>
        </row>
        <row r="1098">
          <cell r="D1098" t="str">
            <v>- Mandor</v>
          </cell>
          <cell r="G1098" t="str">
            <v>M</v>
          </cell>
          <cell r="H1098">
            <v>2</v>
          </cell>
          <cell r="I1098" t="str">
            <v>orang</v>
          </cell>
        </row>
        <row r="1100">
          <cell r="C1100" t="str">
            <v>Koefisien tenaga / liter   :</v>
          </cell>
        </row>
        <row r="1101">
          <cell r="D1101" t="str">
            <v>- Pekerja</v>
          </cell>
          <cell r="E1101" t="str">
            <v>= (Tk x P) : Qt</v>
          </cell>
          <cell r="G1101" t="str">
            <v>(L01)</v>
          </cell>
          <cell r="H1101">
            <v>2.8348688873139617E-2</v>
          </cell>
          <cell r="I1101" t="str">
            <v>Jam</v>
          </cell>
        </row>
        <row r="1102">
          <cell r="D1102" t="str">
            <v>- Mandor</v>
          </cell>
          <cell r="E1102" t="str">
            <v>= (Tk x M) : Qt</v>
          </cell>
          <cell r="G1102" t="str">
            <v>(L03)</v>
          </cell>
          <cell r="H1102">
            <v>5.6697377746279237E-3</v>
          </cell>
          <cell r="I1102" t="str">
            <v>Jam</v>
          </cell>
        </row>
        <row r="1104">
          <cell r="A1104" t="str">
            <v>4.</v>
          </cell>
          <cell r="C1104" t="str">
            <v>HARGA DASAR SATUAN UPAH, BAHAN DAN ALAT</v>
          </cell>
        </row>
        <row r="1105">
          <cell r="C1105" t="str">
            <v>Lihat lampiran.</v>
          </cell>
        </row>
        <row r="1107">
          <cell r="A1107" t="str">
            <v>5.</v>
          </cell>
          <cell r="C1107" t="str">
            <v>ANALISA HARGA SATUAN PEKERJAAN</v>
          </cell>
        </row>
        <row r="1108">
          <cell r="C1108" t="str">
            <v>Lihat perhitungan dalam FORMULIR STANDAR UNTUK</v>
          </cell>
        </row>
        <row r="1109">
          <cell r="C1109" t="str">
            <v>PEREKEMAN ANALISA MASING-MASING HARGA</v>
          </cell>
        </row>
        <row r="1110">
          <cell r="C1110" t="str">
            <v>SATUAN.</v>
          </cell>
        </row>
        <row r="1111">
          <cell r="C1111" t="str">
            <v>Didapat Harga Satuan Pekerjaan :</v>
          </cell>
        </row>
        <row r="1113">
          <cell r="C1113" t="str">
            <v xml:space="preserve">Rp.  </v>
          </cell>
          <cell r="D1113">
            <v>3141.7696523411346</v>
          </cell>
          <cell r="E1113" t="str">
            <v xml:space="preserve"> / liter.</v>
          </cell>
        </row>
        <row r="1116">
          <cell r="A1116" t="str">
            <v>6.</v>
          </cell>
          <cell r="C1116" t="str">
            <v>WAKTU PELAKSANAAN YANG DIPERLUKAN</v>
          </cell>
        </row>
        <row r="1117">
          <cell r="C1117" t="str">
            <v>Waktu pelaksanaan</v>
          </cell>
          <cell r="D1117" t="str">
            <v>:  . . . . . . .  bulan</v>
          </cell>
        </row>
        <row r="1119">
          <cell r="A1119" t="str">
            <v>7.</v>
          </cell>
          <cell r="C1119" t="str">
            <v>VOLUME PEKERJAAN YANG DIPERLUKAN</v>
          </cell>
        </row>
        <row r="1120">
          <cell r="C1120" t="str">
            <v>Volume pekerjaan  :</v>
          </cell>
          <cell r="D1120">
            <v>1</v>
          </cell>
          <cell r="E1120" t="str">
            <v>Liter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-DIV5"/>
    </sheetNames>
    <sheetDataSet>
      <sheetData sheetId="0">
        <row r="1">
          <cell r="A1" t="str">
            <v>ITEM PEMBAYARAN NO.</v>
          </cell>
          <cell r="D1" t="str">
            <v>:  5.1 (1)</v>
          </cell>
          <cell r="J1" t="str">
            <v>Analisa EI-511</v>
          </cell>
          <cell r="T1" t="str">
            <v>Analisa EI-511</v>
          </cell>
        </row>
        <row r="2">
          <cell r="A2" t="str">
            <v>JENIS PEKERJAAN</v>
          </cell>
          <cell r="D2" t="str">
            <v>:  Lps. Pond. Ag. Kls. A, CBR Min 80%</v>
          </cell>
        </row>
        <row r="3">
          <cell r="A3" t="str">
            <v>SATUAN PEMBAYARAN</v>
          </cell>
          <cell r="D3" t="str">
            <v>:  M3</v>
          </cell>
          <cell r="H3" t="str">
            <v xml:space="preserve">         URAIAN ANALISA HARGA SATUAN</v>
          </cell>
          <cell r="L3" t="str">
            <v>FORMULIR STANDAR UNTUK</v>
          </cell>
        </row>
        <row r="4">
          <cell r="L4" t="str">
            <v>PEREKAMAN ANALISA MASING-MASING HARGA SATUAN</v>
          </cell>
        </row>
        <row r="5">
          <cell r="L5" t="str">
            <v/>
          </cell>
        </row>
        <row r="6">
          <cell r="A6" t="str">
            <v>No.</v>
          </cell>
          <cell r="C6" t="str">
            <v>U R A I A N</v>
          </cell>
          <cell r="G6" t="str">
            <v>KODE</v>
          </cell>
          <cell r="H6" t="str">
            <v>KOEF.</v>
          </cell>
          <cell r="I6" t="str">
            <v>SATUAN</v>
          </cell>
          <cell r="J6" t="str">
            <v>KETERANGAN</v>
          </cell>
        </row>
        <row r="8">
          <cell r="L8" t="str">
            <v>PROYEK</v>
          </cell>
          <cell r="O8" t="str">
            <v xml:space="preserve">:  </v>
          </cell>
        </row>
        <row r="9">
          <cell r="A9" t="str">
            <v>I.</v>
          </cell>
          <cell r="C9" t="str">
            <v>ASUMSI</v>
          </cell>
          <cell r="L9" t="str">
            <v>No. PAKET KONTRAK</v>
          </cell>
          <cell r="O9" t="str">
            <v xml:space="preserve">:  </v>
          </cell>
        </row>
        <row r="10">
          <cell r="A10">
            <v>1</v>
          </cell>
          <cell r="C10" t="str">
            <v>Menggunakan alat berat (cara mekanik)</v>
          </cell>
          <cell r="L10" t="str">
            <v>NAMA PAKET</v>
          </cell>
          <cell r="O10" t="str">
            <v xml:space="preserve">:  </v>
          </cell>
        </row>
        <row r="11">
          <cell r="A11">
            <v>2</v>
          </cell>
          <cell r="C11" t="str">
            <v>Lokasi pekerjaan : sepanjang jalan</v>
          </cell>
          <cell r="L11" t="str">
            <v>PROP / KAB / KODYA</v>
          </cell>
          <cell r="O11" t="str">
            <v xml:space="preserve">:  </v>
          </cell>
        </row>
        <row r="12">
          <cell r="A12">
            <v>3</v>
          </cell>
          <cell r="C12" t="str">
            <v>Kondisi existing jalan : sedang</v>
          </cell>
          <cell r="L12" t="str">
            <v>ITEM PEMBAYARAN NO.</v>
          </cell>
          <cell r="O12" t="str">
            <v>:  5.1 (1)</v>
          </cell>
          <cell r="R12" t="str">
            <v>PERKIRAAN VOL. PEK.</v>
          </cell>
          <cell r="T12" t="str">
            <v>:</v>
          </cell>
          <cell r="U12">
            <v>1</v>
          </cell>
        </row>
        <row r="13">
          <cell r="A13">
            <v>4</v>
          </cell>
          <cell r="C13" t="str">
            <v>Jarak rata-rata Base Camp ke lokasi pekerjaan</v>
          </cell>
          <cell r="G13" t="str">
            <v>L</v>
          </cell>
          <cell r="H13">
            <v>8.7249999999999996</v>
          </cell>
          <cell r="I13" t="str">
            <v>KM</v>
          </cell>
          <cell r="L13" t="str">
            <v>JENIS PEKERJAAN</v>
          </cell>
          <cell r="O13" t="str">
            <v>:  Lps. Pond. Ag. Kls. A, CBR Min 80%</v>
          </cell>
          <cell r="R13" t="str">
            <v>TOTAL HARGA</v>
          </cell>
          <cell r="T13" t="str">
            <v>:</v>
          </cell>
          <cell r="U13">
            <v>304732.36582799954</v>
          </cell>
        </row>
        <row r="14">
          <cell r="A14">
            <v>5</v>
          </cell>
          <cell r="C14" t="str">
            <v>Tebal lapis agregat padat</v>
          </cell>
          <cell r="G14" t="str">
            <v>t</v>
          </cell>
          <cell r="H14">
            <v>0.15</v>
          </cell>
          <cell r="I14" t="str">
            <v>M</v>
          </cell>
          <cell r="L14" t="str">
            <v>SATUAN PEMBAYARAN</v>
          </cell>
          <cell r="O14" t="str">
            <v>:  M3</v>
          </cell>
          <cell r="R14" t="str">
            <v>% THD. BIAYA PROYEK</v>
          </cell>
          <cell r="T14" t="str">
            <v>:</v>
          </cell>
          <cell r="U14">
            <v>7.251312267724303E-3</v>
          </cell>
        </row>
        <row r="15">
          <cell r="A15">
            <v>6</v>
          </cell>
          <cell r="C15" t="str">
            <v>Faktor kembang material (Padat-Lepas)</v>
          </cell>
          <cell r="G15" t="str">
            <v>Fk</v>
          </cell>
          <cell r="H15">
            <v>1.2</v>
          </cell>
          <cell r="I15" t="str">
            <v>-</v>
          </cell>
        </row>
        <row r="16">
          <cell r="A16">
            <v>7</v>
          </cell>
          <cell r="C16" t="str">
            <v>Jam kerja efektif per-hari</v>
          </cell>
          <cell r="G16" t="str">
            <v>Tk</v>
          </cell>
          <cell r="H16">
            <v>7</v>
          </cell>
          <cell r="I16" t="str">
            <v>jam</v>
          </cell>
        </row>
        <row r="17">
          <cell r="A17">
            <v>8</v>
          </cell>
          <cell r="C17" t="str">
            <v>Proporsi Campuran :</v>
          </cell>
          <cell r="D17" t="str">
            <v>- Agregat Kasar</v>
          </cell>
          <cell r="G17" t="str">
            <v>Ak</v>
          </cell>
          <cell r="H17">
            <v>55</v>
          </cell>
          <cell r="I17" t="str">
            <v>%</v>
          </cell>
          <cell r="J17" t="str">
            <v xml:space="preserve"> Gradasi harus</v>
          </cell>
          <cell r="Q17" t="str">
            <v>PERKIRAAN</v>
          </cell>
          <cell r="R17" t="str">
            <v>HARGA</v>
          </cell>
          <cell r="S17" t="str">
            <v>JUMLAH</v>
          </cell>
        </row>
        <row r="18">
          <cell r="D18" t="str">
            <v>- Agregat Halus</v>
          </cell>
          <cell r="G18" t="str">
            <v>Ah</v>
          </cell>
          <cell r="H18">
            <v>45</v>
          </cell>
          <cell r="I18" t="str">
            <v>%</v>
          </cell>
          <cell r="J18" t="str">
            <v xml:space="preserve"> memenuhi Spec.</v>
          </cell>
          <cell r="L18" t="str">
            <v>NO.</v>
          </cell>
          <cell r="N18" t="str">
            <v>KOMPONEN</v>
          </cell>
          <cell r="P18" t="str">
            <v>SATUAN</v>
          </cell>
          <cell r="Q18" t="str">
            <v>KUANTITAS</v>
          </cell>
          <cell r="R18" t="str">
            <v>SATUAN</v>
          </cell>
          <cell r="S18" t="str">
            <v>HARGA</v>
          </cell>
        </row>
        <row r="19">
          <cell r="A19" t="str">
            <v>II.</v>
          </cell>
          <cell r="C19" t="str">
            <v>URUTAN KERJA</v>
          </cell>
          <cell r="R19" t="str">
            <v>(Rp.)</v>
          </cell>
          <cell r="S19" t="str">
            <v>(Rp.)</v>
          </cell>
        </row>
        <row r="20">
          <cell r="A20">
            <v>1</v>
          </cell>
          <cell r="C20" t="str">
            <v>Wheel Loader mencampur dan memuat Agregat ke</v>
          </cell>
        </row>
        <row r="21">
          <cell r="C21" t="str">
            <v>dalam Dump Truck di Base Camp</v>
          </cell>
        </row>
        <row r="22">
          <cell r="A22">
            <v>2</v>
          </cell>
          <cell r="C22" t="str">
            <v>Dump Truck mengangkut Agregat ke lokasi</v>
          </cell>
          <cell r="L22" t="str">
            <v>A.</v>
          </cell>
          <cell r="N22" t="str">
            <v>TENAGA</v>
          </cell>
        </row>
        <row r="23">
          <cell r="C23" t="str">
            <v>pekerjaan dan dihampar dengan Motor Grader</v>
          </cell>
        </row>
        <row r="24">
          <cell r="A24">
            <v>3</v>
          </cell>
          <cell r="C24" t="str">
            <v>Hamparan Agregat dibasahi dengan Water Tank</v>
          </cell>
          <cell r="L24" t="str">
            <v>1.</v>
          </cell>
          <cell r="N24" t="str">
            <v>Pekerja</v>
          </cell>
          <cell r="O24" t="str">
            <v>(L01)</v>
          </cell>
          <cell r="P24" t="str">
            <v>jam</v>
          </cell>
          <cell r="Q24">
            <v>0.24988844265952695</v>
          </cell>
          <cell r="R24">
            <v>2857.14</v>
          </cell>
          <cell r="U24">
            <v>713.96626506024074</v>
          </cell>
        </row>
        <row r="25">
          <cell r="C25" t="str">
            <v>Truck sebelum dipadatkan dengan Tandem</v>
          </cell>
          <cell r="L25" t="str">
            <v>2.</v>
          </cell>
          <cell r="N25" t="str">
            <v>Mandor</v>
          </cell>
          <cell r="O25" t="str">
            <v>(L03)</v>
          </cell>
          <cell r="P25" t="str">
            <v>jam</v>
          </cell>
          <cell r="Q25">
            <v>3.5698348951360995E-2</v>
          </cell>
          <cell r="R25">
            <v>3214.29</v>
          </cell>
          <cell r="U25">
            <v>114.74484605087014</v>
          </cell>
        </row>
        <row r="26">
          <cell r="C26" t="str">
            <v>Roller dan Pneumatic Tire Roller</v>
          </cell>
        </row>
        <row r="27">
          <cell r="A27">
            <v>4</v>
          </cell>
          <cell r="C27" t="str">
            <v>Selama pemadatan, sekelompok pekerja akan</v>
          </cell>
        </row>
        <row r="28">
          <cell r="C28" t="str">
            <v>merapikan tepi hamparan dan level permukaan</v>
          </cell>
          <cell r="Q28" t="str">
            <v xml:space="preserve">JUMLAH HARGA TENAGA   </v>
          </cell>
          <cell r="U28">
            <v>828.71111111111088</v>
          </cell>
        </row>
        <row r="29">
          <cell r="C29" t="str">
            <v>dengan menggunakan Alat Bantu</v>
          </cell>
        </row>
        <row r="30">
          <cell r="A30" t="str">
            <v>III.</v>
          </cell>
          <cell r="C30" t="str">
            <v>PEMAKAIAN BAHAN, ALAT DAN TENAGA</v>
          </cell>
          <cell r="L30" t="str">
            <v>B.</v>
          </cell>
          <cell r="N30" t="str">
            <v>BAHAN</v>
          </cell>
        </row>
        <row r="32">
          <cell r="A32" t="str">
            <v xml:space="preserve">   1.</v>
          </cell>
          <cell r="C32" t="str">
            <v>BAHAN</v>
          </cell>
          <cell r="L32" t="str">
            <v>1.</v>
          </cell>
          <cell r="N32" t="str">
            <v>Agregat Kasar   (M03)</v>
          </cell>
          <cell r="P32" t="str">
            <v>M3</v>
          </cell>
          <cell r="Q32">
            <v>0.66</v>
          </cell>
          <cell r="R32">
            <v>222345.54558042376</v>
          </cell>
          <cell r="U32">
            <v>146748.06008307968</v>
          </cell>
        </row>
        <row r="33">
          <cell r="C33" t="str">
            <v>- Agregat Kasar</v>
          </cell>
          <cell r="D33" t="str">
            <v>=  Ak x 1 M3 x Fk</v>
          </cell>
          <cell r="G33" t="str">
            <v>M03</v>
          </cell>
          <cell r="H33">
            <v>0.66</v>
          </cell>
          <cell r="I33" t="str">
            <v>M3</v>
          </cell>
          <cell r="L33" t="str">
            <v>2.</v>
          </cell>
          <cell r="N33" t="str">
            <v>Agregat Halus    (M04)</v>
          </cell>
          <cell r="P33" t="str">
            <v>M3</v>
          </cell>
          <cell r="Q33">
            <v>0.54</v>
          </cell>
          <cell r="R33">
            <v>194196.70775416915</v>
          </cell>
          <cell r="U33">
            <v>104866.22218725135</v>
          </cell>
        </row>
        <row r="34">
          <cell r="C34" t="str">
            <v>- Agregat Halus</v>
          </cell>
          <cell r="D34" t="str">
            <v>=  Ah x 1 M3 x Fk</v>
          </cell>
          <cell r="G34" t="str">
            <v>M04</v>
          </cell>
          <cell r="H34">
            <v>0.54</v>
          </cell>
          <cell r="I34" t="str">
            <v>M3</v>
          </cell>
        </row>
        <row r="36">
          <cell r="A36" t="str">
            <v xml:space="preserve">   2.</v>
          </cell>
          <cell r="C36" t="str">
            <v>ALAT</v>
          </cell>
        </row>
        <row r="37">
          <cell r="A37" t="str">
            <v xml:space="preserve">   2.a.</v>
          </cell>
          <cell r="C37" t="str">
            <v>WHEEL LOADER</v>
          </cell>
          <cell r="G37" t="str">
            <v>(E15)</v>
          </cell>
        </row>
        <row r="38">
          <cell r="C38" t="str">
            <v>Kapasitas bucket</v>
          </cell>
          <cell r="G38" t="str">
            <v>V</v>
          </cell>
          <cell r="H38">
            <v>1.5</v>
          </cell>
          <cell r="I38" t="str">
            <v>M3</v>
          </cell>
          <cell r="Q38" t="str">
            <v xml:space="preserve">JUMLAH HARGA BAHAN   </v>
          </cell>
          <cell r="U38">
            <v>251614.28227033102</v>
          </cell>
        </row>
        <row r="39">
          <cell r="C39" t="str">
            <v>Faktor bucket</v>
          </cell>
          <cell r="G39" t="str">
            <v>Fb</v>
          </cell>
          <cell r="H39">
            <v>0.9</v>
          </cell>
          <cell r="I39" t="str">
            <v>-</v>
          </cell>
        </row>
        <row r="40">
          <cell r="C40" t="str">
            <v>Faktor Efisiensi alat</v>
          </cell>
          <cell r="G40" t="str">
            <v>Fa</v>
          </cell>
          <cell r="H40">
            <v>0.83</v>
          </cell>
          <cell r="I40" t="str">
            <v>-</v>
          </cell>
          <cell r="L40" t="str">
            <v>C.</v>
          </cell>
          <cell r="N40" t="str">
            <v>PERALATAN</v>
          </cell>
        </row>
        <row r="41">
          <cell r="C41" t="str">
            <v>Waktu Siklus :</v>
          </cell>
          <cell r="G41" t="str">
            <v>Ts1</v>
          </cell>
          <cell r="L41" t="str">
            <v>1.</v>
          </cell>
          <cell r="N41" t="str">
            <v>Wheel Loader</v>
          </cell>
          <cell r="O41" t="str">
            <v>(E15)</v>
          </cell>
          <cell r="P41" t="str">
            <v>jam</v>
          </cell>
          <cell r="Q41">
            <v>3.5698348951360995E-2</v>
          </cell>
          <cell r="R41">
            <v>163808.13869490434</v>
          </cell>
          <cell r="U41">
            <v>5847.680096203635</v>
          </cell>
        </row>
        <row r="42">
          <cell r="C42" t="str">
            <v>- Mencampur</v>
          </cell>
          <cell r="G42" t="str">
            <v>T1</v>
          </cell>
          <cell r="H42">
            <v>1.5</v>
          </cell>
          <cell r="I42" t="str">
            <v>menit</v>
          </cell>
          <cell r="L42" t="str">
            <v>2.</v>
          </cell>
          <cell r="N42" t="str">
            <v>Dump Truck</v>
          </cell>
          <cell r="O42" t="str">
            <v>(E09)</v>
          </cell>
          <cell r="P42" t="str">
            <v>jam</v>
          </cell>
          <cell r="Q42">
            <v>0.14542063837680036</v>
          </cell>
          <cell r="R42">
            <v>70230.073977639215</v>
          </cell>
          <cell r="U42">
            <v>10212.90219107821</v>
          </cell>
        </row>
        <row r="43">
          <cell r="C43" t="str">
            <v>- Memuat dan lain-lain</v>
          </cell>
          <cell r="G43" t="str">
            <v>T2</v>
          </cell>
          <cell r="H43">
            <v>0.5</v>
          </cell>
          <cell r="I43" t="str">
            <v>menit</v>
          </cell>
          <cell r="L43" t="str">
            <v>3.</v>
          </cell>
          <cell r="N43" t="str">
            <v>Motor Grader</v>
          </cell>
          <cell r="O43" t="str">
            <v>(E13)</v>
          </cell>
          <cell r="P43" t="str">
            <v>jam</v>
          </cell>
          <cell r="Q43">
            <v>1.1713520749665328E-2</v>
          </cell>
          <cell r="R43">
            <v>201666.62574070093</v>
          </cell>
          <cell r="U43">
            <v>2362.2262051286921</v>
          </cell>
        </row>
        <row r="44">
          <cell r="G44" t="str">
            <v>Ts1</v>
          </cell>
          <cell r="H44">
            <v>2</v>
          </cell>
          <cell r="I44" t="str">
            <v>menit</v>
          </cell>
          <cell r="L44" t="str">
            <v>4.</v>
          </cell>
          <cell r="N44" t="str">
            <v>Vibratory Roller</v>
          </cell>
          <cell r="O44" t="str">
            <v>(E19)</v>
          </cell>
          <cell r="P44" t="str">
            <v>jam</v>
          </cell>
          <cell r="Q44">
            <v>1.7849174475680501E-2</v>
          </cell>
          <cell r="R44">
            <v>234734.82748629327</v>
          </cell>
          <cell r="U44">
            <v>4189.8228913216117</v>
          </cell>
        </row>
        <row r="45">
          <cell r="L45" t="str">
            <v>5.</v>
          </cell>
          <cell r="N45" t="str">
            <v>P. Tyre Roller</v>
          </cell>
          <cell r="O45" t="str">
            <v>(E18)</v>
          </cell>
          <cell r="P45" t="str">
            <v>jam</v>
          </cell>
          <cell r="Q45">
            <v>4.2838018741633201E-3</v>
          </cell>
          <cell r="R45">
            <v>113384.24751021285</v>
          </cell>
          <cell r="U45">
            <v>485.71565198484757</v>
          </cell>
        </row>
        <row r="46">
          <cell r="C46" t="str">
            <v>Kap. Prod. / jam =</v>
          </cell>
          <cell r="D46" t="str">
            <v>V x Fb x Fa x 60</v>
          </cell>
          <cell r="G46" t="str">
            <v>Q1</v>
          </cell>
          <cell r="H46">
            <v>28.012500000000003</v>
          </cell>
          <cell r="I46" t="str">
            <v>M3</v>
          </cell>
          <cell r="L46" t="str">
            <v>6.</v>
          </cell>
          <cell r="N46" t="str">
            <v>Water Tanker</v>
          </cell>
          <cell r="O46" t="str">
            <v>(E23)</v>
          </cell>
          <cell r="P46" t="str">
            <v>jam</v>
          </cell>
          <cell r="Q46">
            <v>2.1084337349397592E-2</v>
          </cell>
          <cell r="R46">
            <v>67020.510980434308</v>
          </cell>
          <cell r="U46">
            <v>1413.0830628404826</v>
          </cell>
        </row>
        <row r="47">
          <cell r="D47" t="str">
            <v>Fk x Ts1</v>
          </cell>
          <cell r="L47" t="str">
            <v>7.</v>
          </cell>
          <cell r="N47" t="str">
            <v>Alat Bantu</v>
          </cell>
          <cell r="P47" t="str">
            <v>Ls</v>
          </cell>
          <cell r="Q47">
            <v>1</v>
          </cell>
          <cell r="R47">
            <v>75</v>
          </cell>
          <cell r="U47">
            <v>75</v>
          </cell>
        </row>
        <row r="48">
          <cell r="C48" t="str">
            <v>Koefisien Alat / M3</v>
          </cell>
          <cell r="D48" t="str">
            <v xml:space="preserve"> =  1  :  Q1</v>
          </cell>
          <cell r="G48" t="str">
            <v>(E15)</v>
          </cell>
          <cell r="H48">
            <v>3.5698348951360995E-2</v>
          </cell>
          <cell r="I48" t="str">
            <v>jam</v>
          </cell>
        </row>
        <row r="49">
          <cell r="Q49" t="str">
            <v xml:space="preserve">JUMLAH HARGA PERALATAN   </v>
          </cell>
          <cell r="U49">
            <v>24586.430098557481</v>
          </cell>
        </row>
        <row r="50">
          <cell r="A50" t="str">
            <v xml:space="preserve">   2.b.</v>
          </cell>
          <cell r="C50" t="str">
            <v>DUMP TRUCK</v>
          </cell>
          <cell r="G50" t="str">
            <v>(E09)</v>
          </cell>
        </row>
        <row r="51">
          <cell r="C51" t="str">
            <v>Kapasitas bak</v>
          </cell>
          <cell r="G51" t="str">
            <v>V</v>
          </cell>
          <cell r="H51">
            <v>6</v>
          </cell>
          <cell r="I51" t="str">
            <v>M3</v>
          </cell>
          <cell r="L51" t="str">
            <v>D.</v>
          </cell>
          <cell r="N51" t="str">
            <v>JUMLAH HARGA TENAGA, BAHAN DAN PERALATAN  ( A + B + C )</v>
          </cell>
          <cell r="U51">
            <v>277029.42347999959</v>
          </cell>
        </row>
        <row r="52">
          <cell r="C52" t="str">
            <v>Faktor Efisiensi alat</v>
          </cell>
          <cell r="G52" t="str">
            <v>Fa</v>
          </cell>
          <cell r="H52">
            <v>0.83</v>
          </cell>
          <cell r="I52" t="str">
            <v>-</v>
          </cell>
          <cell r="L52" t="str">
            <v>E.</v>
          </cell>
          <cell r="N52" t="str">
            <v>OVERHEAD &amp; PROFIT</v>
          </cell>
          <cell r="P52">
            <v>10</v>
          </cell>
          <cell r="Q52" t="str">
            <v>%  x  D</v>
          </cell>
          <cell r="U52">
            <v>27702.94234799996</v>
          </cell>
        </row>
        <row r="53">
          <cell r="C53" t="str">
            <v>Kecepatan rata-rata bermuatan</v>
          </cell>
          <cell r="G53" t="str">
            <v>v1</v>
          </cell>
          <cell r="H53">
            <v>45</v>
          </cell>
          <cell r="I53" t="str">
            <v>KM/jam</v>
          </cell>
          <cell r="L53" t="str">
            <v>F.</v>
          </cell>
          <cell r="N53" t="str">
            <v>HARGA SATUAN PEKERJAAN  ( D + E )</v>
          </cell>
          <cell r="U53">
            <v>304732.36582799954</v>
          </cell>
        </row>
        <row r="54">
          <cell r="C54" t="str">
            <v>Kecepatan rata-rata kosong</v>
          </cell>
          <cell r="G54" t="str">
            <v>v2</v>
          </cell>
          <cell r="H54">
            <v>60</v>
          </cell>
          <cell r="I54" t="str">
            <v>KM/jam</v>
          </cell>
          <cell r="L54" t="str">
            <v>Note: 1</v>
          </cell>
          <cell r="N54" t="str">
            <v>SATUAN dapat berdasarkan atas jam operasi untuk Tenaga Kerja dan Peralatan, volume dan/atau ukuran</v>
          </cell>
        </row>
        <row r="55">
          <cell r="C55" t="str">
            <v>Waktu Siklus  :  - Waktu memuat = V : Q1 x 60</v>
          </cell>
          <cell r="G55" t="str">
            <v>T1</v>
          </cell>
          <cell r="H55">
            <v>12.851405622489958</v>
          </cell>
          <cell r="I55" t="str">
            <v>menit</v>
          </cell>
          <cell r="N55" t="str">
            <v>berat untuk bahan-bahan.</v>
          </cell>
        </row>
        <row r="56">
          <cell r="C56" t="str">
            <v>- Waktu tempuh isi  =  (L : v1) x 60 menit</v>
          </cell>
          <cell r="G56" t="str">
            <v>T2</v>
          </cell>
          <cell r="H56">
            <v>11.633333333333333</v>
          </cell>
          <cell r="I56" t="str">
            <v>menit</v>
          </cell>
          <cell r="L56">
            <v>2</v>
          </cell>
          <cell r="N56" t="str">
            <v>Kuantitas satuan adalah kuantitas setiap komponen untuk menyelesaikan satu satuan pekerjaan dari nomor</v>
          </cell>
        </row>
        <row r="57">
          <cell r="C57" t="str">
            <v>- Waktu tempuh kosong  =  (L : v2) x 60 menit</v>
          </cell>
          <cell r="G57" t="str">
            <v>T3</v>
          </cell>
          <cell r="H57">
            <v>8.7249999999999996</v>
          </cell>
          <cell r="I57" t="str">
            <v>menit</v>
          </cell>
          <cell r="N57" t="str">
            <v>mata pembayaran.</v>
          </cell>
        </row>
        <row r="58">
          <cell r="C58" t="str">
            <v>- Dump dan lain-lain</v>
          </cell>
          <cell r="G58" t="str">
            <v>T4</v>
          </cell>
          <cell r="H58">
            <v>3</v>
          </cell>
          <cell r="I58" t="str">
            <v>menit</v>
          </cell>
          <cell r="L58">
            <v>3</v>
          </cell>
          <cell r="N58" t="str">
            <v>Biaya satuan untuk peralatan sudah termasuk bahan bakar, bahan habis dipakai dan operator.</v>
          </cell>
        </row>
        <row r="59">
          <cell r="G59" t="str">
            <v>Ts2</v>
          </cell>
          <cell r="H59">
            <v>36.20973895582329</v>
          </cell>
          <cell r="I59" t="str">
            <v>menit</v>
          </cell>
          <cell r="L59">
            <v>4</v>
          </cell>
          <cell r="N59" t="str">
            <v>Biaya satuan sudah termasuk pengeluaran untuk seluruh pajak yang berkaitan (tetapi tidak termasuk PPN</v>
          </cell>
        </row>
        <row r="60">
          <cell r="N60" t="str">
            <v>yang dibayar dari kontrak) dan biaya-biaya lainnya.</v>
          </cell>
        </row>
        <row r="61">
          <cell r="J61" t="str">
            <v>Berlanjut ke hal. berikut</v>
          </cell>
        </row>
        <row r="62">
          <cell r="A62" t="str">
            <v>ITEM PEMBAYARAN NO.</v>
          </cell>
          <cell r="D62" t="str">
            <v>:  5.1 (1)</v>
          </cell>
          <cell r="J62" t="str">
            <v>Analisa EI-511</v>
          </cell>
        </row>
        <row r="63">
          <cell r="A63" t="str">
            <v>JENIS PEKERJAAN</v>
          </cell>
          <cell r="D63" t="str">
            <v>:  Lps. Pond. Ag. Kls. A, CBR Min 80%</v>
          </cell>
        </row>
        <row r="64">
          <cell r="A64" t="str">
            <v>SATUAN PEMBAYARAN</v>
          </cell>
          <cell r="D64" t="str">
            <v>:  M3</v>
          </cell>
          <cell r="H64" t="str">
            <v xml:space="preserve">         URAIAN ANALISA HARGA SATUAN</v>
          </cell>
        </row>
        <row r="65">
          <cell r="J65" t="str">
            <v>Lanjutan</v>
          </cell>
        </row>
        <row r="67">
          <cell r="A67" t="str">
            <v>No.</v>
          </cell>
          <cell r="C67" t="str">
            <v>U R A I A N</v>
          </cell>
          <cell r="G67" t="str">
            <v>KODE</v>
          </cell>
          <cell r="H67" t="str">
            <v>KOEF.</v>
          </cell>
          <cell r="I67" t="str">
            <v>SATUAN</v>
          </cell>
          <cell r="J67" t="str">
            <v>KETERANGAN</v>
          </cell>
        </row>
        <row r="70">
          <cell r="C70" t="str">
            <v>Kap. Prod. / jam =</v>
          </cell>
          <cell r="D70" t="str">
            <v>V x Fa x 60</v>
          </cell>
          <cell r="G70" t="str">
            <v>Q2</v>
          </cell>
          <cell r="H70">
            <v>6.8766030129017413</v>
          </cell>
          <cell r="I70" t="str">
            <v>M3</v>
          </cell>
        </row>
        <row r="71">
          <cell r="D71" t="str">
            <v>Fk x Ts2</v>
          </cell>
        </row>
        <row r="72">
          <cell r="C72" t="str">
            <v>Koefisien Alat / M3</v>
          </cell>
          <cell r="D72" t="str">
            <v xml:space="preserve"> =  1  :  Q2</v>
          </cell>
          <cell r="G72" t="str">
            <v>(E09)</v>
          </cell>
          <cell r="H72">
            <v>0.14542063837680036</v>
          </cell>
          <cell r="I72" t="str">
            <v>jam</v>
          </cell>
        </row>
        <row r="74">
          <cell r="A74" t="str">
            <v xml:space="preserve">   2.c.</v>
          </cell>
          <cell r="C74" t="str">
            <v>MOTOR GRADER</v>
          </cell>
          <cell r="G74" t="str">
            <v>(E13)</v>
          </cell>
        </row>
        <row r="75">
          <cell r="C75" t="str">
            <v>Panjang hamparan</v>
          </cell>
          <cell r="G75" t="str">
            <v>Lh</v>
          </cell>
          <cell r="H75">
            <v>50</v>
          </cell>
          <cell r="I75" t="str">
            <v>M</v>
          </cell>
        </row>
        <row r="76">
          <cell r="C76" t="str">
            <v>Lebar efektif kerja blade</v>
          </cell>
          <cell r="G76" t="str">
            <v>b</v>
          </cell>
          <cell r="H76">
            <v>2.4</v>
          </cell>
          <cell r="I76" t="str">
            <v>M</v>
          </cell>
        </row>
        <row r="77">
          <cell r="C77" t="str">
            <v>Faktor Efisiensi alat</v>
          </cell>
          <cell r="G77" t="str">
            <v>Fa</v>
          </cell>
          <cell r="H77">
            <v>0.83</v>
          </cell>
          <cell r="I77" t="str">
            <v>-</v>
          </cell>
        </row>
        <row r="78">
          <cell r="C78" t="str">
            <v>Kecepatan rata-rata alat</v>
          </cell>
          <cell r="G78" t="str">
            <v>v</v>
          </cell>
          <cell r="H78">
            <v>4</v>
          </cell>
          <cell r="I78" t="str">
            <v>KM/jam</v>
          </cell>
        </row>
        <row r="79">
          <cell r="C79" t="str">
            <v>Jumlah lintasan</v>
          </cell>
          <cell r="G79" t="str">
            <v>n</v>
          </cell>
          <cell r="H79">
            <v>6</v>
          </cell>
          <cell r="I79" t="str">
            <v>lintasan</v>
          </cell>
          <cell r="J79" t="str">
            <v xml:space="preserve"> 3 x pp</v>
          </cell>
        </row>
        <row r="80">
          <cell r="C80" t="str">
            <v>Waktu Siklus :</v>
          </cell>
          <cell r="G80" t="str">
            <v>Ts3</v>
          </cell>
        </row>
        <row r="81">
          <cell r="C81" t="str">
            <v>- Perataan 1 lintasan  =  Lh : (v x 1000) x 60</v>
          </cell>
          <cell r="G81" t="str">
            <v>T1</v>
          </cell>
          <cell r="H81">
            <v>0.75</v>
          </cell>
          <cell r="I81" t="str">
            <v>menit</v>
          </cell>
        </row>
        <row r="82">
          <cell r="C82" t="str">
            <v>- Lain-lain</v>
          </cell>
          <cell r="G82" t="str">
            <v>T2</v>
          </cell>
          <cell r="H82">
            <v>1</v>
          </cell>
          <cell r="I82" t="str">
            <v>menit</v>
          </cell>
        </row>
        <row r="83">
          <cell r="G83" t="str">
            <v>Ts3</v>
          </cell>
          <cell r="H83">
            <v>1.75</v>
          </cell>
          <cell r="I83" t="str">
            <v>menit</v>
          </cell>
        </row>
        <row r="85">
          <cell r="C85" t="str">
            <v>Kap. Prod. / jam =</v>
          </cell>
          <cell r="D85" t="str">
            <v>Lh x b x t x Fa x 60</v>
          </cell>
          <cell r="G85" t="str">
            <v>Q3</v>
          </cell>
          <cell r="H85">
            <v>85.371428571428567</v>
          </cell>
          <cell r="I85" t="str">
            <v>M3</v>
          </cell>
        </row>
        <row r="86">
          <cell r="D86" t="str">
            <v>n x Ts3</v>
          </cell>
        </row>
        <row r="87">
          <cell r="C87" t="str">
            <v>Koefisien Alat / M3</v>
          </cell>
          <cell r="D87" t="str">
            <v xml:space="preserve"> =  1  :  Q3</v>
          </cell>
          <cell r="G87" t="str">
            <v>(E13)</v>
          </cell>
          <cell r="H87">
            <v>1.1713520749665328E-2</v>
          </cell>
          <cell r="I87" t="str">
            <v>jam</v>
          </cell>
        </row>
        <row r="89">
          <cell r="A89" t="str">
            <v xml:space="preserve">   2.d.</v>
          </cell>
          <cell r="C89" t="str">
            <v>VIBRATORY ROLLER</v>
          </cell>
          <cell r="G89" t="str">
            <v>(E19)</v>
          </cell>
        </row>
        <row r="90">
          <cell r="C90" t="str">
            <v>Kecepatan rata-rata alat</v>
          </cell>
          <cell r="G90" t="str">
            <v>v</v>
          </cell>
          <cell r="H90">
            <v>3</v>
          </cell>
          <cell r="I90" t="str">
            <v>KM/jam</v>
          </cell>
        </row>
        <row r="91">
          <cell r="C91" t="str">
            <v>Lebar efektif pemadatan</v>
          </cell>
          <cell r="G91" t="str">
            <v>b</v>
          </cell>
          <cell r="H91">
            <v>1.2</v>
          </cell>
          <cell r="I91" t="str">
            <v>M</v>
          </cell>
        </row>
        <row r="92">
          <cell r="C92" t="str">
            <v>Jumlah lintasan</v>
          </cell>
          <cell r="G92" t="str">
            <v>n</v>
          </cell>
          <cell r="H92">
            <v>8</v>
          </cell>
          <cell r="I92" t="str">
            <v>lintasan</v>
          </cell>
        </row>
        <row r="93">
          <cell r="C93" t="str">
            <v>Faktor Efisiensi alat</v>
          </cell>
          <cell r="G93" t="str">
            <v>Fa</v>
          </cell>
          <cell r="H93">
            <v>0.83</v>
          </cell>
          <cell r="I93" t="str">
            <v>-</v>
          </cell>
        </row>
        <row r="95">
          <cell r="C95" t="str">
            <v>Kap. Prod. / jam =</v>
          </cell>
          <cell r="D95" t="str">
            <v>(v x 1000) x b x t x Fa</v>
          </cell>
          <cell r="G95" t="str">
            <v>Q4</v>
          </cell>
          <cell r="H95">
            <v>56.024999999999999</v>
          </cell>
          <cell r="I95" t="str">
            <v>M3</v>
          </cell>
        </row>
        <row r="96">
          <cell r="D96" t="str">
            <v>n</v>
          </cell>
        </row>
        <row r="97">
          <cell r="C97" t="str">
            <v>Koefisien Alat / M3</v>
          </cell>
          <cell r="D97" t="str">
            <v xml:space="preserve"> =  1  :  Q4</v>
          </cell>
          <cell r="G97" t="str">
            <v>(E19)</v>
          </cell>
          <cell r="H97">
            <v>1.7849174475680501E-2</v>
          </cell>
          <cell r="I97" t="str">
            <v>jam</v>
          </cell>
        </row>
        <row r="99">
          <cell r="A99" t="str">
            <v xml:space="preserve">   2.e.</v>
          </cell>
          <cell r="C99" t="str">
            <v>PNEUMATIC TIRE ROLLER</v>
          </cell>
          <cell r="G99" t="str">
            <v>(E18)</v>
          </cell>
        </row>
        <row r="100">
          <cell r="C100" t="str">
            <v>Kecepatan rata-rata alat</v>
          </cell>
          <cell r="G100" t="str">
            <v>v</v>
          </cell>
          <cell r="H100">
            <v>5</v>
          </cell>
          <cell r="I100" t="str">
            <v>KM/jam</v>
          </cell>
        </row>
        <row r="101">
          <cell r="C101" t="str">
            <v>Lebar efektif pemadatan</v>
          </cell>
          <cell r="G101" t="str">
            <v>b</v>
          </cell>
          <cell r="H101">
            <v>1.5</v>
          </cell>
          <cell r="I101" t="str">
            <v>M</v>
          </cell>
        </row>
        <row r="102">
          <cell r="C102" t="str">
            <v>Jumlah lintasan</v>
          </cell>
          <cell r="G102" t="str">
            <v>n</v>
          </cell>
          <cell r="H102">
            <v>4</v>
          </cell>
          <cell r="I102" t="str">
            <v>lintasan</v>
          </cell>
        </row>
        <row r="103">
          <cell r="C103" t="str">
            <v>Faktor Efisiensi alat</v>
          </cell>
          <cell r="G103" t="str">
            <v>Fa</v>
          </cell>
          <cell r="H103">
            <v>0.83</v>
          </cell>
          <cell r="I103" t="str">
            <v>-</v>
          </cell>
        </row>
        <row r="105">
          <cell r="C105" t="str">
            <v>Kap. Prod. / jam =</v>
          </cell>
          <cell r="D105" t="str">
            <v>(v x 1000) x b x t x Fa</v>
          </cell>
          <cell r="G105" t="str">
            <v>Q5</v>
          </cell>
          <cell r="H105">
            <v>233.4375</v>
          </cell>
          <cell r="I105" t="str">
            <v>M3</v>
          </cell>
        </row>
        <row r="106">
          <cell r="D106" t="str">
            <v>n</v>
          </cell>
        </row>
        <row r="107">
          <cell r="C107" t="str">
            <v>Koefisien Alat / M3</v>
          </cell>
          <cell r="D107" t="str">
            <v xml:space="preserve"> =  1  :  Q5</v>
          </cell>
          <cell r="G107" t="str">
            <v>(E18)</v>
          </cell>
          <cell r="H107">
            <v>4.2838018741633201E-3</v>
          </cell>
          <cell r="I107" t="str">
            <v>jam</v>
          </cell>
        </row>
        <row r="109">
          <cell r="A109" t="str">
            <v xml:space="preserve">   2.f.</v>
          </cell>
          <cell r="C109" t="str">
            <v>WATER TANK TRUCK</v>
          </cell>
          <cell r="G109" t="str">
            <v>(E23)</v>
          </cell>
        </row>
        <row r="110">
          <cell r="C110" t="str">
            <v>Volume tanki air</v>
          </cell>
          <cell r="G110" t="str">
            <v>V</v>
          </cell>
          <cell r="H110">
            <v>4</v>
          </cell>
          <cell r="I110" t="str">
            <v>M3</v>
          </cell>
        </row>
        <row r="111">
          <cell r="C111" t="str">
            <v>Kebutuhan air / M3 agregat padat</v>
          </cell>
          <cell r="G111" t="str">
            <v>Wc</v>
          </cell>
          <cell r="H111">
            <v>7.0000000000000007E-2</v>
          </cell>
          <cell r="I111" t="str">
            <v>M3</v>
          </cell>
        </row>
        <row r="112">
          <cell r="C112" t="str">
            <v>Pengisian tanki / jam</v>
          </cell>
          <cell r="G112" t="str">
            <v>n</v>
          </cell>
          <cell r="H112">
            <v>1</v>
          </cell>
          <cell r="I112" t="str">
            <v>kali</v>
          </cell>
        </row>
        <row r="113">
          <cell r="C113" t="str">
            <v>Faktor Efisiensi alat</v>
          </cell>
          <cell r="G113" t="str">
            <v>Fa</v>
          </cell>
          <cell r="H113">
            <v>0.83</v>
          </cell>
          <cell r="I113" t="str">
            <v>-</v>
          </cell>
        </row>
        <row r="115">
          <cell r="C115" t="str">
            <v>Kap. Prod. / jam =</v>
          </cell>
          <cell r="D115" t="str">
            <v>V x n x Fa</v>
          </cell>
          <cell r="G115" t="str">
            <v>Q6</v>
          </cell>
          <cell r="H115">
            <v>47.428571428571423</v>
          </cell>
          <cell r="I115" t="str">
            <v>M3</v>
          </cell>
        </row>
        <row r="116">
          <cell r="D116" t="str">
            <v>Wc</v>
          </cell>
        </row>
        <row r="117">
          <cell r="C117" t="str">
            <v>Koefisien Alat / M3</v>
          </cell>
          <cell r="D117" t="str">
            <v xml:space="preserve"> =  1  :  Q6</v>
          </cell>
          <cell r="G117" t="str">
            <v>(E23)</v>
          </cell>
          <cell r="H117">
            <v>2.1084337349397592E-2</v>
          </cell>
          <cell r="I117" t="str">
            <v>jam</v>
          </cell>
        </row>
        <row r="120">
          <cell r="J120" t="str">
            <v>Berlanjut ke hal. berikut</v>
          </cell>
        </row>
        <row r="121">
          <cell r="A121" t="str">
            <v>ITEM PEMBAYARAN NO.</v>
          </cell>
          <cell r="D121" t="str">
            <v>:  5.1 (1)</v>
          </cell>
          <cell r="J121" t="str">
            <v>Analisa EI-511</v>
          </cell>
        </row>
        <row r="122">
          <cell r="A122" t="str">
            <v>JENIS PEKERJAAN</v>
          </cell>
          <cell r="D122" t="str">
            <v>:  Lps. Pond. Ag. Kls. A, CBR Min 80%</v>
          </cell>
        </row>
        <row r="123">
          <cell r="A123" t="str">
            <v>SATUAN PEMBAYARAN</v>
          </cell>
          <cell r="D123" t="str">
            <v>:  M3</v>
          </cell>
          <cell r="H123" t="str">
            <v xml:space="preserve">         URAIAN ANALISA HARGA SATUAN</v>
          </cell>
        </row>
        <row r="124">
          <cell r="J124" t="str">
            <v>Lanjutan</v>
          </cell>
        </row>
        <row r="126">
          <cell r="A126" t="str">
            <v>No.</v>
          </cell>
          <cell r="C126" t="str">
            <v>U R A I A N</v>
          </cell>
          <cell r="G126" t="str">
            <v>KODE</v>
          </cell>
          <cell r="H126" t="str">
            <v>KOEF.</v>
          </cell>
          <cell r="I126" t="str">
            <v>SATUAN</v>
          </cell>
          <cell r="J126" t="str">
            <v>KETERANGAN</v>
          </cell>
        </row>
        <row r="129">
          <cell r="A129" t="str">
            <v xml:space="preserve">   2.g.</v>
          </cell>
          <cell r="C129" t="str">
            <v>ALAT BANTU</v>
          </cell>
          <cell r="J129" t="str">
            <v xml:space="preserve"> Lump Sum</v>
          </cell>
        </row>
        <row r="130">
          <cell r="C130" t="str">
            <v>Diperlukan   :</v>
          </cell>
        </row>
        <row r="131">
          <cell r="C131" t="str">
            <v>- Kereta dorong</v>
          </cell>
          <cell r="D131" t="str">
            <v>=  2  buah.</v>
          </cell>
        </row>
        <row r="132">
          <cell r="C132" t="str">
            <v>- Sekop</v>
          </cell>
          <cell r="D132" t="str">
            <v>=  3  buah.</v>
          </cell>
        </row>
        <row r="133">
          <cell r="C133" t="str">
            <v>- Garpu</v>
          </cell>
          <cell r="D133" t="str">
            <v>=  2  buah.</v>
          </cell>
        </row>
        <row r="135">
          <cell r="A135" t="str">
            <v xml:space="preserve">   3.</v>
          </cell>
          <cell r="C135" t="str">
            <v>TENAGA</v>
          </cell>
        </row>
        <row r="136">
          <cell r="C136" t="str">
            <v>Produksi menentukan : WHEEL LOADER</v>
          </cell>
          <cell r="G136" t="str">
            <v>Q1</v>
          </cell>
          <cell r="H136">
            <v>28.012500000000003</v>
          </cell>
          <cell r="I136" t="str">
            <v>M3/jam</v>
          </cell>
        </row>
        <row r="137">
          <cell r="C137" t="str">
            <v>Produksi agregat / hari  =  Tk x Q1</v>
          </cell>
          <cell r="G137" t="str">
            <v>Qt</v>
          </cell>
          <cell r="H137">
            <v>196.08750000000003</v>
          </cell>
          <cell r="I137" t="str">
            <v>M3</v>
          </cell>
        </row>
        <row r="138">
          <cell r="C138" t="str">
            <v>Kebutuhan tenaga :</v>
          </cell>
        </row>
        <row r="139">
          <cell r="D139" t="str">
            <v>- Pekerja</v>
          </cell>
          <cell r="G139" t="str">
            <v>P</v>
          </cell>
          <cell r="H139">
            <v>7</v>
          </cell>
          <cell r="I139" t="str">
            <v>orang</v>
          </cell>
        </row>
        <row r="140">
          <cell r="D140" t="str">
            <v>- Mandor</v>
          </cell>
          <cell r="G140" t="str">
            <v>M</v>
          </cell>
          <cell r="H140">
            <v>1</v>
          </cell>
          <cell r="I140" t="str">
            <v>orang</v>
          </cell>
        </row>
        <row r="142">
          <cell r="C142" t="str">
            <v>Koefisien tenaga / M3   :</v>
          </cell>
        </row>
        <row r="143">
          <cell r="D143" t="str">
            <v>- Pekerja</v>
          </cell>
          <cell r="E143" t="str">
            <v>= (Tk x P) : Qt</v>
          </cell>
          <cell r="G143" t="str">
            <v>(L01)</v>
          </cell>
          <cell r="H143">
            <v>0.24988844265952695</v>
          </cell>
          <cell r="I143" t="str">
            <v>jam</v>
          </cell>
        </row>
        <row r="144">
          <cell r="D144" t="str">
            <v>- Mandor</v>
          </cell>
          <cell r="E144" t="str">
            <v>= (Tk x M) : Qt</v>
          </cell>
          <cell r="G144" t="str">
            <v>(L03)</v>
          </cell>
          <cell r="H144">
            <v>3.5698348951360995E-2</v>
          </cell>
          <cell r="I144" t="str">
            <v>jam</v>
          </cell>
        </row>
        <row r="146">
          <cell r="A146" t="str">
            <v>4.</v>
          </cell>
          <cell r="C146" t="str">
            <v>HARGA DASAR SATUAN UPAH, BAHAN DAN ALAT</v>
          </cell>
        </row>
        <row r="147">
          <cell r="C147" t="str">
            <v>Lihat lampiran.</v>
          </cell>
        </row>
        <row r="149">
          <cell r="A149" t="str">
            <v>5.</v>
          </cell>
          <cell r="C149" t="str">
            <v>ANALISA HARGA SATUAN PEKERJAAN</v>
          </cell>
        </row>
        <row r="150">
          <cell r="C150" t="str">
            <v>Lihat perhitungan dalam FORMULIR STANDAR UNTUK</v>
          </cell>
        </row>
        <row r="151">
          <cell r="C151" t="str">
            <v>PEREKAMAN ANALISA MASING-MASING HARGA</v>
          </cell>
        </row>
        <row r="152">
          <cell r="C152" t="str">
            <v>SATUAN.</v>
          </cell>
        </row>
        <row r="153">
          <cell r="C153" t="str">
            <v>Didapat Harga Satuan Pekerjaan :</v>
          </cell>
        </row>
        <row r="155">
          <cell r="C155" t="str">
            <v xml:space="preserve">Rp.  </v>
          </cell>
          <cell r="D155">
            <v>304732.36582799954</v>
          </cell>
          <cell r="E155" t="str">
            <v xml:space="preserve"> / M3.</v>
          </cell>
        </row>
        <row r="158">
          <cell r="A158" t="str">
            <v>6.</v>
          </cell>
          <cell r="C158" t="str">
            <v>WAKTU PELAKSANAAN YANG DIPERLUKAN</v>
          </cell>
        </row>
        <row r="159">
          <cell r="C159" t="str">
            <v>Masa Pelaksanaan :</v>
          </cell>
          <cell r="D159" t="str">
            <v>. . . . . . . . . . . .</v>
          </cell>
          <cell r="E159" t="str">
            <v>bulan</v>
          </cell>
        </row>
        <row r="161">
          <cell r="A161" t="str">
            <v>7.</v>
          </cell>
          <cell r="C161" t="str">
            <v>VOLUME PEKERJAAN YANG DIPERLUKAN</v>
          </cell>
        </row>
        <row r="162">
          <cell r="C162" t="str">
            <v>Volume pekerjaan  :</v>
          </cell>
          <cell r="D162">
            <v>1</v>
          </cell>
          <cell r="E162" t="str">
            <v>M3</v>
          </cell>
        </row>
        <row r="180">
          <cell r="A180" t="str">
            <v>ITEM PEMBAYARAN NO.</v>
          </cell>
          <cell r="D180" t="str">
            <v>:  5.1 (2)</v>
          </cell>
          <cell r="J180" t="str">
            <v>Analisa EI-512</v>
          </cell>
          <cell r="T180" t="str">
            <v>Analisa EI-512</v>
          </cell>
        </row>
        <row r="181">
          <cell r="A181" t="str">
            <v>JENIS PEKERJAAN</v>
          </cell>
          <cell r="D181" t="str">
            <v>:  Lps. Pond. Ag. Kls. B, CBR Min 35%</v>
          </cell>
        </row>
        <row r="182">
          <cell r="A182" t="str">
            <v>SATUAN PEMBAYARAN</v>
          </cell>
          <cell r="D182" t="str">
            <v>:  M3</v>
          </cell>
          <cell r="H182" t="str">
            <v xml:space="preserve">         URAIAN ANALISA HARGA SATUAN</v>
          </cell>
          <cell r="L182" t="str">
            <v>FORMULIR STANDAR UNTUK</v>
          </cell>
        </row>
        <row r="183">
          <cell r="L183" t="str">
            <v>PEREKAMAN ANALISA MASING-MASING HARGA SATUAN</v>
          </cell>
        </row>
        <row r="184">
          <cell r="L184" t="str">
            <v/>
          </cell>
        </row>
        <row r="185">
          <cell r="A185" t="str">
            <v>No.</v>
          </cell>
          <cell r="C185" t="str">
            <v>U R A I A N</v>
          </cell>
          <cell r="G185" t="str">
            <v>KODE</v>
          </cell>
          <cell r="H185" t="str">
            <v>KOEF.</v>
          </cell>
          <cell r="I185" t="str">
            <v>SATUAN</v>
          </cell>
          <cell r="J185" t="str">
            <v>KETERANGAN</v>
          </cell>
        </row>
        <row r="187">
          <cell r="L187" t="str">
            <v>PROYEK</v>
          </cell>
          <cell r="O187" t="str">
            <v xml:space="preserve">:  </v>
          </cell>
        </row>
        <row r="188">
          <cell r="A188" t="str">
            <v>I.</v>
          </cell>
          <cell r="C188" t="str">
            <v>ASUMSI</v>
          </cell>
          <cell r="L188" t="str">
            <v>No. PAKET KONTRAK</v>
          </cell>
          <cell r="O188" t="str">
            <v xml:space="preserve">:  </v>
          </cell>
        </row>
        <row r="189">
          <cell r="A189">
            <v>1</v>
          </cell>
          <cell r="C189" t="str">
            <v>Menggunakan alat berat (cara mekanik)</v>
          </cell>
          <cell r="L189" t="str">
            <v>NAMA PAKET</v>
          </cell>
          <cell r="O189" t="str">
            <v xml:space="preserve">:  </v>
          </cell>
        </row>
        <row r="190">
          <cell r="A190">
            <v>2</v>
          </cell>
          <cell r="C190" t="str">
            <v>Lokasi pekerjaan : sepanjang jalan</v>
          </cell>
          <cell r="L190" t="str">
            <v>PROP / KAB / KODYA</v>
          </cell>
          <cell r="O190" t="str">
            <v xml:space="preserve">:  </v>
          </cell>
        </row>
        <row r="191">
          <cell r="A191">
            <v>3</v>
          </cell>
          <cell r="C191" t="str">
            <v>Kondisi existing jalan : sedang</v>
          </cell>
          <cell r="L191" t="str">
            <v>ITEM PEMBAYARAN NO.</v>
          </cell>
          <cell r="O191" t="str">
            <v>:  5.1 (2)</v>
          </cell>
          <cell r="R191" t="str">
            <v>PERKIRAAN VOL. PEK.</v>
          </cell>
          <cell r="T191" t="str">
            <v>:</v>
          </cell>
          <cell r="U191">
            <v>1</v>
          </cell>
        </row>
        <row r="192">
          <cell r="A192">
            <v>4</v>
          </cell>
          <cell r="C192" t="str">
            <v>Jarak rata-rata Base Camp ke lokasi pekerjaan</v>
          </cell>
          <cell r="G192" t="str">
            <v>L</v>
          </cell>
          <cell r="H192">
            <v>8.7249999999999996</v>
          </cell>
          <cell r="I192" t="str">
            <v>KM</v>
          </cell>
          <cell r="L192" t="str">
            <v>JENIS PEKERJAAN</v>
          </cell>
          <cell r="O192" t="str">
            <v>:  Lps. Pond. Ag. Kls. B, CBR Min 35%</v>
          </cell>
          <cell r="R192" t="str">
            <v>TOTAL HARGA</v>
          </cell>
          <cell r="T192" t="str">
            <v>:</v>
          </cell>
          <cell r="U192">
            <v>339061.22823589185</v>
          </cell>
        </row>
        <row r="193">
          <cell r="A193">
            <v>5</v>
          </cell>
          <cell r="C193" t="str">
            <v>Tebal lapis agregat padat</v>
          </cell>
          <cell r="G193" t="str">
            <v>t</v>
          </cell>
          <cell r="H193">
            <v>0.15</v>
          </cell>
          <cell r="I193" t="str">
            <v>M</v>
          </cell>
          <cell r="L193" t="str">
            <v>SATUAN PEMBAYARAN</v>
          </cell>
          <cell r="O193" t="str">
            <v>:  M3</v>
          </cell>
          <cell r="R193" t="str">
            <v>% THD. BIAYA PROYEK</v>
          </cell>
          <cell r="T193" t="str">
            <v>:</v>
          </cell>
          <cell r="U193">
            <v>8.0681907126475844E-3</v>
          </cell>
        </row>
        <row r="194">
          <cell r="A194">
            <v>6</v>
          </cell>
          <cell r="C194" t="str">
            <v>Faktor kembang material (Padat-Lepas)</v>
          </cell>
          <cell r="G194" t="str">
            <v>Fk</v>
          </cell>
          <cell r="H194">
            <v>1.2</v>
          </cell>
          <cell r="I194" t="str">
            <v>-</v>
          </cell>
        </row>
        <row r="195">
          <cell r="A195">
            <v>7</v>
          </cell>
          <cell r="C195" t="str">
            <v>Jam kerja efektif per-hari</v>
          </cell>
          <cell r="G195" t="str">
            <v>Tk</v>
          </cell>
          <cell r="H195">
            <v>7</v>
          </cell>
          <cell r="I195" t="str">
            <v>jam</v>
          </cell>
        </row>
        <row r="196">
          <cell r="A196">
            <v>8</v>
          </cell>
          <cell r="C196" t="str">
            <v>Proporsi Campuran :</v>
          </cell>
          <cell r="D196" t="str">
            <v>- Agregat Kasar</v>
          </cell>
          <cell r="G196" t="str">
            <v>Ak</v>
          </cell>
          <cell r="H196">
            <v>35</v>
          </cell>
          <cell r="I196" t="str">
            <v>%</v>
          </cell>
          <cell r="J196" t="str">
            <v xml:space="preserve"> Gradasi harus</v>
          </cell>
          <cell r="Q196" t="str">
            <v>PERKIRAAN</v>
          </cell>
          <cell r="R196" t="str">
            <v>HARGA</v>
          </cell>
          <cell r="S196" t="str">
            <v>JUMLAH</v>
          </cell>
        </row>
        <row r="197">
          <cell r="D197" t="str">
            <v>- Agregat Halus</v>
          </cell>
          <cell r="G197" t="str">
            <v>Ah</v>
          </cell>
          <cell r="H197">
            <v>20</v>
          </cell>
          <cell r="I197" t="str">
            <v>%</v>
          </cell>
          <cell r="J197" t="str">
            <v xml:space="preserve"> memenuhi</v>
          </cell>
          <cell r="L197" t="str">
            <v>NO.</v>
          </cell>
          <cell r="N197" t="str">
            <v>KOMPONEN</v>
          </cell>
          <cell r="P197" t="str">
            <v>SATUAN</v>
          </cell>
          <cell r="Q197" t="str">
            <v>KUANTITAS</v>
          </cell>
          <cell r="R197" t="str">
            <v>SATUAN</v>
          </cell>
          <cell r="S197" t="str">
            <v>HARGA</v>
          </cell>
        </row>
        <row r="198">
          <cell r="D198" t="str">
            <v>- Sirtu</v>
          </cell>
          <cell r="G198" t="str">
            <v>St</v>
          </cell>
          <cell r="H198">
            <v>45</v>
          </cell>
          <cell r="I198" t="str">
            <v>%</v>
          </cell>
          <cell r="J198" t="str">
            <v xml:space="preserve"> Spesifikasi</v>
          </cell>
          <cell r="R198" t="str">
            <v>(Rp.)</v>
          </cell>
          <cell r="S198" t="str">
            <v>(Rp.)</v>
          </cell>
        </row>
        <row r="199">
          <cell r="A199" t="str">
            <v>II.</v>
          </cell>
          <cell r="C199" t="str">
            <v>URUTAN KERJA</v>
          </cell>
        </row>
        <row r="200">
          <cell r="A200">
            <v>1</v>
          </cell>
          <cell r="C200" t="str">
            <v>Wheel Loader mencampur dan memuat Agregat ke</v>
          </cell>
        </row>
        <row r="201">
          <cell r="C201" t="str">
            <v>dalam Dump Truck di Base Camp</v>
          </cell>
          <cell r="L201" t="str">
            <v>A.</v>
          </cell>
          <cell r="N201" t="str">
            <v>TENAGA</v>
          </cell>
        </row>
        <row r="202">
          <cell r="A202">
            <v>2</v>
          </cell>
          <cell r="C202" t="str">
            <v>Dump Truck mengangkut Agregat ke lokasi</v>
          </cell>
        </row>
        <row r="203">
          <cell r="C203" t="str">
            <v>pekerjaan dan dihampar dengan Motor Grader</v>
          </cell>
          <cell r="L203" t="str">
            <v>1.</v>
          </cell>
          <cell r="N203" t="str">
            <v>Pekerja</v>
          </cell>
          <cell r="O203" t="str">
            <v>(L01)</v>
          </cell>
          <cell r="P203" t="str">
            <v>jam</v>
          </cell>
          <cell r="Q203">
            <v>0.24988844265952695</v>
          </cell>
          <cell r="R203">
            <v>2857.14</v>
          </cell>
          <cell r="U203">
            <v>713.96626506024074</v>
          </cell>
        </row>
        <row r="204">
          <cell r="A204">
            <v>3</v>
          </cell>
          <cell r="C204" t="str">
            <v>Hamparan Agregat dibasahi dengan Water Tank</v>
          </cell>
          <cell r="L204" t="str">
            <v>2.</v>
          </cell>
          <cell r="N204" t="str">
            <v>Mandor</v>
          </cell>
          <cell r="O204" t="str">
            <v>(L03)</v>
          </cell>
          <cell r="P204" t="str">
            <v>jam</v>
          </cell>
          <cell r="Q204">
            <v>3.5698348951360995E-2</v>
          </cell>
          <cell r="R204">
            <v>3214.29</v>
          </cell>
          <cell r="U204">
            <v>114.74484605087014</v>
          </cell>
        </row>
        <row r="205">
          <cell r="C205" t="str">
            <v>Truck sebelum dipadatkan dengan Tandem</v>
          </cell>
        </row>
        <row r="206">
          <cell r="C206" t="str">
            <v>Roller dan Pneumatic Tire Roller</v>
          </cell>
        </row>
        <row r="207">
          <cell r="A207">
            <v>4</v>
          </cell>
          <cell r="C207" t="str">
            <v>Selama pemadatan, sekelompok pekerja akan</v>
          </cell>
          <cell r="Q207" t="str">
            <v xml:space="preserve">JUMLAH HARGA TENAGA   </v>
          </cell>
          <cell r="U207">
            <v>828.71111111111088</v>
          </cell>
        </row>
        <row r="208">
          <cell r="C208" t="str">
            <v>merapikan tepi hamparan dan level permukaan</v>
          </cell>
        </row>
        <row r="209">
          <cell r="C209" t="str">
            <v>dengan menggunakan Alat Bantu</v>
          </cell>
          <cell r="L209" t="str">
            <v>B.</v>
          </cell>
          <cell r="N209" t="str">
            <v>BAHAN</v>
          </cell>
        </row>
        <row r="210">
          <cell r="A210" t="str">
            <v>III.</v>
          </cell>
          <cell r="C210" t="str">
            <v>PEMAKAIAN BAHAN, ALAT DAN TENAGA</v>
          </cell>
        </row>
        <row r="211">
          <cell r="A211" t="str">
            <v xml:space="preserve">   1.</v>
          </cell>
          <cell r="C211" t="str">
            <v>BAHAN</v>
          </cell>
          <cell r="L211" t="str">
            <v>1.</v>
          </cell>
          <cell r="N211" t="str">
            <v>Agregat Kasar   (M03)</v>
          </cell>
          <cell r="P211" t="str">
            <v>M3</v>
          </cell>
          <cell r="Q211">
            <v>0.42</v>
          </cell>
          <cell r="R211">
            <v>222345.54558042376</v>
          </cell>
          <cell r="U211">
            <v>93385.129143777973</v>
          </cell>
        </row>
        <row r="212">
          <cell r="C212" t="str">
            <v>- Agregat Kasar</v>
          </cell>
          <cell r="D212" t="str">
            <v>=  Ak x 1 M3 x Fk</v>
          </cell>
          <cell r="G212" t="str">
            <v>M03</v>
          </cell>
          <cell r="H212">
            <v>0.42</v>
          </cell>
          <cell r="I212" t="str">
            <v>M3</v>
          </cell>
          <cell r="L212" t="str">
            <v>2.</v>
          </cell>
          <cell r="N212" t="str">
            <v>Agregat Halus    (M04)</v>
          </cell>
          <cell r="P212" t="str">
            <v>M3</v>
          </cell>
          <cell r="Q212">
            <v>0.24</v>
          </cell>
          <cell r="R212">
            <v>194196.70775416915</v>
          </cell>
          <cell r="U212">
            <v>46607.209861000592</v>
          </cell>
        </row>
        <row r="213">
          <cell r="C213" t="str">
            <v>- Agregat Halus</v>
          </cell>
          <cell r="D213" t="str">
            <v>=  Ah x 1 M3 x Fk</v>
          </cell>
          <cell r="G213" t="str">
            <v>M04</v>
          </cell>
          <cell r="H213">
            <v>0.24</v>
          </cell>
          <cell r="I213" t="str">
            <v>M3</v>
          </cell>
          <cell r="L213" t="str">
            <v>3.</v>
          </cell>
          <cell r="N213" t="str">
            <v>Sirtu</v>
          </cell>
          <cell r="O213" t="str">
            <v>(M16)</v>
          </cell>
          <cell r="P213" t="str">
            <v>M3</v>
          </cell>
          <cell r="Q213">
            <v>0.54</v>
          </cell>
          <cell r="R213">
            <v>264500</v>
          </cell>
          <cell r="U213">
            <v>142830</v>
          </cell>
        </row>
        <row r="214">
          <cell r="C214" t="str">
            <v>- Sirtu</v>
          </cell>
          <cell r="D214" t="str">
            <v>=  St x 1 M3 x Fk</v>
          </cell>
          <cell r="G214" t="str">
            <v>M16</v>
          </cell>
          <cell r="H214">
            <v>0.54</v>
          </cell>
          <cell r="I214" t="str">
            <v>M3</v>
          </cell>
        </row>
        <row r="215">
          <cell r="A215" t="str">
            <v xml:space="preserve">   2.</v>
          </cell>
          <cell r="C215" t="str">
            <v>ALAT</v>
          </cell>
        </row>
        <row r="216">
          <cell r="A216" t="str">
            <v xml:space="preserve">   2.a.</v>
          </cell>
          <cell r="C216" t="str">
            <v>WHEEL LOADER</v>
          </cell>
          <cell r="G216" t="str">
            <v>(E15)</v>
          </cell>
        </row>
        <row r="217">
          <cell r="C217" t="str">
            <v>Kapasitas bucket</v>
          </cell>
          <cell r="G217" t="str">
            <v>V</v>
          </cell>
          <cell r="H217">
            <v>1.5</v>
          </cell>
          <cell r="I217" t="str">
            <v>M3</v>
          </cell>
          <cell r="Q217" t="str">
            <v xml:space="preserve">JUMLAH HARGA BAHAN   </v>
          </cell>
          <cell r="U217">
            <v>282822.33900477854</v>
          </cell>
        </row>
        <row r="218">
          <cell r="C218" t="str">
            <v>Faktor bucket</v>
          </cell>
          <cell r="G218" t="str">
            <v>Fb</v>
          </cell>
          <cell r="H218">
            <v>0.9</v>
          </cell>
          <cell r="I218" t="str">
            <v>-</v>
          </cell>
        </row>
        <row r="219">
          <cell r="C219" t="str">
            <v>Faktor Efisiensi alat</v>
          </cell>
          <cell r="G219" t="str">
            <v>Fa</v>
          </cell>
          <cell r="H219">
            <v>0.83</v>
          </cell>
          <cell r="I219" t="str">
            <v>-</v>
          </cell>
          <cell r="L219" t="str">
            <v>C.</v>
          </cell>
          <cell r="N219" t="str">
            <v>PERALATAN</v>
          </cell>
        </row>
        <row r="220">
          <cell r="C220" t="str">
            <v>Waktu Siklus :</v>
          </cell>
          <cell r="G220" t="str">
            <v>Ts1</v>
          </cell>
          <cell r="L220" t="str">
            <v>1.</v>
          </cell>
          <cell r="N220" t="str">
            <v>Wheel Loader</v>
          </cell>
          <cell r="O220" t="str">
            <v>(E15)</v>
          </cell>
          <cell r="P220" t="str">
            <v>jam</v>
          </cell>
          <cell r="Q220">
            <v>3.5698348951360995E-2</v>
          </cell>
          <cell r="R220">
            <v>163808.13869490434</v>
          </cell>
          <cell r="U220">
            <v>5847.680096203635</v>
          </cell>
        </row>
        <row r="221">
          <cell r="C221" t="str">
            <v>- Mencampur</v>
          </cell>
          <cell r="G221" t="str">
            <v>T1</v>
          </cell>
          <cell r="H221">
            <v>1.5</v>
          </cell>
          <cell r="I221" t="str">
            <v>menit</v>
          </cell>
          <cell r="L221" t="str">
            <v>2.</v>
          </cell>
          <cell r="N221" t="str">
            <v>Dump Truck</v>
          </cell>
          <cell r="O221" t="str">
            <v>(E09)</v>
          </cell>
          <cell r="P221" t="str">
            <v>jam</v>
          </cell>
          <cell r="Q221">
            <v>0.14542063837680036</v>
          </cell>
          <cell r="R221">
            <v>70230.073977639215</v>
          </cell>
          <cell r="U221">
            <v>10212.90219107821</v>
          </cell>
        </row>
        <row r="222">
          <cell r="C222" t="str">
            <v>- Memuat dan lain-lain</v>
          </cell>
          <cell r="G222" t="str">
            <v>T2</v>
          </cell>
          <cell r="H222">
            <v>0.5</v>
          </cell>
          <cell r="I222" t="str">
            <v>menit</v>
          </cell>
          <cell r="L222" t="str">
            <v>3.</v>
          </cell>
          <cell r="N222" t="str">
            <v>Motor Grader</v>
          </cell>
          <cell r="O222" t="str">
            <v>(E13)</v>
          </cell>
          <cell r="P222" t="str">
            <v>jam</v>
          </cell>
          <cell r="Q222">
            <v>1.1713520749665328E-2</v>
          </cell>
          <cell r="R222">
            <v>201666.62574070093</v>
          </cell>
          <cell r="U222">
            <v>2362.2262051286921</v>
          </cell>
        </row>
        <row r="223">
          <cell r="G223" t="str">
            <v>Ts1</v>
          </cell>
          <cell r="H223">
            <v>2</v>
          </cell>
          <cell r="I223" t="str">
            <v>menit</v>
          </cell>
          <cell r="L223" t="str">
            <v>4.</v>
          </cell>
          <cell r="N223" t="str">
            <v>Vibratory Roller</v>
          </cell>
          <cell r="O223" t="str">
            <v>(E19)</v>
          </cell>
          <cell r="P223" t="str">
            <v>jam</v>
          </cell>
          <cell r="Q223">
            <v>1.7849174475680501E-2</v>
          </cell>
          <cell r="R223">
            <v>234734.82748629327</v>
          </cell>
          <cell r="U223">
            <v>4189.8228913216117</v>
          </cell>
        </row>
        <row r="224">
          <cell r="L224" t="str">
            <v>5.</v>
          </cell>
          <cell r="N224" t="str">
            <v>P. Tyre Roller</v>
          </cell>
          <cell r="O224" t="str">
            <v>(E18)</v>
          </cell>
          <cell r="P224" t="str">
            <v>jam</v>
          </cell>
          <cell r="Q224">
            <v>4.2838018741633201E-3</v>
          </cell>
          <cell r="R224">
            <v>113384.24751021285</v>
          </cell>
          <cell r="U224">
            <v>485.71565198484757</v>
          </cell>
        </row>
        <row r="225">
          <cell r="C225" t="str">
            <v>Kap. Prod. / jam =</v>
          </cell>
          <cell r="D225" t="str">
            <v>V x Fb x Fa x 60</v>
          </cell>
          <cell r="G225" t="str">
            <v>Q1</v>
          </cell>
          <cell r="H225">
            <v>28.012500000000003</v>
          </cell>
          <cell r="I225" t="str">
            <v>M3</v>
          </cell>
          <cell r="L225" t="str">
            <v>6.</v>
          </cell>
          <cell r="N225" t="str">
            <v>Water Tanker</v>
          </cell>
          <cell r="O225" t="str">
            <v>(E23)</v>
          </cell>
          <cell r="P225" t="str">
            <v>jam</v>
          </cell>
          <cell r="Q225">
            <v>2.1084337349397592E-2</v>
          </cell>
          <cell r="R225">
            <v>67020.510980434308</v>
          </cell>
          <cell r="U225">
            <v>1413.0830628404826</v>
          </cell>
        </row>
        <row r="226">
          <cell r="D226" t="str">
            <v>Fk x Ts1</v>
          </cell>
          <cell r="L226" t="str">
            <v>7.</v>
          </cell>
          <cell r="N226" t="str">
            <v>Alat Bantu</v>
          </cell>
          <cell r="P226" t="str">
            <v>Ls</v>
          </cell>
          <cell r="Q226">
            <v>1</v>
          </cell>
          <cell r="R226">
            <v>75</v>
          </cell>
          <cell r="U226">
            <v>75</v>
          </cell>
        </row>
        <row r="227">
          <cell r="C227" t="str">
            <v>Koefisien Alat / M3</v>
          </cell>
          <cell r="D227" t="str">
            <v xml:space="preserve"> =  1  :  Q1</v>
          </cell>
          <cell r="G227" t="str">
            <v>(E15)</v>
          </cell>
          <cell r="H227">
            <v>3.5698348951360995E-2</v>
          </cell>
          <cell r="I227" t="str">
            <v>jam</v>
          </cell>
        </row>
        <row r="228">
          <cell r="Q228" t="str">
            <v xml:space="preserve">JUMLAH HARGA PERALATAN   </v>
          </cell>
          <cell r="U228">
            <v>24586.430098557481</v>
          </cell>
        </row>
        <row r="229">
          <cell r="A229" t="str">
            <v xml:space="preserve">   2.b.</v>
          </cell>
          <cell r="C229" t="str">
            <v>DUMP TRUCK</v>
          </cell>
          <cell r="G229" t="str">
            <v>(E09)</v>
          </cell>
        </row>
        <row r="230">
          <cell r="C230" t="str">
            <v>Kapasitas bak</v>
          </cell>
          <cell r="G230" t="str">
            <v>V</v>
          </cell>
          <cell r="H230">
            <v>6</v>
          </cell>
          <cell r="I230" t="str">
            <v>M3</v>
          </cell>
          <cell r="L230" t="str">
            <v>D.</v>
          </cell>
          <cell r="N230" t="str">
            <v>JUMLAH HARGA TENAGA, BAHAN DAN PERALATAN  ( A + B + C )</v>
          </cell>
          <cell r="U230">
            <v>308237.48021444713</v>
          </cell>
        </row>
        <row r="231">
          <cell r="C231" t="str">
            <v>Faktor Efisiensi alat</v>
          </cell>
          <cell r="G231" t="str">
            <v>Fa</v>
          </cell>
          <cell r="H231">
            <v>0.83</v>
          </cell>
          <cell r="I231" t="str">
            <v>-</v>
          </cell>
          <cell r="L231" t="str">
            <v>E.</v>
          </cell>
          <cell r="N231" t="str">
            <v>OVERHEAD &amp; PROFIT</v>
          </cell>
          <cell r="P231">
            <v>10</v>
          </cell>
          <cell r="Q231" t="str">
            <v>%  x  D</v>
          </cell>
          <cell r="U231">
            <v>30823.748021444713</v>
          </cell>
        </row>
        <row r="232">
          <cell r="C232" t="str">
            <v>Kecepatan rata-rata bermuatan</v>
          </cell>
          <cell r="G232" t="str">
            <v>v1</v>
          </cell>
          <cell r="H232">
            <v>45</v>
          </cell>
          <cell r="I232" t="str">
            <v>KM/jam</v>
          </cell>
          <cell r="L232" t="str">
            <v>F.</v>
          </cell>
          <cell r="N232" t="str">
            <v>HARGA SATUAN PEKERJAAN  ( D + E )</v>
          </cell>
          <cell r="U232">
            <v>339061.22823589185</v>
          </cell>
        </row>
        <row r="233">
          <cell r="C233" t="str">
            <v>Kecepatan rata-rata kosong</v>
          </cell>
          <cell r="G233" t="str">
            <v>v2</v>
          </cell>
          <cell r="H233">
            <v>60</v>
          </cell>
          <cell r="I233" t="str">
            <v>KM/jam</v>
          </cell>
          <cell r="L233" t="str">
            <v>Note: 1</v>
          </cell>
          <cell r="N233" t="str">
            <v>SATUAN dapat berdasarkan atas jam operasi untuk Tenaga Kerja dan Peralatan, volume dan/atau ukuran</v>
          </cell>
        </row>
        <row r="234">
          <cell r="C234" t="str">
            <v>Waktu Siklus  :  - Waktu memuat = V : Q1 x 60</v>
          </cell>
          <cell r="G234" t="str">
            <v>T1</v>
          </cell>
          <cell r="H234">
            <v>12.851405622489958</v>
          </cell>
          <cell r="I234" t="str">
            <v>menit</v>
          </cell>
          <cell r="N234" t="str">
            <v>berat untuk bahan-bahan.</v>
          </cell>
        </row>
        <row r="235">
          <cell r="C235" t="str">
            <v>- Waktu tempuh isi  =  (L : v1) x 60 menit</v>
          </cell>
          <cell r="G235" t="str">
            <v>T2</v>
          </cell>
          <cell r="H235">
            <v>11.633333333333333</v>
          </cell>
          <cell r="I235" t="str">
            <v>menit</v>
          </cell>
          <cell r="L235">
            <v>2</v>
          </cell>
          <cell r="N235" t="str">
            <v>Kuantitas satuan adalah kuantitas setiap komponen untuk menyelesaikan satu satuan pekerjaan dari nomor</v>
          </cell>
        </row>
        <row r="236">
          <cell r="C236" t="str">
            <v>- Waktu tempuh kosong  =  (L : v2) x 60 menit</v>
          </cell>
          <cell r="G236" t="str">
            <v>T3</v>
          </cell>
          <cell r="H236">
            <v>8.7249999999999996</v>
          </cell>
          <cell r="I236" t="str">
            <v>menit</v>
          </cell>
          <cell r="N236" t="str">
            <v>mata pembayaran.</v>
          </cell>
        </row>
        <row r="237">
          <cell r="C237" t="str">
            <v>- Dump dan lain-lain</v>
          </cell>
          <cell r="G237" t="str">
            <v>T4</v>
          </cell>
          <cell r="H237">
            <v>3</v>
          </cell>
          <cell r="I237" t="str">
            <v>menit</v>
          </cell>
          <cell r="L237">
            <v>3</v>
          </cell>
          <cell r="N237" t="str">
            <v>Biaya satuan untuk peralatan sudah termasuk bahan bakar, bahan habis dipakai dan operator.</v>
          </cell>
        </row>
        <row r="238">
          <cell r="G238" t="str">
            <v>Ts2</v>
          </cell>
          <cell r="H238">
            <v>36.20973895582329</v>
          </cell>
          <cell r="I238" t="str">
            <v>menit</v>
          </cell>
          <cell r="L238">
            <v>4</v>
          </cell>
          <cell r="N238" t="str">
            <v>Biaya satuan sudah termasuk pengeluaran untuk seluruh pajak yang berkaitan (tetapi tidak termasuk PPN</v>
          </cell>
        </row>
        <row r="239">
          <cell r="N239" t="str">
            <v>yang dibayar dari kontrak) dan biaya-biaya lainnya.</v>
          </cell>
        </row>
        <row r="240">
          <cell r="J240" t="str">
            <v>Berlanjut ke hal. berikut</v>
          </cell>
        </row>
        <row r="241">
          <cell r="A241" t="str">
            <v>ITEM PEMBAYARAN NO.</v>
          </cell>
          <cell r="D241" t="str">
            <v>:  5.1 (2)</v>
          </cell>
          <cell r="J241" t="str">
            <v>Analisa EI-512</v>
          </cell>
        </row>
        <row r="242">
          <cell r="A242" t="str">
            <v>JENIS PEKERJAAN</v>
          </cell>
          <cell r="D242" t="str">
            <v>:  Lps. Pond. Ag. Kls. B, CBR Min 35%</v>
          </cell>
        </row>
        <row r="243">
          <cell r="A243" t="str">
            <v>SATUAN PEMBAYARAN</v>
          </cell>
          <cell r="D243" t="str">
            <v>:  M3</v>
          </cell>
          <cell r="H243" t="str">
            <v xml:space="preserve">         URAIAN ANALISA HARGA SATUAN</v>
          </cell>
        </row>
        <row r="244">
          <cell r="J244" t="str">
            <v>Lanjutan</v>
          </cell>
        </row>
        <row r="246">
          <cell r="A246" t="str">
            <v>No.</v>
          </cell>
          <cell r="C246" t="str">
            <v>U R A I A N</v>
          </cell>
          <cell r="G246" t="str">
            <v>KODE</v>
          </cell>
          <cell r="H246" t="str">
            <v>KOEF.</v>
          </cell>
          <cell r="I246" t="str">
            <v>SATUAN</v>
          </cell>
          <cell r="J246" t="str">
            <v>KETERANGAN</v>
          </cell>
        </row>
        <row r="249">
          <cell r="C249" t="str">
            <v>Kap. Prod. / jam =</v>
          </cell>
          <cell r="D249" t="str">
            <v>V x Fa x 60</v>
          </cell>
          <cell r="G249" t="str">
            <v>Q2</v>
          </cell>
          <cell r="H249">
            <v>6.8766030129017413</v>
          </cell>
          <cell r="I249" t="str">
            <v>M3</v>
          </cell>
        </row>
        <row r="250">
          <cell r="D250" t="str">
            <v>Fk x Ts2</v>
          </cell>
        </row>
        <row r="251">
          <cell r="C251" t="str">
            <v>Koefisien Alat / M3</v>
          </cell>
          <cell r="D251" t="str">
            <v xml:space="preserve"> =  1  :  Q2</v>
          </cell>
          <cell r="G251" t="str">
            <v>-</v>
          </cell>
          <cell r="H251">
            <v>0.14542063837680036</v>
          </cell>
          <cell r="I251" t="str">
            <v>jam</v>
          </cell>
        </row>
        <row r="253">
          <cell r="A253" t="str">
            <v xml:space="preserve">   2.c.</v>
          </cell>
          <cell r="C253" t="str">
            <v>MOTOR GRADER</v>
          </cell>
          <cell r="G253" t="str">
            <v>(E13)</v>
          </cell>
        </row>
        <row r="254">
          <cell r="C254" t="str">
            <v>Panjang hamparan</v>
          </cell>
          <cell r="G254" t="str">
            <v>Lh</v>
          </cell>
          <cell r="H254">
            <v>50</v>
          </cell>
          <cell r="I254" t="str">
            <v>M</v>
          </cell>
        </row>
        <row r="255">
          <cell r="C255" t="str">
            <v>Lebar efektif kerja blade</v>
          </cell>
          <cell r="G255" t="str">
            <v>b</v>
          </cell>
          <cell r="H255">
            <v>2.4</v>
          </cell>
          <cell r="I255" t="str">
            <v>M</v>
          </cell>
        </row>
        <row r="256">
          <cell r="C256" t="str">
            <v>Faktor Efisiensi alat</v>
          </cell>
          <cell r="G256" t="str">
            <v>Fa</v>
          </cell>
          <cell r="H256">
            <v>0.83</v>
          </cell>
          <cell r="I256" t="str">
            <v>-</v>
          </cell>
        </row>
        <row r="257">
          <cell r="C257" t="str">
            <v>Kecepatan rata-rata alat</v>
          </cell>
          <cell r="G257" t="str">
            <v>v</v>
          </cell>
          <cell r="H257">
            <v>4</v>
          </cell>
          <cell r="I257" t="str">
            <v>KM/jam</v>
          </cell>
        </row>
        <row r="258">
          <cell r="C258" t="str">
            <v>Jumlah lintasan</v>
          </cell>
          <cell r="G258" t="str">
            <v>n</v>
          </cell>
          <cell r="H258">
            <v>6</v>
          </cell>
          <cell r="I258" t="str">
            <v>lintasan</v>
          </cell>
          <cell r="J258" t="str">
            <v xml:space="preserve"> 3 x pp</v>
          </cell>
        </row>
        <row r="259">
          <cell r="C259" t="str">
            <v>Waktu Siklus :</v>
          </cell>
          <cell r="G259" t="str">
            <v>Ts3</v>
          </cell>
        </row>
        <row r="260">
          <cell r="C260" t="str">
            <v>- Perataan 1 lintasan  =  Lh : (v x 1000) x 60</v>
          </cell>
          <cell r="G260" t="str">
            <v>T1</v>
          </cell>
          <cell r="H260">
            <v>0.75</v>
          </cell>
          <cell r="I260" t="str">
            <v>menit</v>
          </cell>
        </row>
        <row r="261">
          <cell r="C261" t="str">
            <v>- Lain-lain</v>
          </cell>
          <cell r="G261" t="str">
            <v>T2</v>
          </cell>
          <cell r="H261">
            <v>1</v>
          </cell>
          <cell r="I261" t="str">
            <v>menit</v>
          </cell>
        </row>
        <row r="262">
          <cell r="G262" t="str">
            <v>Ts3</v>
          </cell>
          <cell r="H262">
            <v>1.75</v>
          </cell>
          <cell r="I262" t="str">
            <v>menit</v>
          </cell>
        </row>
        <row r="264">
          <cell r="C264" t="str">
            <v>Kap. Prod. / jam =</v>
          </cell>
          <cell r="D264" t="str">
            <v>Lh x b x t x Fa x 60</v>
          </cell>
          <cell r="G264" t="str">
            <v>Q3</v>
          </cell>
          <cell r="H264">
            <v>85.371428571428567</v>
          </cell>
          <cell r="I264" t="str">
            <v>M3</v>
          </cell>
        </row>
        <row r="265">
          <cell r="D265" t="str">
            <v>n x Ts3</v>
          </cell>
        </row>
        <row r="266">
          <cell r="C266" t="str">
            <v>Koefisien Alat / M3</v>
          </cell>
          <cell r="D266" t="str">
            <v xml:space="preserve"> =  1  :  Q3</v>
          </cell>
          <cell r="G266" t="str">
            <v>(E13)</v>
          </cell>
          <cell r="H266">
            <v>1.1713520749665328E-2</v>
          </cell>
          <cell r="I266" t="str">
            <v>jam</v>
          </cell>
        </row>
        <row r="268">
          <cell r="A268" t="str">
            <v xml:space="preserve">   2.d.</v>
          </cell>
          <cell r="C268" t="str">
            <v>VIBRATORY ROLLER</v>
          </cell>
          <cell r="G268" t="str">
            <v>(E19)</v>
          </cell>
        </row>
        <row r="269">
          <cell r="C269" t="str">
            <v>Kecepatan rata-rata alat</v>
          </cell>
          <cell r="G269" t="str">
            <v>v</v>
          </cell>
          <cell r="H269">
            <v>3</v>
          </cell>
          <cell r="I269" t="str">
            <v>KM/jam</v>
          </cell>
        </row>
        <row r="270">
          <cell r="C270" t="str">
            <v>Lebar efektif pemadatan</v>
          </cell>
          <cell r="G270" t="str">
            <v>b</v>
          </cell>
          <cell r="H270">
            <v>1.2</v>
          </cell>
          <cell r="I270" t="str">
            <v>M</v>
          </cell>
        </row>
        <row r="271">
          <cell r="C271" t="str">
            <v>Jumlah lintasan</v>
          </cell>
          <cell r="G271" t="str">
            <v>n</v>
          </cell>
          <cell r="H271">
            <v>8</v>
          </cell>
          <cell r="I271" t="str">
            <v>lintasan</v>
          </cell>
        </row>
        <row r="272">
          <cell r="C272" t="str">
            <v>Faktor Efisiensi alat</v>
          </cell>
          <cell r="G272" t="str">
            <v>Fa</v>
          </cell>
          <cell r="H272">
            <v>0.83</v>
          </cell>
          <cell r="I272" t="str">
            <v>-</v>
          </cell>
        </row>
        <row r="274">
          <cell r="C274" t="str">
            <v>Kap. Prod. / jam =</v>
          </cell>
          <cell r="D274" t="str">
            <v>(v x 1000) x b x t x Fa</v>
          </cell>
          <cell r="G274" t="str">
            <v>Q4</v>
          </cell>
          <cell r="H274">
            <v>56.024999999999999</v>
          </cell>
          <cell r="I274" t="str">
            <v>M3</v>
          </cell>
        </row>
        <row r="275">
          <cell r="D275" t="str">
            <v>n</v>
          </cell>
        </row>
        <row r="276">
          <cell r="C276" t="str">
            <v>Koefisien Alat / M3</v>
          </cell>
          <cell r="D276" t="str">
            <v xml:space="preserve"> =  1  :  Q4</v>
          </cell>
          <cell r="G276" t="str">
            <v>(E19)</v>
          </cell>
          <cell r="H276">
            <v>1.7849174475680501E-2</v>
          </cell>
          <cell r="I276" t="str">
            <v>jam</v>
          </cell>
        </row>
        <row r="278">
          <cell r="A278" t="str">
            <v xml:space="preserve">   2.e.</v>
          </cell>
          <cell r="C278" t="str">
            <v>PNEUMATIC TIRE ROLLER</v>
          </cell>
          <cell r="G278" t="str">
            <v>(E18)</v>
          </cell>
        </row>
        <row r="279">
          <cell r="C279" t="str">
            <v>Kecepatan rata-rata alat</v>
          </cell>
          <cell r="G279" t="str">
            <v>v</v>
          </cell>
          <cell r="H279">
            <v>5</v>
          </cell>
          <cell r="I279" t="str">
            <v>KM/jam</v>
          </cell>
        </row>
        <row r="280">
          <cell r="C280" t="str">
            <v>Lebar efektif pemadatan</v>
          </cell>
          <cell r="G280" t="str">
            <v>b</v>
          </cell>
          <cell r="H280">
            <v>1.5</v>
          </cell>
          <cell r="I280" t="str">
            <v>M</v>
          </cell>
        </row>
        <row r="281">
          <cell r="C281" t="str">
            <v>Jumlah lintasan</v>
          </cell>
          <cell r="G281" t="str">
            <v>n</v>
          </cell>
          <cell r="H281">
            <v>4</v>
          </cell>
          <cell r="I281" t="str">
            <v>lintasan</v>
          </cell>
        </row>
        <row r="282">
          <cell r="C282" t="str">
            <v>Faktor Efisiensi alat</v>
          </cell>
          <cell r="G282" t="str">
            <v>Fa</v>
          </cell>
          <cell r="H282">
            <v>0.83</v>
          </cell>
          <cell r="I282" t="str">
            <v>-</v>
          </cell>
        </row>
        <row r="284">
          <cell r="C284" t="str">
            <v>Kap. Prod. / jam =</v>
          </cell>
          <cell r="D284" t="str">
            <v>(v x 1000) x b x t x Fa</v>
          </cell>
          <cell r="G284" t="str">
            <v>Q5</v>
          </cell>
          <cell r="H284">
            <v>233.4375</v>
          </cell>
          <cell r="I284" t="str">
            <v>M3</v>
          </cell>
        </row>
        <row r="285">
          <cell r="D285" t="str">
            <v>n</v>
          </cell>
        </row>
        <row r="286">
          <cell r="C286" t="str">
            <v>Koefisien Alat / M3</v>
          </cell>
          <cell r="D286" t="str">
            <v xml:space="preserve"> =  1  :  Q5</v>
          </cell>
          <cell r="G286" t="str">
            <v>(E18)</v>
          </cell>
          <cell r="H286">
            <v>4.2838018741633201E-3</v>
          </cell>
          <cell r="I286" t="str">
            <v>jam</v>
          </cell>
        </row>
        <row r="288">
          <cell r="A288" t="str">
            <v xml:space="preserve">   2.f.</v>
          </cell>
          <cell r="C288" t="str">
            <v>WATER TANK TRUCK</v>
          </cell>
          <cell r="G288" t="str">
            <v>(E23)</v>
          </cell>
        </row>
        <row r="289">
          <cell r="C289" t="str">
            <v>Volume tanki air</v>
          </cell>
          <cell r="G289" t="str">
            <v>V</v>
          </cell>
          <cell r="H289">
            <v>4</v>
          </cell>
          <cell r="I289" t="str">
            <v>M3</v>
          </cell>
        </row>
        <row r="290">
          <cell r="C290" t="str">
            <v>Kebutuhan air / M3 agregat padat</v>
          </cell>
          <cell r="G290" t="str">
            <v>Wc</v>
          </cell>
          <cell r="H290">
            <v>7.0000000000000007E-2</v>
          </cell>
          <cell r="I290" t="str">
            <v>M3</v>
          </cell>
        </row>
        <row r="291">
          <cell r="C291" t="str">
            <v>Pengisian tanki / jam</v>
          </cell>
          <cell r="G291" t="str">
            <v>n</v>
          </cell>
          <cell r="H291">
            <v>1</v>
          </cell>
          <cell r="I291" t="str">
            <v>kali</v>
          </cell>
        </row>
        <row r="292">
          <cell r="C292" t="str">
            <v>Faktor Efisiensi alat</v>
          </cell>
          <cell r="G292" t="str">
            <v>Fa</v>
          </cell>
          <cell r="H292">
            <v>0.83</v>
          </cell>
          <cell r="I292" t="str">
            <v>-</v>
          </cell>
        </row>
        <row r="294">
          <cell r="C294" t="str">
            <v>Kap. Prod. / jam =</v>
          </cell>
          <cell r="D294" t="str">
            <v>V x n x Fa</v>
          </cell>
          <cell r="G294" t="str">
            <v>Q6</v>
          </cell>
          <cell r="H294">
            <v>47.428571428571423</v>
          </cell>
          <cell r="I294" t="str">
            <v>M3</v>
          </cell>
        </row>
        <row r="295">
          <cell r="D295" t="str">
            <v>Wc</v>
          </cell>
        </row>
        <row r="296">
          <cell r="C296" t="str">
            <v>Koefisien Alat / M3</v>
          </cell>
          <cell r="D296" t="str">
            <v xml:space="preserve"> =  1  :  Q6</v>
          </cell>
          <cell r="G296" t="str">
            <v>(E23)</v>
          </cell>
          <cell r="H296">
            <v>2.1084337349397592E-2</v>
          </cell>
          <cell r="I296" t="str">
            <v>jam</v>
          </cell>
        </row>
        <row r="299">
          <cell r="J299" t="str">
            <v>Berlanjut ke hal. berikut</v>
          </cell>
        </row>
        <row r="300">
          <cell r="A300" t="str">
            <v>ITEM PEMBAYARAN NO.</v>
          </cell>
          <cell r="D300" t="str">
            <v>:  5.1 (2)</v>
          </cell>
          <cell r="J300" t="str">
            <v>Analisa EI-512</v>
          </cell>
        </row>
        <row r="301">
          <cell r="A301" t="str">
            <v>JENIS PEKERJAAN</v>
          </cell>
          <cell r="D301" t="str">
            <v>:  Lps. Pond. Ag. Kls. B, CBR Min 35%</v>
          </cell>
        </row>
        <row r="302">
          <cell r="A302" t="str">
            <v>SATUAN PEMBAYARAN</v>
          </cell>
          <cell r="D302" t="str">
            <v>:  M3</v>
          </cell>
          <cell r="H302" t="str">
            <v xml:space="preserve">         URAIAN ANALISA HARGA SATUAN</v>
          </cell>
        </row>
        <row r="303">
          <cell r="J303" t="str">
            <v>Lanjutan</v>
          </cell>
        </row>
        <row r="305">
          <cell r="A305" t="str">
            <v>No.</v>
          </cell>
          <cell r="C305" t="str">
            <v>U R A I A N</v>
          </cell>
          <cell r="G305" t="str">
            <v>KODE</v>
          </cell>
          <cell r="H305" t="str">
            <v>KOEF.</v>
          </cell>
          <cell r="I305" t="str">
            <v>SATUAN</v>
          </cell>
          <cell r="J305" t="str">
            <v>KETERANGAN</v>
          </cell>
        </row>
        <row r="308">
          <cell r="A308" t="str">
            <v xml:space="preserve">   2.g.</v>
          </cell>
          <cell r="C308" t="str">
            <v>ALAT BANTU</v>
          </cell>
          <cell r="J308" t="str">
            <v xml:space="preserve"> Lump Sum</v>
          </cell>
        </row>
        <row r="309">
          <cell r="C309" t="str">
            <v>Diperlukan   :</v>
          </cell>
        </row>
        <row r="310">
          <cell r="C310" t="str">
            <v>- Kereta dorong</v>
          </cell>
          <cell r="D310" t="str">
            <v>=  2  buah.</v>
          </cell>
        </row>
        <row r="311">
          <cell r="C311" t="str">
            <v>- Sekop</v>
          </cell>
          <cell r="D311" t="str">
            <v>=  3  buah.</v>
          </cell>
        </row>
        <row r="312">
          <cell r="C312" t="str">
            <v>- Garpu</v>
          </cell>
          <cell r="D312" t="str">
            <v>=  2  buah.</v>
          </cell>
        </row>
        <row r="314">
          <cell r="A314" t="str">
            <v xml:space="preserve">   3.</v>
          </cell>
          <cell r="C314" t="str">
            <v>TENAGA</v>
          </cell>
        </row>
        <row r="315">
          <cell r="C315" t="str">
            <v>Produksi menentukan : WHEEL LOADER</v>
          </cell>
          <cell r="G315" t="str">
            <v>Q1</v>
          </cell>
          <cell r="H315">
            <v>28.012500000000003</v>
          </cell>
          <cell r="I315" t="str">
            <v>M3/jam</v>
          </cell>
        </row>
        <row r="316">
          <cell r="C316" t="str">
            <v>Produksi agregat / hari  =  Tk x Q1</v>
          </cell>
          <cell r="G316" t="str">
            <v>Qt</v>
          </cell>
          <cell r="H316">
            <v>196.08750000000003</v>
          </cell>
          <cell r="I316" t="str">
            <v>M3</v>
          </cell>
        </row>
        <row r="317">
          <cell r="C317" t="str">
            <v>Kebutuhan tenaga :</v>
          </cell>
        </row>
        <row r="318">
          <cell r="D318" t="str">
            <v>- Pekerja</v>
          </cell>
          <cell r="G318" t="str">
            <v>P</v>
          </cell>
          <cell r="H318">
            <v>7</v>
          </cell>
          <cell r="I318" t="str">
            <v>orang</v>
          </cell>
        </row>
        <row r="319">
          <cell r="D319" t="str">
            <v>- Mandor</v>
          </cell>
          <cell r="G319" t="str">
            <v>M</v>
          </cell>
          <cell r="H319">
            <v>1</v>
          </cell>
          <cell r="I319" t="str">
            <v>orang</v>
          </cell>
        </row>
        <row r="321">
          <cell r="C321" t="str">
            <v>Koefisien tenaga / M3   :</v>
          </cell>
        </row>
        <row r="322">
          <cell r="D322" t="str">
            <v>- Pekerja</v>
          </cell>
          <cell r="E322" t="str">
            <v>= (Tk x P) : Qt</v>
          </cell>
          <cell r="G322" t="str">
            <v>-</v>
          </cell>
          <cell r="H322">
            <v>0.24988844265952695</v>
          </cell>
          <cell r="I322" t="str">
            <v>jam</v>
          </cell>
        </row>
        <row r="323">
          <cell r="D323" t="str">
            <v>- Mandor</v>
          </cell>
          <cell r="E323" t="str">
            <v>= (Tk x M) : Qt</v>
          </cell>
          <cell r="G323" t="str">
            <v>-</v>
          </cell>
          <cell r="H323">
            <v>3.5698348951360995E-2</v>
          </cell>
          <cell r="I323" t="str">
            <v>jam</v>
          </cell>
        </row>
        <row r="325">
          <cell r="A325" t="str">
            <v>4.</v>
          </cell>
          <cell r="C325" t="str">
            <v>HARGA DASAR SATUAN UPAH, BAHAN DAN ALAT</v>
          </cell>
        </row>
        <row r="326">
          <cell r="C326" t="str">
            <v>Lihat lampiran.</v>
          </cell>
        </row>
        <row r="328">
          <cell r="A328" t="str">
            <v>5.</v>
          </cell>
          <cell r="C328" t="str">
            <v>ANALISA HARGA SATUAN PEKERJAAN</v>
          </cell>
        </row>
        <row r="329">
          <cell r="C329" t="str">
            <v>Lihat perhitungan dalam FORMULIR STANDAR UNTUK</v>
          </cell>
        </row>
        <row r="330">
          <cell r="C330" t="str">
            <v>PEREKAMAN ANALISA MASING-MASING HARGA</v>
          </cell>
        </row>
        <row r="331">
          <cell r="C331" t="str">
            <v>SATUAN.</v>
          </cell>
        </row>
        <row r="332">
          <cell r="C332" t="str">
            <v>Didapat Harga Satuan Pekerjaan :</v>
          </cell>
        </row>
        <row r="334">
          <cell r="C334" t="str">
            <v xml:space="preserve">Rp.  </v>
          </cell>
          <cell r="D334">
            <v>339061.22823589185</v>
          </cell>
          <cell r="E334" t="str">
            <v xml:space="preserve"> / M3.</v>
          </cell>
        </row>
        <row r="337">
          <cell r="A337" t="str">
            <v>6.</v>
          </cell>
          <cell r="C337" t="str">
            <v>WAKTU PELAKSANAAN YANG DIPERLUKAN</v>
          </cell>
        </row>
        <row r="338">
          <cell r="C338" t="str">
            <v>Masa Pelaksanaan :</v>
          </cell>
          <cell r="D338" t="str">
            <v>. . . . . . . . . . . .</v>
          </cell>
          <cell r="E338" t="str">
            <v>bulan</v>
          </cell>
        </row>
        <row r="340">
          <cell r="A340" t="str">
            <v>7.</v>
          </cell>
          <cell r="C340" t="str">
            <v>VOLUME PEKERJAAN YANG DIPERLUKAN</v>
          </cell>
        </row>
        <row r="341">
          <cell r="C341" t="str">
            <v>Volume pekerjaan  :</v>
          </cell>
          <cell r="D341">
            <v>1</v>
          </cell>
          <cell r="E341" t="str">
            <v>M3</v>
          </cell>
        </row>
        <row r="359">
          <cell r="A359" t="str">
            <v>ITEM PEMBAYARAN NO.</v>
          </cell>
          <cell r="D359" t="str">
            <v>:  5.1 (3)</v>
          </cell>
          <cell r="J359" t="str">
            <v>Analisa EI-521</v>
          </cell>
          <cell r="T359" t="str">
            <v>Analisa EI-521</v>
          </cell>
        </row>
        <row r="360">
          <cell r="A360" t="str">
            <v>JENIS PEKERJAAN</v>
          </cell>
          <cell r="D360" t="str">
            <v>:  Lapis Pondasi Agregat Kelas C</v>
          </cell>
        </row>
        <row r="361">
          <cell r="A361" t="str">
            <v>SATUAN PEMBAYARAN</v>
          </cell>
          <cell r="D361" t="str">
            <v>:  M3</v>
          </cell>
          <cell r="H361" t="str">
            <v xml:space="preserve">         URAIAN ANALISA HARGA SATUAN</v>
          </cell>
          <cell r="L361" t="str">
            <v>FORMULIR STANDAR UNTUK</v>
          </cell>
        </row>
        <row r="362">
          <cell r="L362" t="str">
            <v>PEREKAMAN ANALISA MASING-MASING HARGA SATUAN</v>
          </cell>
        </row>
        <row r="363">
          <cell r="L363" t="str">
            <v/>
          </cell>
        </row>
        <row r="364">
          <cell r="A364" t="str">
            <v>No.</v>
          </cell>
          <cell r="C364" t="str">
            <v>U R A I A N</v>
          </cell>
          <cell r="G364" t="str">
            <v>KODE</v>
          </cell>
          <cell r="H364" t="str">
            <v>KOEF.</v>
          </cell>
          <cell r="I364" t="str">
            <v>SATUAN</v>
          </cell>
          <cell r="J364" t="str">
            <v>KETERANGAN</v>
          </cell>
        </row>
        <row r="366">
          <cell r="L366" t="str">
            <v>PROYEK</v>
          </cell>
          <cell r="O366" t="str">
            <v xml:space="preserve">:  </v>
          </cell>
        </row>
        <row r="367">
          <cell r="A367" t="str">
            <v>I.</v>
          </cell>
          <cell r="C367" t="str">
            <v>ASUMSI</v>
          </cell>
          <cell r="L367" t="str">
            <v>No. PAKET KONTRAK</v>
          </cell>
          <cell r="O367" t="str">
            <v xml:space="preserve">:  </v>
          </cell>
        </row>
        <row r="368">
          <cell r="A368">
            <v>1</v>
          </cell>
          <cell r="C368" t="str">
            <v>Menggunakan alat berat (cara mekanik)</v>
          </cell>
          <cell r="L368" t="str">
            <v>NAMA PAKET</v>
          </cell>
          <cell r="O368" t="str">
            <v xml:space="preserve">:  </v>
          </cell>
        </row>
        <row r="369">
          <cell r="A369">
            <v>2</v>
          </cell>
          <cell r="C369" t="str">
            <v>Lokasi pekerjaan : sepanjang jalan</v>
          </cell>
          <cell r="L369" t="str">
            <v>PROP / KAB / KODYA</v>
          </cell>
          <cell r="O369" t="str">
            <v xml:space="preserve">:  </v>
          </cell>
        </row>
        <row r="370">
          <cell r="A370">
            <v>3</v>
          </cell>
          <cell r="C370" t="str">
            <v>Kondisi existing jalan : sedang</v>
          </cell>
          <cell r="L370" t="str">
            <v>ITEM PEMBAYARAN NO.</v>
          </cell>
          <cell r="O370" t="str">
            <v>:  5.1 (3)</v>
          </cell>
          <cell r="R370" t="str">
            <v>PERKIRAAN VOL. PEK.</v>
          </cell>
          <cell r="T370" t="str">
            <v>:</v>
          </cell>
          <cell r="U370">
            <v>1</v>
          </cell>
        </row>
        <row r="371">
          <cell r="A371">
            <v>4</v>
          </cell>
          <cell r="C371" t="str">
            <v>Jarak rata-rata Base Camp ke lokasi pekerjaan</v>
          </cell>
          <cell r="G371" t="str">
            <v>L</v>
          </cell>
          <cell r="H371">
            <v>8.7249999999999996</v>
          </cell>
          <cell r="I371" t="str">
            <v>KM</v>
          </cell>
          <cell r="L371" t="str">
            <v>JENIS PEKERJAAN</v>
          </cell>
          <cell r="O371" t="str">
            <v>:  Lapis Pondasi Agregat Kelas C</v>
          </cell>
          <cell r="R371" t="str">
            <v>TOTAL HARGA</v>
          </cell>
          <cell r="T371" t="str">
            <v>:</v>
          </cell>
          <cell r="U371">
            <v>252395.66</v>
          </cell>
        </row>
        <row r="372">
          <cell r="A372">
            <v>5</v>
          </cell>
          <cell r="C372" t="str">
            <v>Tebal lapis Agregat padat</v>
          </cell>
          <cell r="G372" t="str">
            <v>t</v>
          </cell>
          <cell r="H372">
            <v>0.15</v>
          </cell>
          <cell r="I372" t="str">
            <v>M</v>
          </cell>
          <cell r="L372" t="str">
            <v>SATUAN PEMBAYARAN</v>
          </cell>
          <cell r="O372" t="str">
            <v>:  M3</v>
          </cell>
          <cell r="R372" t="str">
            <v>% THD. BIAYA PROYEK</v>
          </cell>
          <cell r="T372" t="str">
            <v>:</v>
          </cell>
          <cell r="U372">
            <v>6.005925037550471E-3</v>
          </cell>
        </row>
        <row r="373">
          <cell r="A373">
            <v>6</v>
          </cell>
          <cell r="C373" t="str">
            <v>Faktor kembang material (Padat-Lepas)</v>
          </cell>
          <cell r="G373" t="str">
            <v>Fk</v>
          </cell>
          <cell r="H373">
            <v>1.35</v>
          </cell>
          <cell r="I373" t="str">
            <v>-</v>
          </cell>
        </row>
        <row r="374">
          <cell r="A374">
            <v>7</v>
          </cell>
          <cell r="C374" t="str">
            <v>Jam kerja efektif per-hari</v>
          </cell>
          <cell r="G374" t="str">
            <v>Tk</v>
          </cell>
          <cell r="H374">
            <v>7</v>
          </cell>
          <cell r="I374" t="str">
            <v>Jam</v>
          </cell>
        </row>
        <row r="375">
          <cell r="Q375" t="str">
            <v>PERKIRAAN</v>
          </cell>
          <cell r="R375" t="str">
            <v>HARGA</v>
          </cell>
          <cell r="S375" t="str">
            <v>JUMLAH</v>
          </cell>
        </row>
        <row r="376">
          <cell r="A376" t="str">
            <v>II.</v>
          </cell>
          <cell r="C376" t="str">
            <v>URUTAN KERJA</v>
          </cell>
          <cell r="L376" t="str">
            <v>NO.</v>
          </cell>
          <cell r="N376" t="str">
            <v>KOMPONEN</v>
          </cell>
          <cell r="P376" t="str">
            <v>SATUAN</v>
          </cell>
          <cell r="Q376" t="str">
            <v>KUANTITAS</v>
          </cell>
          <cell r="R376" t="str">
            <v>SATUAN</v>
          </cell>
          <cell r="S376" t="str">
            <v>HARGA</v>
          </cell>
        </row>
        <row r="377">
          <cell r="A377">
            <v>1</v>
          </cell>
          <cell r="C377" t="str">
            <v>Wheel Loader memuat Agregat ke dalam Dump</v>
          </cell>
          <cell r="R377" t="str">
            <v>(Rp.)</v>
          </cell>
          <cell r="S377" t="str">
            <v>(Rp.)</v>
          </cell>
        </row>
        <row r="378">
          <cell r="C378" t="str">
            <v>Tuck di Base Camp</v>
          </cell>
        </row>
        <row r="379">
          <cell r="A379">
            <v>2</v>
          </cell>
          <cell r="C379" t="str">
            <v>Dump Truck mengangkut Agregat ke lokasi</v>
          </cell>
        </row>
        <row r="380">
          <cell r="C380" t="str">
            <v>pekerjaandan dihampar dengan Motor Grader</v>
          </cell>
          <cell r="L380" t="str">
            <v>A.</v>
          </cell>
          <cell r="N380" t="str">
            <v>TENAGA</v>
          </cell>
        </row>
        <row r="381">
          <cell r="A381">
            <v>3</v>
          </cell>
          <cell r="C381" t="str">
            <v>Hamparan Agregat dibasahi dengan Water Tank</v>
          </cell>
        </row>
        <row r="382">
          <cell r="C382" t="str">
            <v>Truck sebelum dipadatkan dengan Tandem</v>
          </cell>
          <cell r="L382" t="str">
            <v>1.</v>
          </cell>
          <cell r="N382" t="str">
            <v>Pekerja</v>
          </cell>
          <cell r="O382" t="str">
            <v>(L01)</v>
          </cell>
          <cell r="P382" t="str">
            <v>Jam</v>
          </cell>
          <cell r="Q382">
            <v>7.0281124497991981E-2</v>
          </cell>
          <cell r="R382">
            <v>2857.14</v>
          </cell>
          <cell r="U382">
            <v>200.80301204819281</v>
          </cell>
        </row>
        <row r="383">
          <cell r="C383" t="str">
            <v>Roller dan Pneumatic  Tire Roller</v>
          </cell>
          <cell r="L383" t="str">
            <v>2.</v>
          </cell>
          <cell r="N383" t="str">
            <v>Mandor</v>
          </cell>
          <cell r="O383" t="str">
            <v>(L03)</v>
          </cell>
          <cell r="P383" t="str">
            <v>Jam</v>
          </cell>
          <cell r="Q383">
            <v>1.0040160642570283E-2</v>
          </cell>
          <cell r="R383">
            <v>3214.29</v>
          </cell>
          <cell r="U383">
            <v>32.271987951807233</v>
          </cell>
        </row>
        <row r="384">
          <cell r="A384">
            <v>4</v>
          </cell>
          <cell r="C384" t="str">
            <v>Selama pemadatan sekelompok pekerja akan</v>
          </cell>
        </row>
        <row r="385">
          <cell r="C385" t="str">
            <v>merapikan tepi hamparan dan level permukaan</v>
          </cell>
        </row>
        <row r="386">
          <cell r="C386" t="str">
            <v>dengan menggunakan alat bantu</v>
          </cell>
          <cell r="Q386" t="str">
            <v xml:space="preserve">JUMLAH HARGA TENAGA   </v>
          </cell>
          <cell r="U386">
            <v>233.07500000000005</v>
          </cell>
        </row>
        <row r="388">
          <cell r="A388" t="str">
            <v>III.</v>
          </cell>
          <cell r="C388" t="str">
            <v>PEMAKAIAN BAHAN, ALAT DAN TENAGA</v>
          </cell>
          <cell r="L388" t="str">
            <v>B.</v>
          </cell>
          <cell r="N388" t="str">
            <v>BAHAN</v>
          </cell>
        </row>
        <row r="390">
          <cell r="A390" t="str">
            <v xml:space="preserve">   1.</v>
          </cell>
          <cell r="C390" t="str">
            <v>BAHAN</v>
          </cell>
          <cell r="L390" t="str">
            <v>1.</v>
          </cell>
          <cell r="N390" t="str">
            <v>Agregat Kelas C1 (M28)</v>
          </cell>
          <cell r="P390" t="str">
            <v>M3</v>
          </cell>
          <cell r="Q390">
            <v>1.35</v>
          </cell>
          <cell r="R390">
            <v>141787.08464737452</v>
          </cell>
          <cell r="U390">
            <v>191412.56427395562</v>
          </cell>
        </row>
        <row r="391">
          <cell r="C391" t="str">
            <v>Material Agregat Kelas C hasil produksi di Base Camp</v>
          </cell>
        </row>
        <row r="392">
          <cell r="C392" t="str">
            <v>Setiap 1 M3 Agregat padat diperlukan : 1 x Fk</v>
          </cell>
          <cell r="G392" t="str">
            <v>(M28)</v>
          </cell>
          <cell r="H392">
            <v>1.35</v>
          </cell>
          <cell r="I392" t="str">
            <v>M3</v>
          </cell>
          <cell r="J392" t="str">
            <v xml:space="preserve"> Agregat lepas</v>
          </cell>
        </row>
        <row r="394">
          <cell r="A394" t="str">
            <v xml:space="preserve">   2.</v>
          </cell>
          <cell r="C394" t="str">
            <v>ALAT</v>
          </cell>
        </row>
        <row r="395">
          <cell r="A395" t="str">
            <v>2.a.</v>
          </cell>
          <cell r="C395" t="str">
            <v>WHEEL LOADER</v>
          </cell>
          <cell r="G395" t="str">
            <v>(E15)</v>
          </cell>
        </row>
        <row r="396">
          <cell r="C396" t="str">
            <v>Kapasitas bucket</v>
          </cell>
          <cell r="G396" t="str">
            <v>V</v>
          </cell>
          <cell r="H396">
            <v>1.5</v>
          </cell>
          <cell r="I396" t="str">
            <v>M3</v>
          </cell>
          <cell r="Q396" t="str">
            <v xml:space="preserve">JUMLAH HARGA BAHAN   </v>
          </cell>
          <cell r="U396">
            <v>191412.56427395562</v>
          </cell>
        </row>
        <row r="397">
          <cell r="C397" t="str">
            <v>Faktor bucket</v>
          </cell>
          <cell r="G397" t="str">
            <v>Fb</v>
          </cell>
          <cell r="H397">
            <v>0.9</v>
          </cell>
          <cell r="I397" t="str">
            <v>-</v>
          </cell>
          <cell r="J397" t="str">
            <v>Pemuatan ringan</v>
          </cell>
        </row>
        <row r="398">
          <cell r="C398" t="str">
            <v>Faktor Efisiensi alat</v>
          </cell>
          <cell r="G398" t="str">
            <v>Fa</v>
          </cell>
          <cell r="H398">
            <v>0.83</v>
          </cell>
          <cell r="I398" t="str">
            <v>-</v>
          </cell>
          <cell r="L398" t="str">
            <v>C.</v>
          </cell>
          <cell r="N398" t="str">
            <v>PERALATAN</v>
          </cell>
        </row>
        <row r="399">
          <cell r="C399" t="str">
            <v>Waktu siklus</v>
          </cell>
          <cell r="G399" t="str">
            <v>Ts1</v>
          </cell>
        </row>
        <row r="400">
          <cell r="C400" t="str">
            <v>- Muat</v>
          </cell>
          <cell r="G400" t="str">
            <v>T1</v>
          </cell>
          <cell r="H400">
            <v>0.25</v>
          </cell>
          <cell r="I400" t="str">
            <v>menit</v>
          </cell>
          <cell r="L400" t="str">
            <v>1.</v>
          </cell>
          <cell r="N400" t="str">
            <v>Wheel Loader</v>
          </cell>
          <cell r="O400" t="str">
            <v>(E15)</v>
          </cell>
          <cell r="P400" t="str">
            <v>Jam</v>
          </cell>
          <cell r="Q400">
            <v>1.0040160642570281E-2</v>
          </cell>
          <cell r="R400">
            <v>163808.13869490434</v>
          </cell>
          <cell r="U400">
            <v>1644.6600270572724</v>
          </cell>
        </row>
        <row r="401">
          <cell r="C401" t="str">
            <v>- Lain-lain</v>
          </cell>
          <cell r="G401" t="str">
            <v>T2</v>
          </cell>
          <cell r="H401">
            <v>0.25</v>
          </cell>
          <cell r="I401" t="str">
            <v>menit</v>
          </cell>
          <cell r="L401" t="str">
            <v>2.</v>
          </cell>
          <cell r="N401" t="str">
            <v>Dump Truck</v>
          </cell>
          <cell r="O401" t="str">
            <v>(E08)</v>
          </cell>
          <cell r="P401" t="str">
            <v>Jam</v>
          </cell>
          <cell r="Q401">
            <v>0.17463233959936131</v>
          </cell>
          <cell r="R401">
            <v>153645.58193291764</v>
          </cell>
          <cell r="U401">
            <v>26831.487442050766</v>
          </cell>
        </row>
        <row r="402">
          <cell r="G402" t="str">
            <v>Ts1</v>
          </cell>
          <cell r="H402">
            <v>0.5</v>
          </cell>
          <cell r="I402" t="str">
            <v>menit</v>
          </cell>
          <cell r="L402" t="str">
            <v>3.</v>
          </cell>
          <cell r="N402" t="str">
            <v>Motor Grader</v>
          </cell>
          <cell r="O402" t="str">
            <v>(E13)</v>
          </cell>
          <cell r="P402" t="str">
            <v>Jam</v>
          </cell>
          <cell r="Q402">
            <v>1.1713520749665328E-2</v>
          </cell>
          <cell r="R402">
            <v>201666.62574070093</v>
          </cell>
          <cell r="U402">
            <v>2362.2262051286921</v>
          </cell>
        </row>
        <row r="403">
          <cell r="L403" t="str">
            <v>4.</v>
          </cell>
          <cell r="N403" t="str">
            <v>Vibratory Roller</v>
          </cell>
          <cell r="O403" t="str">
            <v>(E19)</v>
          </cell>
          <cell r="P403" t="str">
            <v>Jam</v>
          </cell>
          <cell r="Q403">
            <v>2.1419009370816599E-2</v>
          </cell>
          <cell r="R403">
            <v>234734.82748629327</v>
          </cell>
          <cell r="U403">
            <v>5027.7874695859336</v>
          </cell>
        </row>
        <row r="404">
          <cell r="C404" t="str">
            <v>Kap. Prod. / jam =</v>
          </cell>
          <cell r="D404" t="str">
            <v>V x Fb x Fa x 60</v>
          </cell>
          <cell r="G404" t="str">
            <v>Q1</v>
          </cell>
          <cell r="H404">
            <v>99.6</v>
          </cell>
          <cell r="I404" t="str">
            <v>M3</v>
          </cell>
          <cell r="L404" t="str">
            <v>5.</v>
          </cell>
          <cell r="N404" t="str">
            <v>P. Tyre Roller</v>
          </cell>
          <cell r="O404" t="str">
            <v>(E18)</v>
          </cell>
          <cell r="P404" t="str">
            <v>Jam</v>
          </cell>
          <cell r="Q404">
            <v>4.2838018741633201E-3</v>
          </cell>
          <cell r="R404">
            <v>113384.24751021285</v>
          </cell>
          <cell r="U404">
            <v>485.71565198484757</v>
          </cell>
        </row>
        <row r="405">
          <cell r="D405" t="str">
            <v>Fk x Ts1</v>
          </cell>
          <cell r="L405" t="str">
            <v>6.</v>
          </cell>
          <cell r="N405" t="str">
            <v>Water Tanker</v>
          </cell>
          <cell r="O405" t="str">
            <v>(E23)</v>
          </cell>
          <cell r="P405" t="str">
            <v>Jam</v>
          </cell>
          <cell r="Q405">
            <v>2.1084337349397592E-2</v>
          </cell>
          <cell r="R405">
            <v>67020.510980434308</v>
          </cell>
          <cell r="U405">
            <v>1413.0830628404826</v>
          </cell>
        </row>
        <row r="406">
          <cell r="C406" t="str">
            <v>Koefisien Alat / M3</v>
          </cell>
          <cell r="D406" t="str">
            <v xml:space="preserve"> =  1  :  Q1</v>
          </cell>
          <cell r="G406" t="str">
            <v>(E15)</v>
          </cell>
          <cell r="H406">
            <v>1.0040160642570281E-2</v>
          </cell>
          <cell r="I406" t="str">
            <v>Jam</v>
          </cell>
          <cell r="L406" t="str">
            <v>7.</v>
          </cell>
          <cell r="N406" t="str">
            <v>Alat Bantu</v>
          </cell>
          <cell r="P406" t="str">
            <v>Ls</v>
          </cell>
          <cell r="Q406">
            <v>1</v>
          </cell>
          <cell r="R406">
            <v>40</v>
          </cell>
          <cell r="U406">
            <v>40</v>
          </cell>
        </row>
        <row r="408">
          <cell r="A408" t="str">
            <v>2.b.</v>
          </cell>
          <cell r="C408" t="str">
            <v>DUMP TRUCK</v>
          </cell>
          <cell r="G408" t="str">
            <v>(E08)</v>
          </cell>
          <cell r="Q408" t="str">
            <v xml:space="preserve">JUMLAH HARGA PERALATAN   </v>
          </cell>
          <cell r="U408">
            <v>37804.959858647991</v>
          </cell>
        </row>
        <row r="409">
          <cell r="C409" t="str">
            <v>Kapasitas bak</v>
          </cell>
          <cell r="G409" t="str">
            <v>V</v>
          </cell>
          <cell r="H409">
            <v>4</v>
          </cell>
          <cell r="I409" t="str">
            <v>M3</v>
          </cell>
        </row>
        <row r="410">
          <cell r="C410" t="str">
            <v>Faktor Efisiensi alat</v>
          </cell>
          <cell r="G410" t="str">
            <v>Fa</v>
          </cell>
          <cell r="H410">
            <v>0.83</v>
          </cell>
          <cell r="I410" t="str">
            <v>-</v>
          </cell>
          <cell r="L410" t="str">
            <v>D.</v>
          </cell>
          <cell r="N410" t="str">
            <v>JUMLAH HARGA TENAGA, BAHAN DAN PERALATAN  ( A + B + C )</v>
          </cell>
          <cell r="U410">
            <v>229450.59913260362</v>
          </cell>
        </row>
        <row r="411">
          <cell r="C411" t="str">
            <v>Kecepatan rata-rata bermuatan</v>
          </cell>
          <cell r="G411" t="str">
            <v>v1</v>
          </cell>
          <cell r="H411">
            <v>45</v>
          </cell>
          <cell r="I411" t="str">
            <v>KM / Jam</v>
          </cell>
          <cell r="L411" t="str">
            <v>E.</v>
          </cell>
          <cell r="N411" t="str">
            <v>OVERHEAD &amp; PROFIT</v>
          </cell>
          <cell r="P411">
            <v>10</v>
          </cell>
          <cell r="Q411" t="str">
            <v>%  x  D</v>
          </cell>
          <cell r="U411">
            <v>22945.059913260364</v>
          </cell>
        </row>
        <row r="412">
          <cell r="C412" t="str">
            <v>Kecepatan rata-rata kosong</v>
          </cell>
          <cell r="G412" t="str">
            <v>v2</v>
          </cell>
          <cell r="H412">
            <v>60</v>
          </cell>
          <cell r="I412" t="str">
            <v>KM / Jam</v>
          </cell>
          <cell r="L412" t="str">
            <v>F.</v>
          </cell>
          <cell r="N412" t="str">
            <v>HARGA SATUAN PEKERJAAN  ( D + E )</v>
          </cell>
          <cell r="U412">
            <v>252395.65904586398</v>
          </cell>
        </row>
        <row r="413">
          <cell r="C413" t="str">
            <v>Waktu Siklus  :  - Waktu memuat = V : Q1 x 60</v>
          </cell>
          <cell r="G413" t="str">
            <v>T1</v>
          </cell>
          <cell r="H413">
            <v>2.4096385542168672</v>
          </cell>
          <cell r="I413" t="str">
            <v>menit</v>
          </cell>
          <cell r="L413" t="str">
            <v>Note: 1</v>
          </cell>
          <cell r="N413" t="str">
            <v>SATUAN dapat berdasarkan atas jam operasi untuk Tenaga Kerja dan Peralatan, volume dan/atau ukuran</v>
          </cell>
        </row>
        <row r="414">
          <cell r="C414" t="str">
            <v>- Waktu tempuh isi  =  (L : v1) x 60 menit</v>
          </cell>
          <cell r="G414" t="str">
            <v>T2</v>
          </cell>
          <cell r="H414">
            <v>11.633333333333333</v>
          </cell>
          <cell r="I414" t="str">
            <v>menit</v>
          </cell>
          <cell r="N414" t="str">
            <v>berat untuk bahan-bahan.</v>
          </cell>
        </row>
        <row r="415">
          <cell r="C415" t="str">
            <v>- Waktu tempuh kosong  =  (L : v2) x 60 menit</v>
          </cell>
          <cell r="G415" t="str">
            <v>T3</v>
          </cell>
          <cell r="H415">
            <v>8.7249999999999996</v>
          </cell>
          <cell r="I415" t="str">
            <v>menit</v>
          </cell>
          <cell r="L415">
            <v>2</v>
          </cell>
          <cell r="N415" t="str">
            <v>Kuantitas satuan adalah kuantitas setiap komponen untuk menyelesaikan satu satuan pekerjaan dari nomor</v>
          </cell>
        </row>
        <row r="416">
          <cell r="C416" t="str">
            <v>- Dump dan lain-lain</v>
          </cell>
          <cell r="G416" t="str">
            <v>T4</v>
          </cell>
          <cell r="H416">
            <v>3</v>
          </cell>
          <cell r="I416" t="str">
            <v>menit</v>
          </cell>
          <cell r="N416" t="str">
            <v>mata pembayaran.</v>
          </cell>
        </row>
        <row r="417">
          <cell r="G417" t="str">
            <v>Ts2</v>
          </cell>
          <cell r="H417">
            <v>25.7679718875502</v>
          </cell>
          <cell r="I417" t="str">
            <v>menit</v>
          </cell>
          <cell r="L417">
            <v>3</v>
          </cell>
          <cell r="N417" t="str">
            <v>Biaya satuan untuk peralatan sudah termasuk bahan bakar, bahan habis dipakai dan operator.</v>
          </cell>
        </row>
        <row r="418">
          <cell r="L418">
            <v>4</v>
          </cell>
          <cell r="N418" t="str">
            <v>Biaya satuan sudah termasuk pengeluaran untuk seluruh pajak yang berkaitan (tetapi tidak termasuk PPN</v>
          </cell>
        </row>
        <row r="419">
          <cell r="J419" t="str">
            <v>Berlanjut ke hal. berikut</v>
          </cell>
          <cell r="N419" t="str">
            <v>yang dibayar dari kontrak) dan biaya-biaya lainnya.</v>
          </cell>
        </row>
        <row r="420">
          <cell r="A420" t="str">
            <v>ITEM PEMBAYARAN NO.</v>
          </cell>
          <cell r="D420" t="str">
            <v>:  5.1 (3)</v>
          </cell>
          <cell r="J420" t="str">
            <v>Analisa EI-521</v>
          </cell>
        </row>
        <row r="421">
          <cell r="A421" t="str">
            <v>JENIS PEKERJAAN</v>
          </cell>
          <cell r="D421" t="str">
            <v>:  Lapis Pondasi Agregat Kelas C</v>
          </cell>
        </row>
        <row r="422">
          <cell r="A422" t="str">
            <v>SATUAN PEMBAYARAN</v>
          </cell>
          <cell r="D422" t="str">
            <v>:  M3</v>
          </cell>
          <cell r="H422" t="str">
            <v xml:space="preserve">         URAIAN ANALISA HARGA SATUAN</v>
          </cell>
        </row>
        <row r="423">
          <cell r="J423" t="str">
            <v>Lanjutan</v>
          </cell>
        </row>
        <row r="425">
          <cell r="A425" t="str">
            <v>No.</v>
          </cell>
          <cell r="C425" t="str">
            <v>U R A I A N</v>
          </cell>
          <cell r="G425" t="str">
            <v>KODE</v>
          </cell>
          <cell r="H425" t="str">
            <v>KOEF.</v>
          </cell>
          <cell r="I425" t="str">
            <v>SATUAN</v>
          </cell>
          <cell r="J425" t="str">
            <v>KETERANGAN</v>
          </cell>
        </row>
        <row r="428">
          <cell r="C428" t="str">
            <v xml:space="preserve">Kap. Prod./jam = </v>
          </cell>
          <cell r="D428" t="str">
            <v>V x Fa x 60</v>
          </cell>
          <cell r="G428" t="str">
            <v>Q2</v>
          </cell>
          <cell r="H428">
            <v>5.7263162269610763</v>
          </cell>
          <cell r="I428" t="str">
            <v>M3</v>
          </cell>
        </row>
        <row r="429">
          <cell r="D429" t="str">
            <v>Fk x Ts2</v>
          </cell>
        </row>
        <row r="430">
          <cell r="C430" t="str">
            <v>Koefisien Alat / M3</v>
          </cell>
          <cell r="D430" t="str">
            <v xml:space="preserve"> = 1 : Q2</v>
          </cell>
          <cell r="G430" t="str">
            <v>(E08)</v>
          </cell>
          <cell r="H430">
            <v>0.17463233959936131</v>
          </cell>
          <cell r="I430" t="str">
            <v>Jam</v>
          </cell>
        </row>
        <row r="432">
          <cell r="A432" t="str">
            <v>2.c.</v>
          </cell>
          <cell r="C432" t="str">
            <v>MOTOR GRADER</v>
          </cell>
          <cell r="G432" t="str">
            <v>(E13)</v>
          </cell>
        </row>
        <row r="433">
          <cell r="C433" t="str">
            <v>Panjang hamparan</v>
          </cell>
          <cell r="G433" t="str">
            <v>Lh</v>
          </cell>
          <cell r="H433">
            <v>50</v>
          </cell>
          <cell r="I433" t="str">
            <v>M</v>
          </cell>
        </row>
        <row r="434">
          <cell r="C434" t="str">
            <v>Lebar efektif kerja blade</v>
          </cell>
          <cell r="G434" t="str">
            <v>b</v>
          </cell>
          <cell r="H434">
            <v>2.4</v>
          </cell>
          <cell r="I434" t="str">
            <v>M</v>
          </cell>
        </row>
        <row r="435">
          <cell r="C435" t="str">
            <v>Faktor Efisiensi alat</v>
          </cell>
          <cell r="G435" t="str">
            <v>Fa</v>
          </cell>
          <cell r="H435">
            <v>0.83</v>
          </cell>
          <cell r="I435" t="str">
            <v>-</v>
          </cell>
        </row>
        <row r="436">
          <cell r="C436" t="str">
            <v>Kecepatan rata-rata alat</v>
          </cell>
          <cell r="G436" t="str">
            <v>v</v>
          </cell>
          <cell r="H436">
            <v>4</v>
          </cell>
          <cell r="I436" t="str">
            <v>KM / Jam</v>
          </cell>
        </row>
        <row r="437">
          <cell r="C437" t="str">
            <v>Jumlah lintasan</v>
          </cell>
          <cell r="G437" t="str">
            <v>n</v>
          </cell>
          <cell r="H437">
            <v>6</v>
          </cell>
          <cell r="I437" t="str">
            <v>lintasan</v>
          </cell>
          <cell r="J437" t="str">
            <v>3 x pp</v>
          </cell>
        </row>
        <row r="438">
          <cell r="C438" t="str">
            <v>Waktu Siklus</v>
          </cell>
          <cell r="G438" t="str">
            <v>Ts3</v>
          </cell>
        </row>
        <row r="439">
          <cell r="C439" t="str">
            <v>- Perataan 1 lintasan  = (Lh x 60) : (v x 1000)</v>
          </cell>
          <cell r="G439" t="str">
            <v>T1</v>
          </cell>
          <cell r="H439">
            <v>0.75</v>
          </cell>
          <cell r="I439" t="str">
            <v>menit</v>
          </cell>
        </row>
        <row r="440">
          <cell r="C440" t="str">
            <v>- Lain-lain</v>
          </cell>
          <cell r="G440" t="str">
            <v>T2</v>
          </cell>
          <cell r="H440">
            <v>1</v>
          </cell>
          <cell r="I440" t="str">
            <v>menit</v>
          </cell>
        </row>
        <row r="441">
          <cell r="G441" t="str">
            <v>Ts3</v>
          </cell>
          <cell r="H441">
            <v>1.75</v>
          </cell>
          <cell r="I441" t="str">
            <v>menit</v>
          </cell>
        </row>
        <row r="443">
          <cell r="C443" t="str">
            <v>Kap.Prod. / jam =</v>
          </cell>
          <cell r="D443" t="str">
            <v>Lh x b x t x Fa x 60</v>
          </cell>
          <cell r="G443" t="str">
            <v>Q3</v>
          </cell>
          <cell r="H443">
            <v>85.371428571428567</v>
          </cell>
          <cell r="I443" t="str">
            <v>M3</v>
          </cell>
        </row>
        <row r="444">
          <cell r="D444" t="str">
            <v>n x Ts3</v>
          </cell>
        </row>
        <row r="445">
          <cell r="C445" t="str">
            <v>Koefisien Alat / M3</v>
          </cell>
          <cell r="D445" t="str">
            <v xml:space="preserve"> = 1 : Q3</v>
          </cell>
          <cell r="G445" t="str">
            <v>(E13)</v>
          </cell>
          <cell r="H445">
            <v>1.1713520749665328E-2</v>
          </cell>
          <cell r="I445" t="str">
            <v>Jam</v>
          </cell>
        </row>
        <row r="447">
          <cell r="A447" t="str">
            <v>2.d.</v>
          </cell>
          <cell r="C447" t="str">
            <v>VIBRATORY ROLLER</v>
          </cell>
          <cell r="G447" t="str">
            <v>(E19)</v>
          </cell>
        </row>
        <row r="448">
          <cell r="C448" t="str">
            <v>Kecepatan rata-rata</v>
          </cell>
          <cell r="G448" t="str">
            <v>v</v>
          </cell>
          <cell r="H448">
            <v>2.5</v>
          </cell>
          <cell r="I448" t="str">
            <v>KM / Jam</v>
          </cell>
        </row>
        <row r="449">
          <cell r="C449" t="str">
            <v>Lebar efektif pemadatan</v>
          </cell>
          <cell r="G449" t="str">
            <v>b</v>
          </cell>
          <cell r="H449">
            <v>1.2</v>
          </cell>
          <cell r="I449" t="str">
            <v>M</v>
          </cell>
        </row>
        <row r="450">
          <cell r="C450" t="str">
            <v>Jumlah lintasan</v>
          </cell>
          <cell r="G450" t="str">
            <v>n</v>
          </cell>
          <cell r="H450">
            <v>8</v>
          </cell>
          <cell r="I450" t="str">
            <v>lintasan</v>
          </cell>
        </row>
        <row r="451">
          <cell r="C451" t="str">
            <v>Faktor Efisiensi alat</v>
          </cell>
          <cell r="G451" t="str">
            <v>Fa</v>
          </cell>
          <cell r="H451">
            <v>0.83</v>
          </cell>
          <cell r="I451" t="str">
            <v>-</v>
          </cell>
        </row>
        <row r="453">
          <cell r="C453" t="str">
            <v>Kap.Prod. / jam =</v>
          </cell>
          <cell r="D453" t="str">
            <v>(v x 1000) x b x t x Fa</v>
          </cell>
          <cell r="G453" t="str">
            <v>Q4</v>
          </cell>
          <cell r="H453">
            <v>46.6875</v>
          </cell>
          <cell r="I453" t="str">
            <v>M3</v>
          </cell>
        </row>
        <row r="454">
          <cell r="D454" t="str">
            <v>n</v>
          </cell>
        </row>
        <row r="455">
          <cell r="C455" t="str">
            <v>Koefisien Alat / M3</v>
          </cell>
          <cell r="D455" t="str">
            <v xml:space="preserve"> = 1 : Q4</v>
          </cell>
          <cell r="G455" t="str">
            <v>(E19)</v>
          </cell>
          <cell r="H455">
            <v>2.1419009370816599E-2</v>
          </cell>
          <cell r="I455" t="str">
            <v>Jam</v>
          </cell>
        </row>
        <row r="457">
          <cell r="A457" t="str">
            <v>2.e.</v>
          </cell>
          <cell r="C457" t="str">
            <v>PNEUMATIC TIRE ROLLER</v>
          </cell>
          <cell r="G457" t="str">
            <v>(E18)</v>
          </cell>
        </row>
        <row r="458">
          <cell r="C458" t="str">
            <v>Kecepatan rata-rata alat</v>
          </cell>
          <cell r="G458" t="str">
            <v>v</v>
          </cell>
          <cell r="H458">
            <v>5</v>
          </cell>
          <cell r="I458" t="str">
            <v>KM / Jam</v>
          </cell>
        </row>
        <row r="459">
          <cell r="C459" t="str">
            <v>Lebar efektif pemadatan</v>
          </cell>
          <cell r="G459" t="str">
            <v>b</v>
          </cell>
          <cell r="H459">
            <v>1.5</v>
          </cell>
          <cell r="I459" t="str">
            <v>M</v>
          </cell>
        </row>
        <row r="460">
          <cell r="C460" t="str">
            <v>Jumlah lintasan</v>
          </cell>
          <cell r="G460" t="str">
            <v>n</v>
          </cell>
          <cell r="H460">
            <v>4</v>
          </cell>
          <cell r="I460" t="str">
            <v>lintasan</v>
          </cell>
        </row>
        <row r="461">
          <cell r="C461" t="str">
            <v>Faktor Efisiensi alat</v>
          </cell>
          <cell r="G461" t="str">
            <v>Fa</v>
          </cell>
          <cell r="H461">
            <v>0.83</v>
          </cell>
          <cell r="I461" t="str">
            <v>-</v>
          </cell>
        </row>
        <row r="463">
          <cell r="C463" t="str">
            <v>Kap.Prod. / jam =</v>
          </cell>
          <cell r="D463" t="str">
            <v>(v x 1000) x b x t x Fa</v>
          </cell>
          <cell r="G463" t="str">
            <v>Q5</v>
          </cell>
          <cell r="H463">
            <v>233.4375</v>
          </cell>
          <cell r="I463" t="str">
            <v>M3</v>
          </cell>
        </row>
        <row r="464">
          <cell r="D464" t="str">
            <v>n</v>
          </cell>
        </row>
        <row r="465">
          <cell r="C465" t="str">
            <v>Koefisien Alat / M3</v>
          </cell>
          <cell r="D465" t="str">
            <v xml:space="preserve"> = 1 : Q5</v>
          </cell>
          <cell r="G465" t="str">
            <v>(E18)</v>
          </cell>
          <cell r="H465">
            <v>4.2838018741633201E-3</v>
          </cell>
          <cell r="I465" t="str">
            <v>Jam</v>
          </cell>
        </row>
        <row r="467">
          <cell r="A467" t="str">
            <v>2.f.</v>
          </cell>
          <cell r="C467" t="str">
            <v>WATERTANK TRUCK</v>
          </cell>
          <cell r="G467" t="str">
            <v>(E23)</v>
          </cell>
        </row>
        <row r="468">
          <cell r="C468" t="str">
            <v>Volume tangki air</v>
          </cell>
          <cell r="G468" t="str">
            <v>V</v>
          </cell>
          <cell r="H468">
            <v>4</v>
          </cell>
          <cell r="I468" t="str">
            <v>M3</v>
          </cell>
        </row>
        <row r="469">
          <cell r="C469" t="str">
            <v>Kebutuhan air / M3 agregat padat</v>
          </cell>
          <cell r="G469" t="str">
            <v>Wc</v>
          </cell>
          <cell r="H469">
            <v>7.0000000000000007E-2</v>
          </cell>
          <cell r="I469" t="str">
            <v>M3</v>
          </cell>
        </row>
        <row r="470">
          <cell r="C470" t="str">
            <v>Pengisian tangki / jam</v>
          </cell>
          <cell r="G470" t="str">
            <v>n</v>
          </cell>
          <cell r="H470">
            <v>1</v>
          </cell>
          <cell r="I470" t="str">
            <v>kali</v>
          </cell>
        </row>
        <row r="471">
          <cell r="C471" t="str">
            <v>Faktor Efisiensi alat</v>
          </cell>
          <cell r="G471" t="str">
            <v>Fa</v>
          </cell>
          <cell r="H471">
            <v>0.83</v>
          </cell>
          <cell r="I471" t="str">
            <v>-</v>
          </cell>
        </row>
        <row r="473">
          <cell r="C473" t="str">
            <v>Kap.Prod. / jam =</v>
          </cell>
          <cell r="D473" t="str">
            <v>V x n x Fa</v>
          </cell>
          <cell r="G473" t="str">
            <v>Q6</v>
          </cell>
          <cell r="H473">
            <v>47.428571428571423</v>
          </cell>
          <cell r="I473" t="str">
            <v>M3</v>
          </cell>
        </row>
        <row r="474">
          <cell r="D474" t="str">
            <v>Wc</v>
          </cell>
        </row>
        <row r="475">
          <cell r="C475" t="str">
            <v>Koefisien Alat / M3</v>
          </cell>
          <cell r="D475" t="str">
            <v xml:space="preserve"> = 1 : Q6</v>
          </cell>
          <cell r="G475" t="str">
            <v>(E23)</v>
          </cell>
          <cell r="H475">
            <v>2.1084337349397592E-2</v>
          </cell>
          <cell r="I475" t="str">
            <v>Jam</v>
          </cell>
        </row>
        <row r="478">
          <cell r="J478" t="str">
            <v>Berlanjut ke hal. berikut</v>
          </cell>
        </row>
        <row r="479">
          <cell r="A479" t="str">
            <v>ITEM PEMBAYARAN NO.</v>
          </cell>
          <cell r="D479" t="str">
            <v>:  5.1 (3)</v>
          </cell>
          <cell r="J479" t="str">
            <v>Analisa EI-521</v>
          </cell>
        </row>
        <row r="480">
          <cell r="A480" t="str">
            <v>JENIS PEKERJAAN</v>
          </cell>
          <cell r="D480" t="str">
            <v>:  Lapis Pondasi Agregat Kelas C</v>
          </cell>
        </row>
        <row r="481">
          <cell r="A481" t="str">
            <v>SATUAN PEMBAYARAN</v>
          </cell>
          <cell r="D481" t="str">
            <v>:  M3</v>
          </cell>
          <cell r="H481" t="str">
            <v xml:space="preserve">         URAIAN ANALISA HARGA SATUAN</v>
          </cell>
        </row>
        <row r="482">
          <cell r="J482" t="str">
            <v>Lanjutan</v>
          </cell>
        </row>
        <row r="484">
          <cell r="A484" t="str">
            <v>No.</v>
          </cell>
          <cell r="C484" t="str">
            <v>U R A I A N</v>
          </cell>
          <cell r="G484" t="str">
            <v>KODE</v>
          </cell>
          <cell r="H484" t="str">
            <v>KOEF.</v>
          </cell>
          <cell r="I484" t="str">
            <v>SATUAN</v>
          </cell>
          <cell r="J484" t="str">
            <v>KETERANGAN</v>
          </cell>
        </row>
        <row r="487">
          <cell r="A487" t="str">
            <v>2.g.</v>
          </cell>
          <cell r="C487" t="str">
            <v>ALAT BANTU</v>
          </cell>
        </row>
        <row r="488">
          <cell r="C488" t="str">
            <v>diperlukan :</v>
          </cell>
          <cell r="J488" t="str">
            <v>Lump Sum</v>
          </cell>
        </row>
        <row r="489">
          <cell r="C489" t="str">
            <v>- Kereta dorong     = 2 buah</v>
          </cell>
        </row>
        <row r="490">
          <cell r="C490" t="str">
            <v>- Sekop                = 3 buah</v>
          </cell>
        </row>
        <row r="491">
          <cell r="C491" t="str">
            <v>- Garpu                 = 2 buah</v>
          </cell>
        </row>
        <row r="493">
          <cell r="A493" t="str">
            <v xml:space="preserve">   3.</v>
          </cell>
          <cell r="C493" t="str">
            <v>TENAGA</v>
          </cell>
        </row>
        <row r="494">
          <cell r="C494" t="str">
            <v>Produksi menentukan : WHEEL LOADER</v>
          </cell>
          <cell r="G494" t="str">
            <v>Q1</v>
          </cell>
          <cell r="H494">
            <v>99.6</v>
          </cell>
          <cell r="I494" t="str">
            <v>M3 / Jam</v>
          </cell>
        </row>
        <row r="495">
          <cell r="C495" t="str">
            <v>Produksi Agregat / hari  =  Tk x Q1</v>
          </cell>
          <cell r="G495" t="str">
            <v>Qt</v>
          </cell>
          <cell r="H495">
            <v>697.19999999999993</v>
          </cell>
          <cell r="I495" t="str">
            <v>M3</v>
          </cell>
        </row>
        <row r="496">
          <cell r="C496" t="str">
            <v>Kebutuhan tenaga :</v>
          </cell>
        </row>
        <row r="497">
          <cell r="D497" t="str">
            <v>- Pekerja</v>
          </cell>
          <cell r="G497" t="str">
            <v>P</v>
          </cell>
          <cell r="H497">
            <v>7</v>
          </cell>
          <cell r="I497" t="str">
            <v>orang</v>
          </cell>
        </row>
        <row r="498">
          <cell r="D498" t="str">
            <v>- Mandor</v>
          </cell>
          <cell r="G498" t="str">
            <v>M</v>
          </cell>
          <cell r="H498">
            <v>1</v>
          </cell>
          <cell r="I498" t="str">
            <v>orang</v>
          </cell>
        </row>
        <row r="500">
          <cell r="C500" t="str">
            <v>Koefisien tenaga / M3     :</v>
          </cell>
        </row>
        <row r="501">
          <cell r="D501" t="str">
            <v>- Pekerja</v>
          </cell>
          <cell r="E501" t="str">
            <v>= (Tk x P) : Qt</v>
          </cell>
          <cell r="G501" t="str">
            <v>(L01)</v>
          </cell>
          <cell r="H501">
            <v>7.0281124497991981E-2</v>
          </cell>
          <cell r="I501" t="str">
            <v>Jam</v>
          </cell>
        </row>
        <row r="502">
          <cell r="D502" t="str">
            <v>- Mandor</v>
          </cell>
          <cell r="E502" t="str">
            <v>= (Tk x M) : Qt</v>
          </cell>
          <cell r="G502" t="str">
            <v>(L03)</v>
          </cell>
          <cell r="H502">
            <v>1.0040160642570283E-2</v>
          </cell>
          <cell r="I502" t="str">
            <v>Jam</v>
          </cell>
        </row>
        <row r="504">
          <cell r="A504" t="str">
            <v>4.</v>
          </cell>
          <cell r="C504" t="str">
            <v>HARGA DASAR SATUAN UPAH, BAHAN DAN ALAT</v>
          </cell>
        </row>
        <row r="505">
          <cell r="C505" t="str">
            <v>Lihat lampiran.</v>
          </cell>
        </row>
        <row r="507">
          <cell r="A507" t="str">
            <v>5.</v>
          </cell>
          <cell r="C507" t="str">
            <v>ANALISA HARGA SATUAN PEKERJAAN</v>
          </cell>
        </row>
        <row r="508">
          <cell r="C508" t="str">
            <v>Lihat perhitungan dalam FORMULIR STANDAR UNTUK</v>
          </cell>
        </row>
        <row r="509">
          <cell r="C509" t="str">
            <v>PEREKEMAN ANALISA MASING-MASING HARGA</v>
          </cell>
        </row>
        <row r="510">
          <cell r="C510" t="str">
            <v>SATUAN.</v>
          </cell>
        </row>
        <row r="511">
          <cell r="C511" t="str">
            <v>Didapat Harga Satuan Pekerjaan :</v>
          </cell>
        </row>
        <row r="513">
          <cell r="C513" t="str">
            <v xml:space="preserve">Rp.  </v>
          </cell>
          <cell r="D513">
            <v>252395.65904586398</v>
          </cell>
          <cell r="E513" t="str">
            <v xml:space="preserve"> / M3.</v>
          </cell>
        </row>
        <row r="516">
          <cell r="A516" t="str">
            <v>6.</v>
          </cell>
          <cell r="C516" t="str">
            <v>WAKTU PELAKSANAAN YANG DIPERLUKAN</v>
          </cell>
        </row>
        <row r="517">
          <cell r="C517" t="str">
            <v>Masa Pelaksanaan :</v>
          </cell>
          <cell r="D517" t="str">
            <v>. . . . . . . . . . . .</v>
          </cell>
          <cell r="E517" t="str">
            <v>bulan</v>
          </cell>
        </row>
        <row r="519">
          <cell r="A519" t="str">
            <v>7.</v>
          </cell>
          <cell r="C519" t="str">
            <v>VOLUME PEKERJAAN YANG DIPERLUKAN</v>
          </cell>
        </row>
        <row r="520">
          <cell r="C520" t="str">
            <v>Volume pekerjaan  :</v>
          </cell>
          <cell r="D520">
            <v>1</v>
          </cell>
          <cell r="E520" t="str">
            <v>M3</v>
          </cell>
        </row>
        <row r="3096">
          <cell r="A3096" t="str">
            <v>ITEM PEMBAYARAN NO.</v>
          </cell>
          <cell r="D3096" t="str">
            <v>: 5.5.(2)</v>
          </cell>
          <cell r="J3096" t="str">
            <v>Analisa EI-718</v>
          </cell>
          <cell r="T3096" t="str">
            <v>Analisa EI-718</v>
          </cell>
        </row>
        <row r="3097">
          <cell r="A3097" t="str">
            <v>JENIS PEKERJAAN</v>
          </cell>
          <cell r="D3097" t="str">
            <v>: Pekerjaan LFAS Kelas B</v>
          </cell>
        </row>
        <row r="3098">
          <cell r="A3098" t="str">
            <v>SATUAN PEMBAYARAN</v>
          </cell>
          <cell r="D3098" t="str">
            <v>:  M3</v>
          </cell>
          <cell r="H3098" t="str">
            <v xml:space="preserve">        URAIAN ANALISA HARGA SATUAN</v>
          </cell>
          <cell r="L3098" t="str">
            <v>FORMULIR STANDAR UNTUK</v>
          </cell>
        </row>
        <row r="3099">
          <cell r="L3099" t="str">
            <v>PEREKAMAN ANALISA MASING-MASING HARGA SATUAN</v>
          </cell>
        </row>
        <row r="3100">
          <cell r="L3100" t="str">
            <v/>
          </cell>
        </row>
        <row r="3101">
          <cell r="A3101" t="str">
            <v>No.</v>
          </cell>
          <cell r="C3101" t="str">
            <v>U R A I A N</v>
          </cell>
          <cell r="G3101" t="str">
            <v>KODE</v>
          </cell>
          <cell r="H3101" t="str">
            <v>KOEF.</v>
          </cell>
          <cell r="I3101" t="str">
            <v>SATUAN</v>
          </cell>
          <cell r="J3101" t="str">
            <v>KETERANGAN</v>
          </cell>
        </row>
        <row r="3103">
          <cell r="L3103" t="str">
            <v>PROYEK</v>
          </cell>
          <cell r="O3103" t="str">
            <v>:</v>
          </cell>
        </row>
        <row r="3104">
          <cell r="A3104" t="str">
            <v>I.</v>
          </cell>
          <cell r="C3104" t="str">
            <v>ASUMSI</v>
          </cell>
          <cell r="L3104" t="str">
            <v>No. PAKET KONTRAK</v>
          </cell>
          <cell r="O3104" t="str">
            <v>:</v>
          </cell>
        </row>
        <row r="3105">
          <cell r="A3105">
            <v>1</v>
          </cell>
          <cell r="C3105" t="str">
            <v>Menggunakan alat (cara mekanik)</v>
          </cell>
          <cell r="L3105" t="str">
            <v>NAMA PAKET</v>
          </cell>
          <cell r="O3105" t="str">
            <v>:</v>
          </cell>
        </row>
        <row r="3106">
          <cell r="A3106">
            <v>2</v>
          </cell>
          <cell r="C3106" t="str">
            <v>Lokasi pekerjaan : sepanjang jalan</v>
          </cell>
          <cell r="L3106" t="str">
            <v>PROP / KAB / KODYA</v>
          </cell>
          <cell r="O3106" t="str">
            <v>:</v>
          </cell>
        </row>
        <row r="3107">
          <cell r="A3107">
            <v>3</v>
          </cell>
          <cell r="C3107" t="str">
            <v>Agregat merupakan bahan Lapis Pondasi Agregat</v>
          </cell>
          <cell r="L3107" t="str">
            <v>ITEM PEMBAYARAN NO.</v>
          </cell>
          <cell r="O3107" t="str">
            <v>: 5.5.(2)</v>
          </cell>
          <cell r="R3107" t="str">
            <v>PERKIRAAN VOL. PEK.</v>
          </cell>
          <cell r="T3107" t="str">
            <v>:</v>
          </cell>
          <cell r="U3107">
            <v>1</v>
          </cell>
        </row>
        <row r="3108">
          <cell r="C3108" t="str">
            <v>Kelas B yang telah dicampur di base camp dan</v>
          </cell>
          <cell r="L3108" t="str">
            <v>JENIS PEKERJAAN</v>
          </cell>
          <cell r="O3108" t="str">
            <v>: Pekerjaan LFAS Kelas B</v>
          </cell>
          <cell r="R3108" t="str">
            <v>TOTAL HARGA (Rp.)</v>
          </cell>
          <cell r="T3108" t="str">
            <v>:</v>
          </cell>
          <cell r="U3108">
            <v>31522.779454667012</v>
          </cell>
        </row>
        <row r="3109">
          <cell r="C3109" t="str">
            <v>selanjutnya dimuat ke truck dengan wheel loader</v>
          </cell>
        </row>
        <row r="3110">
          <cell r="A3110">
            <v>4</v>
          </cell>
          <cell r="C3110" t="str">
            <v>Jarak rata-rata Base camp ke lokasi pekerjaan</v>
          </cell>
          <cell r="G3110" t="str">
            <v>L</v>
          </cell>
          <cell r="H3110">
            <v>8.7249999999999996</v>
          </cell>
          <cell r="I3110" t="str">
            <v>KM</v>
          </cell>
          <cell r="L3110" t="str">
            <v>SATUAN PEMBAYARAN</v>
          </cell>
          <cell r="O3110" t="str">
            <v>:  M3</v>
          </cell>
          <cell r="R3110" t="str">
            <v>% THD. BIAYA PROYEK</v>
          </cell>
          <cell r="T3110" t="str">
            <v>:</v>
          </cell>
          <cell r="U3110" t="e">
            <v>#DIV/0!</v>
          </cell>
        </row>
        <row r="3111">
          <cell r="A3111">
            <v>5</v>
          </cell>
          <cell r="C3111" t="str">
            <v>Jam kerja efektif per-hari</v>
          </cell>
          <cell r="G3111" t="str">
            <v>Tk</v>
          </cell>
          <cell r="H3111">
            <v>7</v>
          </cell>
          <cell r="I3111" t="str">
            <v>jam</v>
          </cell>
        </row>
        <row r="3112">
          <cell r="A3112">
            <v>6</v>
          </cell>
          <cell r="C3112" t="str">
            <v>Kadar Semen Minimum (Spesifikasi)</v>
          </cell>
          <cell r="G3112" t="str">
            <v>Ks</v>
          </cell>
          <cell r="H3112">
            <v>250</v>
          </cell>
          <cell r="I3112" t="str">
            <v>Kg/M3</v>
          </cell>
        </row>
        <row r="3113">
          <cell r="A3113">
            <v>7</v>
          </cell>
          <cell r="C3113" t="str">
            <v>Perbandingan Air/Semen Maksimum (Spesifikasi)</v>
          </cell>
          <cell r="G3113" t="str">
            <v>Wcr</v>
          </cell>
          <cell r="H3113">
            <v>0.6</v>
          </cell>
          <cell r="I3113" t="str">
            <v>-</v>
          </cell>
          <cell r="L3113" t="str">
            <v>NO.</v>
          </cell>
          <cell r="N3113" t="str">
            <v>KOMPONEN</v>
          </cell>
          <cell r="P3113" t="str">
            <v>SATUAN</v>
          </cell>
          <cell r="Q3113" t="str">
            <v>KUANTITAS</v>
          </cell>
          <cell r="R3113" t="str">
            <v>SATUAN</v>
          </cell>
          <cell r="S3113" t="str">
            <v>HARGA</v>
          </cell>
        </row>
        <row r="3114">
          <cell r="A3114">
            <v>8</v>
          </cell>
          <cell r="C3114" t="str">
            <v>Perbandingan Camp.</v>
          </cell>
          <cell r="D3114">
            <v>4</v>
          </cell>
          <cell r="E3114" t="str">
            <v>:  Semen</v>
          </cell>
          <cell r="G3114" t="str">
            <v>Sm</v>
          </cell>
          <cell r="H3114">
            <v>4</v>
          </cell>
          <cell r="I3114" t="str">
            <v>%</v>
          </cell>
          <cell r="J3114" t="str">
            <v xml:space="preserve"> Berdasarkan</v>
          </cell>
          <cell r="R3114" t="str">
            <v>(Rp.)</v>
          </cell>
          <cell r="S3114" t="str">
            <v>(Rp.)</v>
          </cell>
        </row>
        <row r="3115">
          <cell r="D3115">
            <v>20</v>
          </cell>
          <cell r="E3115" t="str">
            <v>:  Agregat Halus</v>
          </cell>
          <cell r="G3115" t="str">
            <v>Fa</v>
          </cell>
          <cell r="H3115">
            <v>19.2</v>
          </cell>
          <cell r="I3115" t="str">
            <v>%</v>
          </cell>
          <cell r="J3115" t="str">
            <v xml:space="preserve"> JMF &amp; sesuai</v>
          </cell>
        </row>
        <row r="3116">
          <cell r="D3116">
            <v>35</v>
          </cell>
          <cell r="E3116" t="str">
            <v>:  Agregat Kasar</v>
          </cell>
          <cell r="G3116" t="str">
            <v>Ca</v>
          </cell>
          <cell r="H3116">
            <v>33.6</v>
          </cell>
          <cell r="I3116" t="str">
            <v>%</v>
          </cell>
          <cell r="J3116" t="str">
            <v xml:space="preserve"> dgn Spesifikasi</v>
          </cell>
        </row>
        <row r="3117">
          <cell r="D3117">
            <v>45</v>
          </cell>
          <cell r="E3117" t="str">
            <v>: Sirtu</v>
          </cell>
          <cell r="G3117" t="str">
            <v>Sr</v>
          </cell>
          <cell r="H3117">
            <v>43.2</v>
          </cell>
          <cell r="I3117" t="str">
            <v>%</v>
          </cell>
        </row>
        <row r="3118">
          <cell r="A3118">
            <v>9</v>
          </cell>
          <cell r="C3118" t="str">
            <v>Berat Jenis Material :</v>
          </cell>
          <cell r="L3118" t="str">
            <v>A.</v>
          </cell>
          <cell r="N3118" t="str">
            <v>TENAGA</v>
          </cell>
        </row>
        <row r="3119">
          <cell r="C3119" t="str">
            <v>-  Beton</v>
          </cell>
          <cell r="G3119" t="str">
            <v>D1</v>
          </cell>
          <cell r="H3119">
            <v>2.25</v>
          </cell>
          <cell r="I3119" t="str">
            <v>T/M3</v>
          </cell>
        </row>
        <row r="3120">
          <cell r="C3120" t="str">
            <v>-  Semen</v>
          </cell>
          <cell r="G3120" t="str">
            <v>D2</v>
          </cell>
          <cell r="H3120">
            <v>3</v>
          </cell>
          <cell r="I3120" t="str">
            <v>T/M3</v>
          </cell>
          <cell r="L3120" t="str">
            <v>1.</v>
          </cell>
          <cell r="N3120" t="str">
            <v>Pekerja</v>
          </cell>
          <cell r="O3120" t="str">
            <v>(L01)</v>
          </cell>
          <cell r="P3120" t="str">
            <v>jam</v>
          </cell>
          <cell r="Q3120">
            <v>5.3012048192771086</v>
          </cell>
          <cell r="R3120">
            <v>2857.14</v>
          </cell>
          <cell r="U3120">
            <v>15146.284337349398</v>
          </cell>
        </row>
        <row r="3121">
          <cell r="C3121" t="str">
            <v>-  Agregat Halus</v>
          </cell>
          <cell r="G3121" t="str">
            <v>D3</v>
          </cell>
          <cell r="H3121">
            <v>2.1</v>
          </cell>
          <cell r="I3121" t="str">
            <v>T/M3</v>
          </cell>
          <cell r="L3121" t="str">
            <v>2.</v>
          </cell>
          <cell r="N3121" t="str">
            <v>Tukang</v>
          </cell>
          <cell r="O3121" t="str">
            <v>(L02)</v>
          </cell>
          <cell r="P3121" t="str">
            <v>jam</v>
          </cell>
          <cell r="Q3121">
            <v>1.7670682730923695</v>
          </cell>
          <cell r="R3121">
            <v>4285.71</v>
          </cell>
          <cell r="U3121">
            <v>7573.142168674699</v>
          </cell>
        </row>
        <row r="3122">
          <cell r="C3122" t="str">
            <v>-  Agregat Kasar</v>
          </cell>
          <cell r="G3122" t="str">
            <v>D4</v>
          </cell>
          <cell r="H3122">
            <v>2.1</v>
          </cell>
          <cell r="I3122" t="str">
            <v>T/M3</v>
          </cell>
          <cell r="L3122" t="str">
            <v>3.</v>
          </cell>
          <cell r="N3122" t="str">
            <v>Mandor</v>
          </cell>
          <cell r="O3122" t="str">
            <v>(L03)</v>
          </cell>
          <cell r="P3122" t="str">
            <v>jam</v>
          </cell>
          <cell r="Q3122">
            <v>0.44176706827309237</v>
          </cell>
          <cell r="R3122">
            <v>3214.29</v>
          </cell>
          <cell r="U3122">
            <v>1419.9674698795181</v>
          </cell>
        </row>
        <row r="3123">
          <cell r="C3123" t="str">
            <v>-  Sirtu</v>
          </cell>
          <cell r="G3123" t="str">
            <v>D5</v>
          </cell>
          <cell r="H3123">
            <v>1.8</v>
          </cell>
          <cell r="I3123" t="str">
            <v>T/M3</v>
          </cell>
        </row>
        <row r="3125">
          <cell r="A3125" t="str">
            <v>II.</v>
          </cell>
          <cell r="C3125" t="str">
            <v>URUTAN KERJA</v>
          </cell>
          <cell r="Q3125" t="str">
            <v xml:space="preserve">JUMLAH HARGA TENAGA   </v>
          </cell>
          <cell r="U3125">
            <v>24139.393975903615</v>
          </cell>
        </row>
        <row r="3126">
          <cell r="A3126">
            <v>1</v>
          </cell>
          <cell r="C3126" t="str">
            <v>Semen, pasir, batu kerikil dan air dicampur dan diaduk</v>
          </cell>
        </row>
        <row r="3127">
          <cell r="C3127" t="str">
            <v>menjadi beton dengan menggunakan Concrete Mixer</v>
          </cell>
          <cell r="L3127" t="str">
            <v>B.</v>
          </cell>
          <cell r="N3127" t="str">
            <v>BAHAN</v>
          </cell>
        </row>
        <row r="3128">
          <cell r="A3128">
            <v>2</v>
          </cell>
          <cell r="C3128" t="str">
            <v>Beton di-cor ke dalam bekisting yang telah disiapkan</v>
          </cell>
        </row>
        <row r="3129">
          <cell r="A3129">
            <v>3</v>
          </cell>
          <cell r="C3129" t="str">
            <v>Penyelesaian dan perapihan setelah pemasangan</v>
          </cell>
          <cell r="L3129" t="str">
            <v>1.</v>
          </cell>
          <cell r="N3129" t="str">
            <v>Semen</v>
          </cell>
          <cell r="O3129" t="str">
            <v>(M12)</v>
          </cell>
          <cell r="P3129" t="str">
            <v>Kg</v>
          </cell>
          <cell r="Q3129">
            <v>92.249999999999986</v>
          </cell>
          <cell r="R3129">
            <v>688.65625</v>
          </cell>
          <cell r="U3129">
            <v>63528.539062499993</v>
          </cell>
        </row>
        <row r="3130">
          <cell r="L3130" t="str">
            <v>2.</v>
          </cell>
          <cell r="N3130" t="str">
            <v>Pasir</v>
          </cell>
          <cell r="O3130" t="str">
            <v>(M01)</v>
          </cell>
          <cell r="P3130" t="str">
            <v>M3</v>
          </cell>
          <cell r="Q3130">
            <v>0.21085714285714283</v>
          </cell>
          <cell r="R3130">
            <v>54300</v>
          </cell>
          <cell r="U3130">
            <v>11449.542857142855</v>
          </cell>
        </row>
        <row r="3131">
          <cell r="A3131" t="str">
            <v>III.</v>
          </cell>
          <cell r="C3131" t="str">
            <v>PEMAKAIAN BAHAN, ALAT DAN TENAGA</v>
          </cell>
          <cell r="L3131" t="str">
            <v>3.</v>
          </cell>
          <cell r="N3131" t="str">
            <v>Agregat Kasar</v>
          </cell>
          <cell r="O3131" t="str">
            <v>(M03)</v>
          </cell>
          <cell r="P3131" t="str">
            <v>M3</v>
          </cell>
          <cell r="Q3131">
            <v>0.36899999999999994</v>
          </cell>
          <cell r="R3131">
            <v>222345.54558042376</v>
          </cell>
          <cell r="U3131">
            <v>82045.506319176347</v>
          </cell>
        </row>
        <row r="3132">
          <cell r="L3132" t="str">
            <v>5.</v>
          </cell>
          <cell r="N3132" t="str">
            <v>Kayu Perancah</v>
          </cell>
          <cell r="O3132" t="str">
            <v>(M19)</v>
          </cell>
          <cell r="P3132" t="str">
            <v>M3</v>
          </cell>
          <cell r="Q3132">
            <v>0.05</v>
          </cell>
          <cell r="R3132">
            <v>1466250</v>
          </cell>
          <cell r="U3132">
            <v>73312.5</v>
          </cell>
        </row>
        <row r="3133">
          <cell r="A3133" t="str">
            <v xml:space="preserve">   1.</v>
          </cell>
          <cell r="C3133" t="str">
            <v>BAHAN</v>
          </cell>
          <cell r="L3133" t="str">
            <v>6.</v>
          </cell>
          <cell r="N3133" t="str">
            <v>Paku</v>
          </cell>
          <cell r="O3133" t="str">
            <v>(M18)</v>
          </cell>
          <cell r="P3133" t="str">
            <v>Kg</v>
          </cell>
          <cell r="Q3133">
            <v>0.4</v>
          </cell>
          <cell r="R3133">
            <v>5500</v>
          </cell>
          <cell r="U3133">
            <v>2200</v>
          </cell>
        </row>
        <row r="3134">
          <cell r="A3134" t="str">
            <v>1.a.</v>
          </cell>
          <cell r="C3134" t="str">
            <v>Semen (PC)          =</v>
          </cell>
          <cell r="D3134" t="str">
            <v xml:space="preserve">   {Sm x D1 x 1000} x 1.025</v>
          </cell>
          <cell r="G3134" t="str">
            <v>(M12)</v>
          </cell>
          <cell r="H3134">
            <v>92.249999999999986</v>
          </cell>
          <cell r="I3134" t="str">
            <v>Kg</v>
          </cell>
        </row>
        <row r="3135">
          <cell r="A3135" t="str">
            <v>1.b.</v>
          </cell>
          <cell r="C3135" t="str">
            <v>Agregat Halus</v>
          </cell>
          <cell r="D3135" t="str">
            <v xml:space="preserve">   {(Ps x D1) : D3} x 1.025</v>
          </cell>
          <cell r="G3135" t="str">
            <v>(M01)</v>
          </cell>
          <cell r="H3135">
            <v>0.21085714285714283</v>
          </cell>
          <cell r="I3135" t="str">
            <v>M3</v>
          </cell>
          <cell r="Q3135" t="str">
            <v xml:space="preserve">JUMLAH HARGA BAHAN   </v>
          </cell>
          <cell r="U3135">
            <v>232536.08823881921</v>
          </cell>
        </row>
        <row r="3136">
          <cell r="A3136" t="str">
            <v>1.c.</v>
          </cell>
          <cell r="C3136" t="str">
            <v>Agregat Kasar</v>
          </cell>
          <cell r="D3136" t="str">
            <v xml:space="preserve">   {(Kr x D1) : D4} x 1.025</v>
          </cell>
          <cell r="G3136" t="str">
            <v>(M03)</v>
          </cell>
          <cell r="H3136">
            <v>0.36899999999999994</v>
          </cell>
          <cell r="I3136" t="str">
            <v>M3</v>
          </cell>
          <cell r="J3136" t="str">
            <v xml:space="preserve"> Agregat Kasar</v>
          </cell>
        </row>
        <row r="3137">
          <cell r="C3137" t="str">
            <v>Sirtu</v>
          </cell>
          <cell r="H3137">
            <v>0.55349999999999999</v>
          </cell>
          <cell r="I3137" t="str">
            <v>M3</v>
          </cell>
        </row>
        <row r="3138">
          <cell r="A3138" t="str">
            <v>1.e.</v>
          </cell>
          <cell r="C3138" t="str">
            <v>Bekisting</v>
          </cell>
          <cell r="G3138" t="str">
            <v>(M19)</v>
          </cell>
          <cell r="H3138">
            <v>0.05</v>
          </cell>
          <cell r="I3138" t="str">
            <v>M3</v>
          </cell>
        </row>
        <row r="3139">
          <cell r="A3139" t="str">
            <v>1.f</v>
          </cell>
          <cell r="C3139" t="str">
            <v>Paku</v>
          </cell>
          <cell r="G3139" t="str">
            <v>(M18)</v>
          </cell>
          <cell r="H3139">
            <v>0.4</v>
          </cell>
          <cell r="I3139" t="str">
            <v>Kg</v>
          </cell>
        </row>
        <row r="3141">
          <cell r="A3141" t="str">
            <v>2.</v>
          </cell>
          <cell r="C3141" t="str">
            <v>ALAT</v>
          </cell>
        </row>
        <row r="3142">
          <cell r="A3142" t="str">
            <v>2.a.</v>
          </cell>
          <cell r="C3142" t="str">
            <v>CONCRETE MIXER</v>
          </cell>
          <cell r="G3142" t="str">
            <v>(E06)</v>
          </cell>
        </row>
        <row r="3143">
          <cell r="C3143" t="str">
            <v>Kapasitas Alat</v>
          </cell>
          <cell r="G3143" t="str">
            <v>V</v>
          </cell>
          <cell r="H3143">
            <v>500</v>
          </cell>
          <cell r="I3143" t="str">
            <v>liter</v>
          </cell>
        </row>
        <row r="3144">
          <cell r="C3144" t="str">
            <v>Faktor Efisiensi Alat</v>
          </cell>
          <cell r="G3144" t="str">
            <v>Fa</v>
          </cell>
          <cell r="H3144">
            <v>0.83</v>
          </cell>
          <cell r="I3144" t="str">
            <v>-</v>
          </cell>
        </row>
        <row r="3145">
          <cell r="C3145" t="str">
            <v>Waktu siklus   :</v>
          </cell>
          <cell r="D3145" t="str">
            <v>(T1 + T2 + T3 + T4)</v>
          </cell>
          <cell r="G3145" t="str">
            <v>Ts</v>
          </cell>
        </row>
        <row r="3146">
          <cell r="C3146" t="str">
            <v>-  Memuat</v>
          </cell>
          <cell r="G3146" t="str">
            <v>T1</v>
          </cell>
          <cell r="H3146">
            <v>3</v>
          </cell>
          <cell r="I3146" t="str">
            <v>menit</v>
          </cell>
        </row>
        <row r="3147">
          <cell r="C3147" t="str">
            <v>-  Mengaduk</v>
          </cell>
          <cell r="G3147" t="str">
            <v>T2</v>
          </cell>
          <cell r="H3147">
            <v>2</v>
          </cell>
          <cell r="I3147" t="str">
            <v>menit</v>
          </cell>
        </row>
        <row r="3148">
          <cell r="C3148" t="str">
            <v>-  Menuang</v>
          </cell>
          <cell r="G3148" t="str">
            <v>T3</v>
          </cell>
          <cell r="H3148">
            <v>3</v>
          </cell>
          <cell r="I3148" t="str">
            <v>menit</v>
          </cell>
        </row>
        <row r="3149">
          <cell r="C3149" t="str">
            <v>-  Tunggu, dll.</v>
          </cell>
          <cell r="G3149" t="str">
            <v>T4</v>
          </cell>
          <cell r="H3149">
            <v>3</v>
          </cell>
          <cell r="I3149" t="str">
            <v>menit</v>
          </cell>
        </row>
        <row r="3150">
          <cell r="G3150" t="str">
            <v>Ts</v>
          </cell>
          <cell r="H3150">
            <v>11</v>
          </cell>
          <cell r="I3150" t="str">
            <v>menit</v>
          </cell>
        </row>
        <row r="3152">
          <cell r="C3152" t="str">
            <v>Kap. Prod. / jam  =</v>
          </cell>
          <cell r="D3152" t="str">
            <v>V x Fa x 60</v>
          </cell>
          <cell r="G3152" t="str">
            <v>Q1</v>
          </cell>
          <cell r="H3152">
            <v>2.2636363636363637</v>
          </cell>
          <cell r="I3152" t="str">
            <v>M3</v>
          </cell>
        </row>
        <row r="3153">
          <cell r="D3153" t="str">
            <v>1000 x Ts</v>
          </cell>
        </row>
        <row r="3155">
          <cell r="C3155" t="str">
            <v>Koefisien Alat / M3</v>
          </cell>
          <cell r="D3155" t="str">
            <v xml:space="preserve">  =   1  :  Q1</v>
          </cell>
          <cell r="G3155" t="str">
            <v>(E06)</v>
          </cell>
          <cell r="H3155">
            <v>0.44176706827309237</v>
          </cell>
          <cell r="I3155" t="str">
            <v>jam</v>
          </cell>
        </row>
        <row r="3159">
          <cell r="J3159" t="str">
            <v>Berlanjut ke hal. berikut.</v>
          </cell>
        </row>
        <row r="3160">
          <cell r="A3160" t="str">
            <v>ITEM PEMBAYARAN NO.</v>
          </cell>
          <cell r="D3160" t="str">
            <v>: 5.5.(2)</v>
          </cell>
          <cell r="J3160" t="str">
            <v>Analisa EI-718</v>
          </cell>
        </row>
        <row r="3161">
          <cell r="A3161" t="str">
            <v>JENIS PEKERJAAN</v>
          </cell>
          <cell r="D3161" t="str">
            <v>: Pekerjaan LFAS Kelas B</v>
          </cell>
        </row>
        <row r="3162">
          <cell r="A3162" t="str">
            <v>SATUAN PEMBAYARAN</v>
          </cell>
          <cell r="D3162" t="str">
            <v>:  M3</v>
          </cell>
          <cell r="H3162" t="str">
            <v xml:space="preserve">        URAIAN ANALISA HARGA SATUAN</v>
          </cell>
        </row>
        <row r="3163">
          <cell r="J3163" t="str">
            <v>Lanjutan</v>
          </cell>
        </row>
        <row r="3165">
          <cell r="A3165" t="str">
            <v>No.</v>
          </cell>
          <cell r="C3165" t="str">
            <v>U R A I A N</v>
          </cell>
          <cell r="G3165" t="str">
            <v>KODE</v>
          </cell>
          <cell r="H3165" t="str">
            <v>KOEF.</v>
          </cell>
          <cell r="I3165" t="str">
            <v>SATUAN</v>
          </cell>
          <cell r="J3165" t="str">
            <v>KETERANGAN</v>
          </cell>
        </row>
        <row r="3168">
          <cell r="A3168" t="str">
            <v>2.b.</v>
          </cell>
          <cell r="C3168" t="str">
            <v>WATER TANK TRUCK</v>
          </cell>
          <cell r="G3168" t="str">
            <v>(E23)</v>
          </cell>
        </row>
        <row r="3169">
          <cell r="C3169" t="str">
            <v>Volume Tanki Air</v>
          </cell>
          <cell r="G3169" t="str">
            <v>V</v>
          </cell>
          <cell r="H3169">
            <v>4</v>
          </cell>
          <cell r="I3169" t="str">
            <v>M3</v>
          </cell>
        </row>
        <row r="3170">
          <cell r="C3170" t="str">
            <v>Kebutuhan air / M3 beton</v>
          </cell>
          <cell r="G3170" t="str">
            <v>Wc</v>
          </cell>
          <cell r="H3170">
            <v>5.5349999999999989E-2</v>
          </cell>
          <cell r="I3170" t="str">
            <v>M3</v>
          </cell>
        </row>
        <row r="3171">
          <cell r="C3171" t="str">
            <v>Faktor Efiesiensi Alat</v>
          </cell>
          <cell r="G3171" t="str">
            <v>Fa</v>
          </cell>
          <cell r="H3171">
            <v>0.83</v>
          </cell>
          <cell r="I3171" t="str">
            <v>-</v>
          </cell>
        </row>
        <row r="3172">
          <cell r="C3172" t="str">
            <v>Pengisian Tanki / jam</v>
          </cell>
          <cell r="G3172" t="str">
            <v>n</v>
          </cell>
          <cell r="H3172">
            <v>1</v>
          </cell>
          <cell r="I3172" t="str">
            <v>kali</v>
          </cell>
        </row>
        <row r="3174">
          <cell r="C3174" t="str">
            <v>Kap. Prod. / jam  =</v>
          </cell>
          <cell r="D3174" t="str">
            <v>V x Fa x n</v>
          </cell>
          <cell r="G3174" t="str">
            <v>Q2</v>
          </cell>
          <cell r="H3174">
            <v>59.981933152664865</v>
          </cell>
          <cell r="I3174" t="str">
            <v>M3</v>
          </cell>
        </row>
        <row r="3175">
          <cell r="D3175" t="str">
            <v>Wc</v>
          </cell>
        </row>
        <row r="3177">
          <cell r="C3177" t="str">
            <v>Koefisien Alat / M3</v>
          </cell>
          <cell r="D3177" t="str">
            <v xml:space="preserve">  =   1  :  Q2</v>
          </cell>
          <cell r="G3177" t="str">
            <v>(E23)</v>
          </cell>
          <cell r="H3177">
            <v>1.6671686746987949E-2</v>
          </cell>
          <cell r="I3177" t="str">
            <v>jam</v>
          </cell>
        </row>
        <row r="3179">
          <cell r="A3179" t="str">
            <v>2.c.</v>
          </cell>
          <cell r="C3179" t="str">
            <v>CONCRETE VIBRATOR</v>
          </cell>
          <cell r="G3179" t="str">
            <v>(E20)</v>
          </cell>
        </row>
        <row r="3180">
          <cell r="C3180" t="str">
            <v>Kebutuhan Alat Penggetar Beton ini disesuaikan dengan</v>
          </cell>
        </row>
        <row r="3181">
          <cell r="C3181" t="str">
            <v>kapasitas produksi Alat Pencampur (Concrete Mixer)</v>
          </cell>
        </row>
        <row r="3183">
          <cell r="C3183" t="str">
            <v>Kap. Prod. / jam  =</v>
          </cell>
          <cell r="D3183" t="str">
            <v>Kap.Prod./Jam Alat Concrete Mixer</v>
          </cell>
          <cell r="G3183" t="str">
            <v>Q3</v>
          </cell>
          <cell r="H3183">
            <v>2.2636363636363637</v>
          </cell>
          <cell r="I3183" t="str">
            <v>M3</v>
          </cell>
        </row>
        <row r="3185">
          <cell r="C3185" t="str">
            <v>Koefisien Alat / M3</v>
          </cell>
          <cell r="D3185" t="str">
            <v xml:space="preserve">  =   1  :  Q3</v>
          </cell>
          <cell r="G3185" t="str">
            <v>(E20)</v>
          </cell>
          <cell r="H3185">
            <v>0.44176706827309237</v>
          </cell>
          <cell r="I3185" t="str">
            <v>jam</v>
          </cell>
        </row>
        <row r="3187">
          <cell r="A3187" t="str">
            <v>2.c.</v>
          </cell>
          <cell r="C3187" t="str">
            <v>ALAT BANTU</v>
          </cell>
        </row>
        <row r="3188">
          <cell r="C3188" t="str">
            <v>Diperlukan  :</v>
          </cell>
        </row>
        <row r="3189">
          <cell r="C3189" t="str">
            <v>- Sekop</v>
          </cell>
          <cell r="D3189" t="str">
            <v>=  2  buah</v>
          </cell>
        </row>
        <row r="3190">
          <cell r="C3190" t="str">
            <v>- Pacul</v>
          </cell>
          <cell r="D3190" t="str">
            <v>=  2  buah</v>
          </cell>
        </row>
        <row r="3191">
          <cell r="C3191" t="str">
            <v>- Sendok Semen</v>
          </cell>
          <cell r="D3191" t="str">
            <v>=  2  buah</v>
          </cell>
        </row>
        <row r="3192">
          <cell r="C3192" t="str">
            <v>- Ember Cor</v>
          </cell>
          <cell r="D3192" t="str">
            <v>=  4  buah</v>
          </cell>
        </row>
        <row r="3193">
          <cell r="C3193" t="str">
            <v>- Gerobak Dorong</v>
          </cell>
          <cell r="D3193" t="str">
            <v>=  1  buah</v>
          </cell>
        </row>
        <row r="3195">
          <cell r="A3195" t="str">
            <v>3.</v>
          </cell>
          <cell r="C3195" t="str">
            <v>TENAGA</v>
          </cell>
        </row>
        <row r="3196">
          <cell r="C3196" t="str">
            <v>Produksi Beton dalam 1 hari</v>
          </cell>
          <cell r="E3196" t="str">
            <v>=  Tk x Q1</v>
          </cell>
          <cell r="G3196" t="str">
            <v>Qt</v>
          </cell>
          <cell r="H3196">
            <v>15.845454545454546</v>
          </cell>
          <cell r="I3196" t="str">
            <v>M3</v>
          </cell>
        </row>
        <row r="3198">
          <cell r="C3198" t="str">
            <v>Kebutuhan tenaga :</v>
          </cell>
          <cell r="D3198" t="str">
            <v>- Mandor</v>
          </cell>
          <cell r="G3198" t="str">
            <v>M</v>
          </cell>
          <cell r="H3198">
            <v>1</v>
          </cell>
          <cell r="I3198" t="str">
            <v>orang</v>
          </cell>
        </row>
        <row r="3199">
          <cell r="D3199" t="str">
            <v>- Tukang</v>
          </cell>
          <cell r="G3199" t="str">
            <v>Tb</v>
          </cell>
          <cell r="H3199">
            <v>4</v>
          </cell>
          <cell r="I3199" t="str">
            <v>orang</v>
          </cell>
        </row>
        <row r="3200">
          <cell r="D3200" t="str">
            <v>- Pekerja</v>
          </cell>
          <cell r="G3200" t="str">
            <v>P</v>
          </cell>
          <cell r="H3200">
            <v>12</v>
          </cell>
          <cell r="I3200" t="str">
            <v>orang</v>
          </cell>
        </row>
        <row r="3202">
          <cell r="C3202" t="str">
            <v>Koefisien Tenaga / M3   :</v>
          </cell>
        </row>
        <row r="3203">
          <cell r="D3203" t="str">
            <v>-  Mandor</v>
          </cell>
          <cell r="E3203" t="str">
            <v>= (Tk x M) : Qt</v>
          </cell>
          <cell r="G3203" t="str">
            <v>(L03)</v>
          </cell>
          <cell r="H3203">
            <v>0.44176706827309237</v>
          </cell>
          <cell r="I3203" t="str">
            <v>jam</v>
          </cell>
        </row>
        <row r="3204">
          <cell r="D3204" t="str">
            <v>-  Tukang</v>
          </cell>
          <cell r="E3204" t="str">
            <v>= (Tk x Tb) : Qt</v>
          </cell>
          <cell r="G3204" t="str">
            <v>(L02)</v>
          </cell>
          <cell r="H3204">
            <v>1.7670682730923695</v>
          </cell>
          <cell r="I3204" t="str">
            <v>jam</v>
          </cell>
        </row>
        <row r="3205">
          <cell r="D3205" t="str">
            <v>-  Pekerja</v>
          </cell>
          <cell r="E3205" t="str">
            <v>= (Tk x P) : Qt</v>
          </cell>
          <cell r="G3205" t="str">
            <v>(L01)</v>
          </cell>
          <cell r="H3205">
            <v>5.3012048192771086</v>
          </cell>
          <cell r="I3205" t="str">
            <v>jam</v>
          </cell>
        </row>
        <row r="3208">
          <cell r="A3208" t="str">
            <v>4.</v>
          </cell>
          <cell r="C3208" t="str">
            <v>HARGA DASAR SATUAN UPAH, BAHAN DAN ALAT</v>
          </cell>
        </row>
        <row r="3209">
          <cell r="C3209" t="str">
            <v>Lihat lampiran.</v>
          </cell>
        </row>
        <row r="3218">
          <cell r="J3218" t="str">
            <v>Berlanjut ke hal. berikut.</v>
          </cell>
        </row>
        <row r="3219">
          <cell r="A3219" t="str">
            <v>ITEM PEMBAYARAN NO.</v>
          </cell>
          <cell r="D3219" t="str">
            <v>: 5.5.(2)</v>
          </cell>
          <cell r="J3219" t="str">
            <v>Analisa EI-718</v>
          </cell>
        </row>
        <row r="3220">
          <cell r="A3220" t="str">
            <v>JENIS PEKERJAAN</v>
          </cell>
          <cell r="D3220" t="str">
            <v>: Pekerjaan LFAS Kelas B</v>
          </cell>
        </row>
        <row r="3221">
          <cell r="A3221" t="str">
            <v>SATUAN PEMBAYARAN</v>
          </cell>
          <cell r="D3221" t="str">
            <v>:  M3</v>
          </cell>
          <cell r="H3221" t="str">
            <v xml:space="preserve">        URAIAN ANALISA HARGA SATUAN</v>
          </cell>
        </row>
        <row r="3222">
          <cell r="J3222" t="str">
            <v>Lanjutan</v>
          </cell>
        </row>
        <row r="3224">
          <cell r="A3224" t="str">
            <v>No.</v>
          </cell>
          <cell r="C3224" t="str">
            <v>U R A I A N</v>
          </cell>
          <cell r="G3224" t="str">
            <v>KODE</v>
          </cell>
          <cell r="H3224" t="str">
            <v>KOEF.</v>
          </cell>
          <cell r="I3224" t="str">
            <v>SATUAN</v>
          </cell>
          <cell r="J3224" t="str">
            <v>KETERANGAN</v>
          </cell>
        </row>
        <row r="3227">
          <cell r="A3227" t="str">
            <v>5.</v>
          </cell>
          <cell r="C3227" t="str">
            <v>ANALISA HARGA SATUAN PEKERJAAN</v>
          </cell>
        </row>
        <row r="3228">
          <cell r="C3228" t="str">
            <v>Lihat perhitungan dalam FORMULIR STANDAR UNTUK</v>
          </cell>
        </row>
        <row r="3229">
          <cell r="C3229" t="str">
            <v>PEREKEMAN ANALISA MASING-MASING HARGA</v>
          </cell>
        </row>
        <row r="3230">
          <cell r="C3230" t="str">
            <v>SATUAN.</v>
          </cell>
        </row>
        <row r="3231">
          <cell r="C3231" t="str">
            <v>Didapat Harga Satuan Pekerjaan :</v>
          </cell>
        </row>
        <row r="3233">
          <cell r="C3233" t="str">
            <v xml:space="preserve">Rp.  </v>
          </cell>
          <cell r="D3233">
            <v>313349.42307399388</v>
          </cell>
          <cell r="E3233" t="str">
            <v xml:space="preserve"> / M3</v>
          </cell>
        </row>
        <row r="3236">
          <cell r="A3236" t="str">
            <v>6.</v>
          </cell>
          <cell r="C3236" t="str">
            <v>MASA PELAKSANAAN YANG DIPERLUKAN</v>
          </cell>
        </row>
        <row r="3237">
          <cell r="C3237" t="str">
            <v>Masa Pelaksanaan :</v>
          </cell>
          <cell r="D3237" t="str">
            <v>. . . . . . . . . . . .</v>
          </cell>
        </row>
        <row r="3239">
          <cell r="A3239" t="str">
            <v>7.</v>
          </cell>
          <cell r="C3239" t="str">
            <v>VOLUME PEKERJAAN YANG DIPERLUKAN</v>
          </cell>
        </row>
        <row r="3240">
          <cell r="C3240" t="str">
            <v>Volume pekerjaan  :</v>
          </cell>
          <cell r="D3240">
            <v>1</v>
          </cell>
          <cell r="E3240" t="str">
            <v>M3</v>
          </cell>
        </row>
        <row r="3281">
          <cell r="A3281" t="str">
            <v>ITEM PEMBAYARAN NO.</v>
          </cell>
          <cell r="D3281" t="str">
            <v>: 5.5.(3)</v>
          </cell>
          <cell r="J3281" t="str">
            <v>Analisa EI-718</v>
          </cell>
          <cell r="T3281" t="str">
            <v>Analisa EI-718</v>
          </cell>
        </row>
        <row r="3282">
          <cell r="A3282" t="str">
            <v>JENIS PEKERJAAN</v>
          </cell>
          <cell r="D3282" t="str">
            <v>: Pekerjaan LPAS Kelas C</v>
          </cell>
        </row>
        <row r="3283">
          <cell r="A3283" t="str">
            <v>SATUAN PEMBAYARAN</v>
          </cell>
          <cell r="D3283" t="str">
            <v>:  M3</v>
          </cell>
          <cell r="H3283" t="str">
            <v xml:space="preserve">        URAIAN ANALISA HARGA SATUAN</v>
          </cell>
          <cell r="L3283" t="str">
            <v>FORMULIR STANDAR UNTUK</v>
          </cell>
        </row>
        <row r="3284">
          <cell r="L3284" t="str">
            <v>PEREKAMAN ANALISA MASING-MASING HARGA SATUAN</v>
          </cell>
        </row>
        <row r="3285">
          <cell r="L3285" t="str">
            <v/>
          </cell>
        </row>
        <row r="3286">
          <cell r="A3286" t="str">
            <v>No.</v>
          </cell>
          <cell r="C3286" t="str">
            <v>U R A I A N</v>
          </cell>
          <cell r="G3286" t="str">
            <v>KODE</v>
          </cell>
          <cell r="H3286" t="str">
            <v>KOEF.</v>
          </cell>
          <cell r="I3286" t="str">
            <v>SATUAN</v>
          </cell>
          <cell r="J3286" t="str">
            <v>KETERANGAN</v>
          </cell>
        </row>
        <row r="3288">
          <cell r="L3288" t="str">
            <v>PROYEK</v>
          </cell>
          <cell r="O3288" t="str">
            <v>:</v>
          </cell>
        </row>
        <row r="3289">
          <cell r="A3289" t="str">
            <v>I.</v>
          </cell>
          <cell r="C3289" t="str">
            <v>ASUMSI</v>
          </cell>
          <cell r="L3289" t="str">
            <v>No. PAKET KONTRAK</v>
          </cell>
          <cell r="O3289" t="str">
            <v>:</v>
          </cell>
        </row>
        <row r="3290">
          <cell r="A3290">
            <v>1</v>
          </cell>
          <cell r="C3290" t="str">
            <v>Menggunakan alat (cara mekanik)</v>
          </cell>
          <cell r="L3290" t="str">
            <v>NAMA PAKET</v>
          </cell>
          <cell r="O3290" t="str">
            <v>:</v>
          </cell>
        </row>
        <row r="3291">
          <cell r="A3291">
            <v>2</v>
          </cell>
          <cell r="C3291" t="str">
            <v>Lokasi pekerjaan : sepanjang jalan</v>
          </cell>
          <cell r="L3291" t="str">
            <v>PROP / KAB / KODYA</v>
          </cell>
          <cell r="O3291" t="str">
            <v>:</v>
          </cell>
        </row>
        <row r="3292">
          <cell r="A3292">
            <v>3</v>
          </cell>
          <cell r="C3292" t="str">
            <v>Agregat merupakan bahan Lapis Pondasi Agregat</v>
          </cell>
          <cell r="L3292" t="str">
            <v>ITEM PEMBAYARAN NO.</v>
          </cell>
          <cell r="O3292" t="str">
            <v>: 5.5.(3)</v>
          </cell>
          <cell r="R3292" t="str">
            <v>PERKIRAAN VOL. PEK.</v>
          </cell>
          <cell r="T3292" t="str">
            <v>:</v>
          </cell>
          <cell r="U3292">
            <v>1</v>
          </cell>
        </row>
        <row r="3293">
          <cell r="C3293" t="str">
            <v>Kelas C yang telah dicampur di base camp dan</v>
          </cell>
          <cell r="L3293" t="str">
            <v>JENIS PEKERJAAN</v>
          </cell>
          <cell r="O3293" t="str">
            <v>: Pekerjaan LPAS Kelas C</v>
          </cell>
          <cell r="R3293" t="str">
            <v>TOTAL HARGA (Rp.)</v>
          </cell>
          <cell r="T3293" t="str">
            <v>:</v>
          </cell>
          <cell r="U3293">
            <v>31522.779454667012</v>
          </cell>
        </row>
        <row r="3294">
          <cell r="C3294" t="str">
            <v>selanjutnya dimuat ke truck dengan wheel loader</v>
          </cell>
        </row>
        <row r="3295">
          <cell r="A3295">
            <v>4</v>
          </cell>
          <cell r="C3295" t="str">
            <v>Jarak rata-rata Base camp ke lokasi pekerjaan</v>
          </cell>
          <cell r="G3295" t="str">
            <v>L</v>
          </cell>
          <cell r="H3295">
            <v>0</v>
          </cell>
          <cell r="I3295" t="str">
            <v>KM</v>
          </cell>
          <cell r="L3295" t="str">
            <v>SATUAN PEMBAYARAN</v>
          </cell>
          <cell r="O3295" t="str">
            <v>:  M3</v>
          </cell>
          <cell r="R3295" t="str">
            <v>% THD. BIAYA PROYEK</v>
          </cell>
          <cell r="T3295" t="str">
            <v>:</v>
          </cell>
          <cell r="U3295" t="e">
            <v>#DIV/0!</v>
          </cell>
        </row>
        <row r="3296">
          <cell r="A3296">
            <v>5</v>
          </cell>
          <cell r="C3296" t="str">
            <v>Jam kerja efektif per-hari</v>
          </cell>
          <cell r="G3296" t="str">
            <v>Tk</v>
          </cell>
          <cell r="H3296">
            <v>7</v>
          </cell>
          <cell r="I3296" t="str">
            <v>jam</v>
          </cell>
        </row>
        <row r="3297">
          <cell r="A3297">
            <v>6</v>
          </cell>
          <cell r="C3297" t="str">
            <v>Kadar Semen Minimum (Spesifikasi)</v>
          </cell>
          <cell r="G3297" t="str">
            <v>Ks</v>
          </cell>
          <cell r="H3297">
            <v>250</v>
          </cell>
          <cell r="I3297" t="str">
            <v>Kg/M3</v>
          </cell>
        </row>
        <row r="3298">
          <cell r="A3298">
            <v>7</v>
          </cell>
          <cell r="C3298" t="str">
            <v>Perbandingan Air/Semen Maksimum (Spesifikasi)</v>
          </cell>
          <cell r="G3298" t="str">
            <v>Wcr</v>
          </cell>
          <cell r="H3298">
            <v>0.6</v>
          </cell>
          <cell r="I3298" t="str">
            <v>-</v>
          </cell>
          <cell r="L3298" t="str">
            <v>NO.</v>
          </cell>
          <cell r="N3298" t="str">
            <v>KOMPONEN</v>
          </cell>
          <cell r="P3298" t="str">
            <v>SATUAN</v>
          </cell>
          <cell r="Q3298" t="str">
            <v>KUANTITAS</v>
          </cell>
          <cell r="R3298" t="str">
            <v>SATUAN</v>
          </cell>
          <cell r="S3298" t="str">
            <v>HARGA</v>
          </cell>
        </row>
        <row r="3299">
          <cell r="A3299">
            <v>8</v>
          </cell>
          <cell r="C3299" t="str">
            <v>Perbandingan Camp.</v>
          </cell>
          <cell r="D3299">
            <v>12</v>
          </cell>
          <cell r="E3299" t="str">
            <v>:  Semen</v>
          </cell>
          <cell r="G3299" t="str">
            <v>Sm</v>
          </cell>
          <cell r="H3299">
            <v>12</v>
          </cell>
          <cell r="I3299" t="str">
            <v>%</v>
          </cell>
          <cell r="J3299" t="str">
            <v xml:space="preserve"> Berdasarkan</v>
          </cell>
          <cell r="R3299" t="str">
            <v>(Rp.)</v>
          </cell>
          <cell r="S3299" t="str">
            <v>(Rp.)</v>
          </cell>
        </row>
        <row r="3300">
          <cell r="D3300">
            <v>47</v>
          </cell>
          <cell r="E3300" t="str">
            <v>:  Agregat Halus</v>
          </cell>
          <cell r="G3300" t="str">
            <v>Fa</v>
          </cell>
          <cell r="H3300">
            <v>41.4</v>
          </cell>
          <cell r="I3300" t="str">
            <v>%</v>
          </cell>
          <cell r="J3300" t="str">
            <v xml:space="preserve"> JMF &amp; sesuai</v>
          </cell>
        </row>
        <row r="3301">
          <cell r="D3301">
            <v>38</v>
          </cell>
          <cell r="E3301" t="str">
            <v>:  Agregat Kasar</v>
          </cell>
          <cell r="G3301" t="str">
            <v>Ca</v>
          </cell>
          <cell r="H3301">
            <v>33.4</v>
          </cell>
          <cell r="I3301" t="str">
            <v>%</v>
          </cell>
          <cell r="J3301" t="str">
            <v/>
          </cell>
        </row>
        <row r="3302">
          <cell r="D3302">
            <v>15</v>
          </cell>
          <cell r="E3302" t="str">
            <v>: Tanah</v>
          </cell>
          <cell r="G3302" t="str">
            <v>Tnh</v>
          </cell>
          <cell r="H3302">
            <v>13.2</v>
          </cell>
          <cell r="I3302" t="str">
            <v>%</v>
          </cell>
        </row>
        <row r="3303">
          <cell r="A3303">
            <v>9</v>
          </cell>
          <cell r="C3303" t="str">
            <v>Berat Jenis Material :</v>
          </cell>
          <cell r="L3303" t="str">
            <v>A.</v>
          </cell>
          <cell r="N3303" t="str">
            <v>TENAGA</v>
          </cell>
        </row>
        <row r="3304">
          <cell r="C3304" t="str">
            <v>-  Beton</v>
          </cell>
          <cell r="G3304" t="str">
            <v>D1</v>
          </cell>
          <cell r="H3304">
            <v>2.25</v>
          </cell>
          <cell r="I3304" t="str">
            <v>T/M3</v>
          </cell>
        </row>
        <row r="3305">
          <cell r="C3305" t="str">
            <v>-  Semen</v>
          </cell>
          <cell r="G3305" t="str">
            <v>D2</v>
          </cell>
          <cell r="H3305">
            <v>3</v>
          </cell>
          <cell r="I3305" t="str">
            <v>T/M3</v>
          </cell>
          <cell r="L3305" t="str">
            <v>1.</v>
          </cell>
          <cell r="N3305" t="str">
            <v>Pekerja</v>
          </cell>
          <cell r="O3305" t="str">
            <v>(L01)</v>
          </cell>
          <cell r="P3305" t="str">
            <v>jam</v>
          </cell>
          <cell r="Q3305">
            <v>5.3012048192771086</v>
          </cell>
          <cell r="R3305">
            <v>2857.14</v>
          </cell>
          <cell r="U3305">
            <v>15146.284337349398</v>
          </cell>
        </row>
        <row r="3306">
          <cell r="C3306" t="str">
            <v>-  Agregat Kelas C</v>
          </cell>
          <cell r="G3306" t="str">
            <v>D3</v>
          </cell>
          <cell r="H3306">
            <v>1.9</v>
          </cell>
          <cell r="I3306" t="str">
            <v>T/M3</v>
          </cell>
          <cell r="L3306" t="str">
            <v>2.</v>
          </cell>
          <cell r="N3306" t="str">
            <v>Tukang</v>
          </cell>
          <cell r="O3306" t="str">
            <v>(L02)</v>
          </cell>
          <cell r="P3306" t="str">
            <v>jam</v>
          </cell>
          <cell r="Q3306">
            <v>1.7670682730923695</v>
          </cell>
          <cell r="R3306">
            <v>4285.71</v>
          </cell>
          <cell r="U3306">
            <v>7573.142168674699</v>
          </cell>
        </row>
        <row r="3307">
          <cell r="C3307" t="str">
            <v/>
          </cell>
          <cell r="G3307" t="str">
            <v/>
          </cell>
          <cell r="H3307" t="str">
            <v/>
          </cell>
          <cell r="I3307" t="str">
            <v/>
          </cell>
          <cell r="L3307" t="str">
            <v>3.</v>
          </cell>
          <cell r="N3307" t="str">
            <v>Mandor</v>
          </cell>
          <cell r="O3307" t="str">
            <v>(L03)</v>
          </cell>
          <cell r="P3307" t="str">
            <v>jam</v>
          </cell>
          <cell r="Q3307">
            <v>0.44176706827309237</v>
          </cell>
          <cell r="R3307">
            <v>3214.29</v>
          </cell>
          <cell r="U3307">
            <v>1419.9674698795181</v>
          </cell>
        </row>
        <row r="3308">
          <cell r="C3308" t="str">
            <v/>
          </cell>
        </row>
        <row r="3309">
          <cell r="A3309" t="str">
            <v>II.</v>
          </cell>
          <cell r="C3309" t="str">
            <v>URUTAN KERJA</v>
          </cell>
          <cell r="Q3309" t="str">
            <v xml:space="preserve">JUMLAH HARGA TENAGA   </v>
          </cell>
          <cell r="U3309">
            <v>24139.393975903615</v>
          </cell>
        </row>
        <row r="3310">
          <cell r="A3310">
            <v>1</v>
          </cell>
          <cell r="C3310" t="str">
            <v>Semen, pasir, batu kerikil dan air dicampur dan diaduk</v>
          </cell>
        </row>
        <row r="3311">
          <cell r="C3311" t="str">
            <v>menjadi beton dengan menggunakan Concrete Mixer</v>
          </cell>
          <cell r="L3311" t="str">
            <v>B.</v>
          </cell>
          <cell r="N3311" t="str">
            <v>BAHAN</v>
          </cell>
        </row>
        <row r="3312">
          <cell r="A3312">
            <v>2</v>
          </cell>
          <cell r="C3312" t="str">
            <v>Beton di-cor ke dalam bekisting yang telah disiapkan</v>
          </cell>
        </row>
        <row r="3313">
          <cell r="A3313">
            <v>3</v>
          </cell>
          <cell r="C3313" t="str">
            <v>Penyelesaian dan perapihan setelah pemasangan</v>
          </cell>
          <cell r="L3313" t="str">
            <v>1.</v>
          </cell>
          <cell r="N3313" t="str">
            <v>Semen</v>
          </cell>
          <cell r="O3313" t="str">
            <v>(M12)</v>
          </cell>
          <cell r="P3313" t="str">
            <v>Kg</v>
          </cell>
          <cell r="Q3313">
            <v>276.75</v>
          </cell>
          <cell r="R3313">
            <v>1357.5</v>
          </cell>
          <cell r="U3313">
            <v>375688.125</v>
          </cell>
        </row>
        <row r="3314">
          <cell r="L3314" t="str">
            <v>2.</v>
          </cell>
          <cell r="N3314" t="str">
            <v>Aggregat Klas C</v>
          </cell>
          <cell r="O3314" t="str">
            <v>(M01)</v>
          </cell>
          <cell r="P3314" t="str">
            <v>M3</v>
          </cell>
          <cell r="Q3314">
            <v>0.50251973684210527</v>
          </cell>
          <cell r="R3314">
            <v>141787.08464737452</v>
          </cell>
          <cell r="U3314">
            <v>71250.808464607951</v>
          </cell>
        </row>
        <row r="3315">
          <cell r="A3315" t="str">
            <v>III.</v>
          </cell>
          <cell r="C3315" t="str">
            <v>PEMAKAIAN BAHAN, ALAT DAN TENAGA</v>
          </cell>
        </row>
        <row r="3317">
          <cell r="A3317" t="str">
            <v xml:space="preserve">   1.</v>
          </cell>
          <cell r="C3317" t="str">
            <v>BAHAN</v>
          </cell>
        </row>
        <row r="3318">
          <cell r="A3318" t="str">
            <v>1.a.</v>
          </cell>
          <cell r="C3318" t="str">
            <v>Semen (PC)          =</v>
          </cell>
          <cell r="D3318" t="str">
            <v xml:space="preserve">   {Sm x D1 x 1000} x 1.025</v>
          </cell>
          <cell r="G3318" t="str">
            <v>(M12)</v>
          </cell>
          <cell r="H3318">
            <v>276.75</v>
          </cell>
          <cell r="I3318" t="str">
            <v>Kg</v>
          </cell>
        </row>
        <row r="3319">
          <cell r="A3319" t="str">
            <v>1.b.</v>
          </cell>
          <cell r="C3319" t="str">
            <v>Agregat Kelas C</v>
          </cell>
          <cell r="D3319" t="str">
            <v xml:space="preserve">   {(Ps x D1) : D3} x 1.025</v>
          </cell>
          <cell r="G3319" t="str">
            <v>(M01)</v>
          </cell>
          <cell r="H3319">
            <v>0.50251973684210527</v>
          </cell>
          <cell r="I3319" t="str">
            <v>M3</v>
          </cell>
        </row>
        <row r="3320">
          <cell r="A3320" t="str">
            <v>1.c.</v>
          </cell>
          <cell r="C3320" t="str">
            <v/>
          </cell>
          <cell r="D3320" t="str">
            <v/>
          </cell>
          <cell r="G3320" t="str">
            <v/>
          </cell>
          <cell r="H3320" t="str">
            <v/>
          </cell>
          <cell r="I3320" t="str">
            <v/>
          </cell>
          <cell r="J3320" t="str">
            <v/>
          </cell>
        </row>
        <row r="3321">
          <cell r="A3321" t="str">
            <v>1.e.</v>
          </cell>
          <cell r="C3321" t="str">
            <v>Bekisting</v>
          </cell>
          <cell r="G3321" t="str">
            <v>(M19)</v>
          </cell>
          <cell r="H3321">
            <v>0.05</v>
          </cell>
          <cell r="I3321" t="str">
            <v>M3</v>
          </cell>
        </row>
        <row r="3322">
          <cell r="A3322" t="str">
            <v>1.f</v>
          </cell>
          <cell r="C3322" t="str">
            <v>Paku</v>
          </cell>
          <cell r="G3322" t="str">
            <v>(M18)</v>
          </cell>
          <cell r="H3322">
            <v>0.4</v>
          </cell>
          <cell r="I3322" t="str">
            <v>Kg</v>
          </cell>
        </row>
        <row r="3324">
          <cell r="A3324" t="str">
            <v>2.</v>
          </cell>
          <cell r="C3324" t="str">
            <v>ALAT</v>
          </cell>
        </row>
        <row r="3325">
          <cell r="A3325" t="str">
            <v>2.a.</v>
          </cell>
          <cell r="C3325" t="str">
            <v>CONCRETE MIXER</v>
          </cell>
          <cell r="G3325" t="str">
            <v>(E06)</v>
          </cell>
        </row>
        <row r="3326">
          <cell r="C3326" t="str">
            <v>Kapasitas Alat</v>
          </cell>
          <cell r="G3326" t="str">
            <v>V</v>
          </cell>
          <cell r="H3326">
            <v>500</v>
          </cell>
          <cell r="I3326" t="str">
            <v>liter</v>
          </cell>
        </row>
        <row r="3327">
          <cell r="C3327" t="str">
            <v>Faktor Efisiensi Alat</v>
          </cell>
          <cell r="G3327" t="str">
            <v>Fa</v>
          </cell>
          <cell r="H3327">
            <v>0.83</v>
          </cell>
          <cell r="I3327" t="str">
            <v>-</v>
          </cell>
        </row>
        <row r="3328">
          <cell r="C3328" t="str">
            <v>Waktu siklus   :</v>
          </cell>
          <cell r="D3328" t="str">
            <v>(T1 + T2 + T3 + T4)</v>
          </cell>
          <cell r="G3328" t="str">
            <v>Ts</v>
          </cell>
        </row>
        <row r="3329">
          <cell r="C3329" t="str">
            <v>-  Memuat</v>
          </cell>
          <cell r="G3329" t="str">
            <v>T1</v>
          </cell>
          <cell r="H3329">
            <v>3</v>
          </cell>
          <cell r="I3329" t="str">
            <v>menit</v>
          </cell>
        </row>
        <row r="3330">
          <cell r="C3330" t="str">
            <v>-  Mengaduk</v>
          </cell>
          <cell r="G3330" t="str">
            <v>T2</v>
          </cell>
          <cell r="H3330">
            <v>2</v>
          </cell>
          <cell r="I3330" t="str">
            <v>menit</v>
          </cell>
        </row>
        <row r="3331">
          <cell r="C3331" t="str">
            <v>-  Menuang</v>
          </cell>
          <cell r="G3331" t="str">
            <v>T3</v>
          </cell>
          <cell r="H3331">
            <v>3</v>
          </cell>
          <cell r="I3331" t="str">
            <v>menit</v>
          </cell>
        </row>
        <row r="3332">
          <cell r="C3332" t="str">
            <v>-  Tunggu, dll.</v>
          </cell>
          <cell r="G3332" t="str">
            <v>T4</v>
          </cell>
          <cell r="H3332">
            <v>3</v>
          </cell>
          <cell r="I3332" t="str">
            <v>menit</v>
          </cell>
        </row>
        <row r="3333">
          <cell r="G3333" t="str">
            <v>Ts</v>
          </cell>
          <cell r="H3333">
            <v>11</v>
          </cell>
          <cell r="I3333" t="str">
            <v>menit</v>
          </cell>
        </row>
        <row r="3335">
          <cell r="C3335" t="str">
            <v>Kap. Prod. / jam  =</v>
          </cell>
          <cell r="D3335" t="str">
            <v>V x Fa x 60</v>
          </cell>
          <cell r="G3335" t="str">
            <v>Q1</v>
          </cell>
          <cell r="H3335">
            <v>2.2636363636363637</v>
          </cell>
          <cell r="I3335" t="str">
            <v>M3</v>
          </cell>
        </row>
        <row r="3336">
          <cell r="D3336" t="str">
            <v>1000 x Ts</v>
          </cell>
        </row>
        <row r="3338">
          <cell r="C3338" t="str">
            <v>Koefisien Alat / M3</v>
          </cell>
          <cell r="D3338" t="str">
            <v xml:space="preserve">  =   1  :  Q1</v>
          </cell>
          <cell r="G3338" t="str">
            <v>(E06)</v>
          </cell>
          <cell r="H3338">
            <v>0.44176706827309237</v>
          </cell>
          <cell r="I3338" t="str">
            <v>jam</v>
          </cell>
        </row>
        <row r="3342">
          <cell r="J3342" t="str">
            <v>Berlanjut ke hal. berikut.</v>
          </cell>
        </row>
        <row r="3343">
          <cell r="A3343" t="str">
            <v>ITEM PEMBAYARAN NO.</v>
          </cell>
          <cell r="D3343" t="str">
            <v>: 5.5.(3)</v>
          </cell>
          <cell r="J3343" t="str">
            <v>Analisa EI-718</v>
          </cell>
        </row>
        <row r="3344">
          <cell r="A3344" t="str">
            <v>JENIS PEKERJAAN</v>
          </cell>
          <cell r="D3344" t="str">
            <v>: Pekerjaan LPAS Kelas C</v>
          </cell>
        </row>
        <row r="3345">
          <cell r="A3345" t="str">
            <v>SATUAN PEMBAYARAN</v>
          </cell>
          <cell r="D3345" t="str">
            <v>:  M3</v>
          </cell>
          <cell r="H3345" t="str">
            <v xml:space="preserve">        URAIAN ANALISA HARGA SATUAN</v>
          </cell>
        </row>
        <row r="3346">
          <cell r="J3346" t="str">
            <v>Lanjutan</v>
          </cell>
        </row>
        <row r="3348">
          <cell r="A3348" t="str">
            <v>No.</v>
          </cell>
          <cell r="C3348" t="str">
            <v>U R A I A N</v>
          </cell>
          <cell r="G3348" t="str">
            <v>KODE</v>
          </cell>
          <cell r="H3348" t="str">
            <v>KOEF.</v>
          </cell>
          <cell r="I3348" t="str">
            <v>SATUAN</v>
          </cell>
          <cell r="J3348" t="str">
            <v>KETERANGAN</v>
          </cell>
        </row>
        <row r="3351">
          <cell r="A3351" t="str">
            <v>2.b.</v>
          </cell>
          <cell r="C3351" t="str">
            <v>WATER TANK TRUCK</v>
          </cell>
          <cell r="G3351" t="str">
            <v>(E23)</v>
          </cell>
        </row>
        <row r="3352">
          <cell r="C3352" t="str">
            <v>Volume Tanki Air</v>
          </cell>
          <cell r="G3352" t="str">
            <v>V</v>
          </cell>
          <cell r="H3352">
            <v>4</v>
          </cell>
          <cell r="I3352" t="str">
            <v>M3</v>
          </cell>
        </row>
        <row r="3353">
          <cell r="C3353" t="str">
            <v>Kebutuhan air / M3 beton</v>
          </cell>
          <cell r="G3353" t="str">
            <v>Wc</v>
          </cell>
          <cell r="H3353">
            <v>0.16604999999999998</v>
          </cell>
          <cell r="I3353" t="str">
            <v>M3</v>
          </cell>
        </row>
        <row r="3354">
          <cell r="C3354" t="str">
            <v>Faktor Efiesiensi Alat</v>
          </cell>
          <cell r="G3354" t="str">
            <v>Fa</v>
          </cell>
          <cell r="H3354">
            <v>0.83</v>
          </cell>
          <cell r="I3354" t="str">
            <v>-</v>
          </cell>
        </row>
        <row r="3355">
          <cell r="C3355" t="str">
            <v>Pengisian Tanki / jam</v>
          </cell>
          <cell r="G3355" t="str">
            <v>n</v>
          </cell>
          <cell r="H3355">
            <v>1</v>
          </cell>
          <cell r="I3355" t="str">
            <v>kali</v>
          </cell>
        </row>
        <row r="3357">
          <cell r="C3357" t="str">
            <v>Kap. Prod. / jam  =</v>
          </cell>
          <cell r="D3357" t="str">
            <v>V x Fa x n</v>
          </cell>
          <cell r="G3357" t="str">
            <v>Q2</v>
          </cell>
          <cell r="H3357">
            <v>19.993977717554955</v>
          </cell>
          <cell r="I3357" t="str">
            <v>M3</v>
          </cell>
        </row>
        <row r="3358">
          <cell r="D3358" t="str">
            <v>Wc</v>
          </cell>
        </row>
        <row r="3360">
          <cell r="C3360" t="str">
            <v>Koefisien Alat / M3</v>
          </cell>
          <cell r="D3360" t="str">
            <v xml:space="preserve">  =   1  :  Q2</v>
          </cell>
          <cell r="G3360" t="str">
            <v>(E23)</v>
          </cell>
          <cell r="H3360">
            <v>5.0015060240963853E-2</v>
          </cell>
          <cell r="I3360" t="str">
            <v>jam</v>
          </cell>
        </row>
        <row r="3362">
          <cell r="A3362" t="str">
            <v>2.c.</v>
          </cell>
          <cell r="C3362" t="str">
            <v>CONCRETE VIBRATOR</v>
          </cell>
          <cell r="G3362" t="str">
            <v>(E20)</v>
          </cell>
        </row>
        <row r="3363">
          <cell r="C3363" t="str">
            <v>Kebutuhan Alat Penggetar Beton ini disesuaikan dengan</v>
          </cell>
        </row>
        <row r="3364">
          <cell r="C3364" t="str">
            <v>kapasitas produksi Alat Pencampur (Concrete Mixer)</v>
          </cell>
        </row>
        <row r="3366">
          <cell r="C3366" t="str">
            <v>Kap. Prod. / jam  =</v>
          </cell>
          <cell r="D3366" t="str">
            <v>Kap.Prod./Jam Alat Concrete Mixer</v>
          </cell>
          <cell r="G3366" t="str">
            <v>Q3</v>
          </cell>
          <cell r="H3366">
            <v>2.2636363636363637</v>
          </cell>
          <cell r="I3366" t="str">
            <v>M3</v>
          </cell>
        </row>
        <row r="3368">
          <cell r="C3368" t="str">
            <v>Koefisien Alat / M3</v>
          </cell>
          <cell r="D3368" t="str">
            <v xml:space="preserve">  =   1  :  Q3</v>
          </cell>
          <cell r="G3368" t="str">
            <v>(E20)</v>
          </cell>
          <cell r="H3368">
            <v>0.44176706827309237</v>
          </cell>
          <cell r="I3368" t="str">
            <v>jam</v>
          </cell>
        </row>
        <row r="3370">
          <cell r="A3370" t="str">
            <v>2.c.</v>
          </cell>
          <cell r="C3370" t="str">
            <v>ALAT BANTU</v>
          </cell>
        </row>
        <row r="3371">
          <cell r="C3371" t="str">
            <v>Diperlukan  :</v>
          </cell>
        </row>
        <row r="3372">
          <cell r="C3372" t="str">
            <v>- Sekop</v>
          </cell>
          <cell r="D3372" t="str">
            <v>=  2  buah</v>
          </cell>
        </row>
        <row r="3373">
          <cell r="C3373" t="str">
            <v>- Pacul</v>
          </cell>
          <cell r="D3373" t="str">
            <v>=  2  buah</v>
          </cell>
        </row>
        <row r="3374">
          <cell r="C3374" t="str">
            <v>- Sendok Semen</v>
          </cell>
          <cell r="D3374" t="str">
            <v>=  2  buah</v>
          </cell>
        </row>
        <row r="3375">
          <cell r="C3375" t="str">
            <v>- Ember Cor</v>
          </cell>
          <cell r="D3375" t="str">
            <v>=  4  buah</v>
          </cell>
        </row>
        <row r="3376">
          <cell r="C3376" t="str">
            <v>- Gerobak Dorong</v>
          </cell>
          <cell r="D3376" t="str">
            <v>=  1  buah</v>
          </cell>
        </row>
        <row r="3378">
          <cell r="A3378" t="str">
            <v>3.</v>
          </cell>
          <cell r="C3378" t="str">
            <v>TENAGA</v>
          </cell>
        </row>
        <row r="3379">
          <cell r="C3379" t="str">
            <v>Produksi Beton dalam 1 hari</v>
          </cell>
          <cell r="E3379" t="str">
            <v>=  Tk x Q1</v>
          </cell>
          <cell r="G3379" t="str">
            <v>Qt</v>
          </cell>
          <cell r="H3379">
            <v>15.845454545454546</v>
          </cell>
          <cell r="I3379" t="str">
            <v>M3</v>
          </cell>
        </row>
        <row r="3381">
          <cell r="C3381" t="str">
            <v>Kebutuhan tenaga :</v>
          </cell>
          <cell r="D3381" t="str">
            <v>- Mandor</v>
          </cell>
          <cell r="G3381" t="str">
            <v>M</v>
          </cell>
          <cell r="H3381">
            <v>1</v>
          </cell>
          <cell r="I3381" t="str">
            <v>orang</v>
          </cell>
        </row>
        <row r="3382">
          <cell r="D3382" t="str">
            <v>- Tukang</v>
          </cell>
          <cell r="G3382" t="str">
            <v>Tb</v>
          </cell>
          <cell r="H3382">
            <v>4</v>
          </cell>
          <cell r="I3382" t="str">
            <v>orang</v>
          </cell>
        </row>
        <row r="3383">
          <cell r="D3383" t="str">
            <v>- Pekerja</v>
          </cell>
          <cell r="G3383" t="str">
            <v>P</v>
          </cell>
          <cell r="H3383">
            <v>12</v>
          </cell>
          <cell r="I3383" t="str">
            <v>orang</v>
          </cell>
        </row>
        <row r="3385">
          <cell r="C3385" t="str">
            <v>Koefisien Tenaga / M3   :</v>
          </cell>
        </row>
        <row r="3386">
          <cell r="D3386" t="str">
            <v>-  Mandor</v>
          </cell>
          <cell r="E3386" t="str">
            <v>= (Tk x M) : Qt</v>
          </cell>
          <cell r="G3386" t="str">
            <v>(L03)</v>
          </cell>
          <cell r="H3386">
            <v>0.44176706827309237</v>
          </cell>
          <cell r="I3386" t="str">
            <v>jam</v>
          </cell>
        </row>
        <row r="3387">
          <cell r="D3387" t="str">
            <v>-  Tukang</v>
          </cell>
          <cell r="E3387" t="str">
            <v>= (Tk x Tb) : Qt</v>
          </cell>
          <cell r="G3387" t="str">
            <v>(L02)</v>
          </cell>
          <cell r="H3387">
            <v>1.7670682730923695</v>
          </cell>
          <cell r="I3387" t="str">
            <v>jam</v>
          </cell>
        </row>
        <row r="3388">
          <cell r="D3388" t="str">
            <v>-  Pekerja</v>
          </cell>
          <cell r="E3388" t="str">
            <v>= (Tk x P) : Qt</v>
          </cell>
          <cell r="G3388" t="str">
            <v>(L01)</v>
          </cell>
          <cell r="H3388">
            <v>5.3012048192771086</v>
          </cell>
          <cell r="I3388" t="str">
            <v>jam</v>
          </cell>
        </row>
        <row r="3391">
          <cell r="A3391" t="str">
            <v>4.</v>
          </cell>
          <cell r="C3391" t="str">
            <v>HARGA DASAR SATUAN UPAH, BAHAN DAN ALAT</v>
          </cell>
        </row>
        <row r="3392">
          <cell r="C3392" t="str">
            <v>Lihat lampiran.</v>
          </cell>
        </row>
        <row r="3401">
          <cell r="J3401" t="str">
            <v>Berlanjut ke hal. berikut.</v>
          </cell>
        </row>
        <row r="3402">
          <cell r="A3402" t="str">
            <v>ITEM PEMBAYARAN NO.</v>
          </cell>
          <cell r="D3402" t="str">
            <v>: 5.5.(3)</v>
          </cell>
          <cell r="J3402" t="str">
            <v>Analisa EI-718</v>
          </cell>
        </row>
        <row r="3403">
          <cell r="A3403" t="str">
            <v>JENIS PEKERJAAN</v>
          </cell>
          <cell r="D3403" t="str">
            <v>: Pekerjaan LPAS Kelas C</v>
          </cell>
        </row>
        <row r="3404">
          <cell r="A3404" t="str">
            <v>SATUAN PEMBAYARAN</v>
          </cell>
          <cell r="D3404" t="str">
            <v>:  M3</v>
          </cell>
          <cell r="H3404" t="str">
            <v xml:space="preserve">        URAIAN ANALISA HARGA SATUAN</v>
          </cell>
        </row>
        <row r="3405">
          <cell r="J3405" t="str">
            <v>Lanjutan</v>
          </cell>
        </row>
        <row r="3407">
          <cell r="A3407" t="str">
            <v>No.</v>
          </cell>
          <cell r="C3407" t="str">
            <v>U R A I A N</v>
          </cell>
          <cell r="G3407" t="str">
            <v>KODE</v>
          </cell>
          <cell r="H3407" t="str">
            <v>KOEF.</v>
          </cell>
          <cell r="I3407" t="str">
            <v>SATUAN</v>
          </cell>
          <cell r="J3407" t="str">
            <v>KETERANGAN</v>
          </cell>
        </row>
        <row r="3410">
          <cell r="A3410" t="str">
            <v>5.</v>
          </cell>
          <cell r="C3410" t="str">
            <v>ANALISA HARGA SATUAN PEKERJAAN</v>
          </cell>
        </row>
        <row r="3411">
          <cell r="C3411" t="str">
            <v>Lihat perhitungan dalam FORMULIR STANDAR UNTUK</v>
          </cell>
        </row>
        <row r="3412">
          <cell r="C3412" t="str">
            <v>PEREKEMAN ANALISA MASING-MASING HARGA</v>
          </cell>
        </row>
        <row r="3413">
          <cell r="C3413" t="str">
            <v>SATUAN.</v>
          </cell>
        </row>
        <row r="3414">
          <cell r="C3414" t="str">
            <v>Didapat Harga Satuan Pekerjaan :</v>
          </cell>
        </row>
        <row r="3416">
          <cell r="C3416" t="str">
            <v xml:space="preserve">Rp.  </v>
          </cell>
          <cell r="D3416">
            <v>634714.46174467704</v>
          </cell>
          <cell r="E3416" t="str">
            <v xml:space="preserve"> / M3</v>
          </cell>
        </row>
        <row r="3419">
          <cell r="A3419" t="str">
            <v>6.</v>
          </cell>
          <cell r="C3419" t="str">
            <v>MASA PELAKSANAAN YANG DIPERLUKAN</v>
          </cell>
        </row>
        <row r="3420">
          <cell r="C3420" t="str">
            <v>Masa Pelaksanaan :</v>
          </cell>
          <cell r="D3420" t="str">
            <v>. . . . . . . . . . . .</v>
          </cell>
        </row>
        <row r="3422">
          <cell r="A3422" t="str">
            <v>7.</v>
          </cell>
          <cell r="C3422" t="str">
            <v>VOLUME PEKERJAAN YANG DIPERLUKAN</v>
          </cell>
        </row>
        <row r="3423">
          <cell r="C3423" t="str">
            <v>Volume pekerjaan  :</v>
          </cell>
          <cell r="D3423">
            <v>1</v>
          </cell>
          <cell r="E3423" t="str">
            <v>M3</v>
          </cell>
        </row>
        <row r="3463">
          <cell r="A3463" t="str">
            <v>ITEM  PEMBAYARAN</v>
          </cell>
          <cell r="D3463" t="str">
            <v xml:space="preserve">:  5.7 (1) </v>
          </cell>
          <cell r="J3463" t="str">
            <v>Analisa EI-7171</v>
          </cell>
        </row>
        <row r="3464">
          <cell r="A3464" t="str">
            <v>JENIS PEKERJAAN</v>
          </cell>
          <cell r="D3464" t="str">
            <v>: Wet  Lean Concrete (Tebal 10 cm)</v>
          </cell>
        </row>
        <row r="3465">
          <cell r="A3465" t="str">
            <v xml:space="preserve">SATUAN                                          </v>
          </cell>
          <cell r="E3465" t="str">
            <v>: M2</v>
          </cell>
        </row>
        <row r="3469">
          <cell r="A3469" t="str">
            <v>UNIT PERHITUNGAN :</v>
          </cell>
          <cell r="D3469">
            <v>100</v>
          </cell>
          <cell r="E3469" t="str">
            <v>M3</v>
          </cell>
          <cell r="G3469" t="str">
            <v xml:space="preserve">        URAIAN ANALISA HARGA SATUAN</v>
          </cell>
        </row>
        <row r="3471">
          <cell r="A3471" t="str">
            <v>No.</v>
          </cell>
          <cell r="C3471" t="str">
            <v>U R A I A N</v>
          </cell>
          <cell r="G3471" t="str">
            <v>KODE</v>
          </cell>
          <cell r="H3471" t="str">
            <v>KOEF.</v>
          </cell>
          <cell r="I3471" t="str">
            <v>SATUAN</v>
          </cell>
          <cell r="J3471" t="str">
            <v>KETERANGAN</v>
          </cell>
        </row>
        <row r="3474">
          <cell r="A3474" t="str">
            <v>I.</v>
          </cell>
          <cell r="C3474" t="str">
            <v>ASUMSI</v>
          </cell>
        </row>
        <row r="3475">
          <cell r="A3475">
            <v>1</v>
          </cell>
          <cell r="C3475" t="str">
            <v xml:space="preserve">Menggunakan cara mekanik  </v>
          </cell>
        </row>
        <row r="3476">
          <cell r="A3476">
            <v>2</v>
          </cell>
          <cell r="C3476" t="str">
            <v>Tebal   Lean Concrete  =</v>
          </cell>
          <cell r="H3476">
            <v>10</v>
          </cell>
          <cell r="I3476" t="str">
            <v>CM</v>
          </cell>
        </row>
        <row r="3477">
          <cell r="A3477">
            <v>3</v>
          </cell>
          <cell r="C3477" t="str">
            <v>Beton  ready mix  diterima  di lokasi  pekerjaan</v>
          </cell>
        </row>
        <row r="3478">
          <cell r="A3478">
            <v>4</v>
          </cell>
          <cell r="C3478" t="str">
            <v>Jam kerja efektif per-hari</v>
          </cell>
          <cell r="G3478" t="str">
            <v>Tk</v>
          </cell>
          <cell r="H3478">
            <v>7</v>
          </cell>
          <cell r="I3478" t="str">
            <v>jam</v>
          </cell>
        </row>
        <row r="3479">
          <cell r="A3479">
            <v>5</v>
          </cell>
          <cell r="C3479" t="str">
            <v>Harga ready mix franco lokasi/ proyek</v>
          </cell>
          <cell r="G3479" t="str">
            <v/>
          </cell>
          <cell r="H3479" t="str">
            <v/>
          </cell>
          <cell r="I3479" t="str">
            <v/>
          </cell>
        </row>
        <row r="3480">
          <cell r="C3480" t="str">
            <v/>
          </cell>
        </row>
        <row r="3481">
          <cell r="C3481" t="str">
            <v/>
          </cell>
        </row>
        <row r="3482">
          <cell r="A3482" t="str">
            <v/>
          </cell>
        </row>
        <row r="3484">
          <cell r="A3484" t="str">
            <v>II.</v>
          </cell>
          <cell r="C3484" t="str">
            <v>URUTAN KERJA</v>
          </cell>
        </row>
        <row r="3485">
          <cell r="A3485">
            <v>1</v>
          </cell>
          <cell r="C3485" t="str">
            <v>Mal /bekisting/form work  dipersiapkan sesuai dengan</v>
          </cell>
        </row>
        <row r="3486">
          <cell r="C3486" t="str">
            <v>gambar dan persyaratan</v>
          </cell>
        </row>
        <row r="3487">
          <cell r="A3487">
            <v>2</v>
          </cell>
          <cell r="C3487" t="str">
            <v>Beton di-cor ke dalam mal yang telah disiapkan</v>
          </cell>
        </row>
        <row r="3488">
          <cell r="A3488">
            <v>3</v>
          </cell>
          <cell r="C3488" t="str">
            <v xml:space="preserve">Penghamparan dan perataan dilakukan dengan </v>
          </cell>
        </row>
        <row r="3489">
          <cell r="C3489" t="str">
            <v>dengan memakai alat Slip Form Paver</v>
          </cell>
        </row>
        <row r="3490">
          <cell r="A3490" t="str">
            <v/>
          </cell>
        </row>
        <row r="3491">
          <cell r="A3491" t="str">
            <v>III.</v>
          </cell>
          <cell r="C3491" t="str">
            <v>PEMAKAIAN BAHAN, ALAT DAN TENAGA</v>
          </cell>
        </row>
        <row r="3493">
          <cell r="A3493">
            <v>1</v>
          </cell>
          <cell r="C3493" t="str">
            <v>BAHAN</v>
          </cell>
        </row>
        <row r="3494">
          <cell r="A3494" t="str">
            <v>1.a.</v>
          </cell>
          <cell r="C3494" t="str">
            <v>Beton  K-125 Ready mix =  100  * 1.05</v>
          </cell>
          <cell r="H3494">
            <v>105</v>
          </cell>
          <cell r="I3494" t="str">
            <v>M3</v>
          </cell>
        </row>
        <row r="3495">
          <cell r="C3495" t="str">
            <v>Volume  Beton  per M2 = 0,1*1 =</v>
          </cell>
          <cell r="E3495" t="str">
            <v>0,1  M3</v>
          </cell>
        </row>
        <row r="3496">
          <cell r="A3496" t="str">
            <v>b</v>
          </cell>
          <cell r="C3496" t="str">
            <v>Form Work</v>
          </cell>
          <cell r="D3496" t="str">
            <v>= 0.1*100</v>
          </cell>
          <cell r="H3496">
            <v>20</v>
          </cell>
          <cell r="I3496" t="str">
            <v>M2</v>
          </cell>
        </row>
        <row r="3498">
          <cell r="A3498" t="str">
            <v>2.</v>
          </cell>
          <cell r="C3498" t="str">
            <v>ALAT</v>
          </cell>
        </row>
        <row r="3499">
          <cell r="A3499" t="str">
            <v>2.a.</v>
          </cell>
          <cell r="C3499" t="str">
            <v>EXCAVATOR</v>
          </cell>
          <cell r="G3499" t="str">
            <v>(E10)</v>
          </cell>
        </row>
        <row r="3500">
          <cell r="C3500" t="str">
            <v>Kapasitas Bucket</v>
          </cell>
          <cell r="G3500" t="str">
            <v>V</v>
          </cell>
          <cell r="H3500">
            <v>0.93</v>
          </cell>
          <cell r="I3500" t="str">
            <v>M3</v>
          </cell>
        </row>
        <row r="3501">
          <cell r="C3501" t="str">
            <v>Faktor Bucket</v>
          </cell>
          <cell r="G3501" t="str">
            <v>Fb</v>
          </cell>
          <cell r="H3501">
            <v>1</v>
          </cell>
          <cell r="I3501" t="str">
            <v>-</v>
          </cell>
        </row>
        <row r="3502">
          <cell r="C3502" t="str">
            <v>Faktor  Efisiensi alat</v>
          </cell>
          <cell r="G3502" t="str">
            <v>Fa</v>
          </cell>
          <cell r="H3502">
            <v>0.83</v>
          </cell>
          <cell r="I3502" t="str">
            <v>-</v>
          </cell>
        </row>
        <row r="3503">
          <cell r="C3503" t="str">
            <v>Faktor Konversi</v>
          </cell>
          <cell r="G3503" t="str">
            <v>Fv</v>
          </cell>
          <cell r="H3503">
            <v>0.9</v>
          </cell>
        </row>
        <row r="3505">
          <cell r="C3505" t="str">
            <v>Waktu siklus</v>
          </cell>
          <cell r="G3505" t="str">
            <v>Ts1</v>
          </cell>
        </row>
        <row r="3506">
          <cell r="C3506" t="str">
            <v>- Menggali,  memuat dan berputar</v>
          </cell>
          <cell r="G3506" t="str">
            <v>T1</v>
          </cell>
          <cell r="H3506">
            <v>0.317</v>
          </cell>
          <cell r="I3506" t="str">
            <v>menit</v>
          </cell>
        </row>
        <row r="3507">
          <cell r="C3507" t="str">
            <v>- Lain-lain</v>
          </cell>
          <cell r="G3507" t="str">
            <v>T2</v>
          </cell>
          <cell r="H3507">
            <v>0.5</v>
          </cell>
          <cell r="I3507" t="str">
            <v>menit</v>
          </cell>
        </row>
        <row r="3508">
          <cell r="G3508" t="str">
            <v>Ts1</v>
          </cell>
          <cell r="H3508">
            <v>0.81699999999999995</v>
          </cell>
          <cell r="I3508" t="str">
            <v>menit</v>
          </cell>
        </row>
        <row r="3510">
          <cell r="C3510" t="str">
            <v>Kap. Prod. / jam =</v>
          </cell>
          <cell r="D3510" t="str">
            <v>V  x Fb x Fa x Fv x  60</v>
          </cell>
          <cell r="G3510" t="str">
            <v>Q1</v>
          </cell>
          <cell r="H3510">
            <v>5.1019094247246022</v>
          </cell>
          <cell r="I3510" t="str">
            <v xml:space="preserve">M3  </v>
          </cell>
        </row>
        <row r="3511">
          <cell r="D3511" t="str">
            <v>Ts1 x Fk</v>
          </cell>
        </row>
        <row r="3513">
          <cell r="C3513" t="str">
            <v>Koefisien Alat / M3</v>
          </cell>
          <cell r="D3513" t="str">
            <v xml:space="preserve"> =  1  :  Q1</v>
          </cell>
          <cell r="G3513" t="str">
            <v>-</v>
          </cell>
          <cell r="H3513">
            <v>0.19600504766977109</v>
          </cell>
          <cell r="I3513" t="str">
            <v>Jam</v>
          </cell>
        </row>
        <row r="3517">
          <cell r="A3517" t="str">
            <v>2.b.</v>
          </cell>
          <cell r="C3517" t="str">
            <v>SLIP FORM PAVER</v>
          </cell>
        </row>
        <row r="3522">
          <cell r="A3522" t="str">
            <v>2.c.</v>
          </cell>
          <cell r="C3522" t="str">
            <v>CONCRETE VIBRATOR</v>
          </cell>
          <cell r="G3522" t="str">
            <v>(E20)</v>
          </cell>
        </row>
        <row r="3523">
          <cell r="C3523" t="str">
            <v>Kebutuhan Alat Penggetar Beton ini disesuaikan dengan</v>
          </cell>
        </row>
        <row r="3524">
          <cell r="C3524" t="str">
            <v>kapasitas produksi Concrete  Pump</v>
          </cell>
        </row>
        <row r="3525">
          <cell r="C3525" t="str">
            <v>Kap. Prod. / jam  =</v>
          </cell>
          <cell r="G3525" t="str">
            <v>Q3</v>
          </cell>
          <cell r="H3525">
            <v>10</v>
          </cell>
          <cell r="I3525" t="str">
            <v>M3</v>
          </cell>
          <cell r="J3525" t="str">
            <v>Cek Kap prod</v>
          </cell>
        </row>
        <row r="3526">
          <cell r="C3526" t="str">
            <v xml:space="preserve">Kebutuhan utk </v>
          </cell>
          <cell r="D3526">
            <v>100</v>
          </cell>
          <cell r="E3526" t="str">
            <v>M3</v>
          </cell>
          <cell r="G3526" t="str">
            <v>(E20)</v>
          </cell>
          <cell r="H3526">
            <v>10.5</v>
          </cell>
          <cell r="I3526" t="str">
            <v>jam</v>
          </cell>
        </row>
        <row r="3528">
          <cell r="A3528" t="str">
            <v>2.c.</v>
          </cell>
          <cell r="C3528" t="str">
            <v>ALAT BANTU</v>
          </cell>
        </row>
        <row r="3529">
          <cell r="C3529" t="str">
            <v>Diperlukan  :</v>
          </cell>
        </row>
        <row r="3530">
          <cell r="C3530" t="str">
            <v>- Sekop</v>
          </cell>
          <cell r="D3530" t="str">
            <v>=  2  buah</v>
          </cell>
        </row>
        <row r="3531">
          <cell r="C3531" t="str">
            <v>- Pacul</v>
          </cell>
          <cell r="D3531" t="str">
            <v>=  2  buah</v>
          </cell>
        </row>
        <row r="3532">
          <cell r="C3532" t="str">
            <v>Dan lain-lain</v>
          </cell>
        </row>
        <row r="3534">
          <cell r="A3534" t="str">
            <v>3.</v>
          </cell>
          <cell r="C3534" t="str">
            <v>TENAGA</v>
          </cell>
        </row>
        <row r="3535">
          <cell r="C3535" t="str">
            <v xml:space="preserve">Kebutuhan utk </v>
          </cell>
          <cell r="D3535">
            <v>100</v>
          </cell>
          <cell r="E3535" t="str">
            <v>M3</v>
          </cell>
        </row>
        <row r="3536">
          <cell r="C3536" t="str">
            <v>- Pengawas</v>
          </cell>
          <cell r="E3536" t="str">
            <v/>
          </cell>
          <cell r="G3536" t="str">
            <v>Pg</v>
          </cell>
          <cell r="H3536">
            <v>7</v>
          </cell>
          <cell r="I3536" t="str">
            <v>hour</v>
          </cell>
        </row>
        <row r="3537">
          <cell r="C3537" t="str">
            <v>- Mandor</v>
          </cell>
          <cell r="E3537" t="str">
            <v>= 1 orang hari</v>
          </cell>
          <cell r="G3537" t="str">
            <v>M</v>
          </cell>
          <cell r="H3537">
            <v>21</v>
          </cell>
          <cell r="I3537" t="str">
            <v>hour</v>
          </cell>
        </row>
        <row r="3538">
          <cell r="C3538" t="str">
            <v>- Tukang/ Tenaga  trampil</v>
          </cell>
          <cell r="E3538" t="str">
            <v/>
          </cell>
          <cell r="G3538" t="str">
            <v>Tb</v>
          </cell>
          <cell r="H3538">
            <v>35</v>
          </cell>
          <cell r="I3538" t="str">
            <v>hour</v>
          </cell>
        </row>
        <row r="3539">
          <cell r="C3539" t="str">
            <v>- Pekerja</v>
          </cell>
          <cell r="E3539" t="str">
            <v>= 2 orang hari</v>
          </cell>
          <cell r="G3539" t="str">
            <v>P</v>
          </cell>
          <cell r="H3539">
            <v>49</v>
          </cell>
          <cell r="I3539" t="str">
            <v>hour</v>
          </cell>
        </row>
        <row r="3542">
          <cell r="C3542" t="str">
            <v>DOMINAN: Slip Form Paver</v>
          </cell>
        </row>
        <row r="3553">
          <cell r="A3553" t="str">
            <v>ITEM  PEMBAYARAN</v>
          </cell>
          <cell r="E3553" t="str">
            <v xml:space="preserve">:  5.7 (1) </v>
          </cell>
          <cell r="J3553" t="str">
            <v>Analisa EI-7171</v>
          </cell>
        </row>
        <row r="3554">
          <cell r="A3554" t="str">
            <v>JENIS PEKERJAAN</v>
          </cell>
          <cell r="E3554" t="str">
            <v>: Wet  Lean Concrete (Tebal 10 cm)</v>
          </cell>
        </row>
        <row r="3555">
          <cell r="A3555" t="str">
            <v xml:space="preserve">SATUAN                                          </v>
          </cell>
          <cell r="E3555" t="str">
            <v>: M3</v>
          </cell>
        </row>
        <row r="3558">
          <cell r="A3558" t="str">
            <v>UNIT PERHITUNGAN :</v>
          </cell>
          <cell r="D3558">
            <v>100</v>
          </cell>
          <cell r="E3558" t="str">
            <v>M3</v>
          </cell>
          <cell r="G3558" t="str">
            <v xml:space="preserve">        URAIAN ANALISA HARGA SATUAN</v>
          </cell>
        </row>
        <row r="3560">
          <cell r="A3560" t="str">
            <v>4.</v>
          </cell>
          <cell r="C3560" t="str">
            <v>HARGA DASAR SATUAN UPAH, BAHAN DAN ALAT</v>
          </cell>
        </row>
        <row r="3561">
          <cell r="C3561" t="str">
            <v>Lihat lampiran.</v>
          </cell>
        </row>
        <row r="3563">
          <cell r="A3563" t="str">
            <v>5.</v>
          </cell>
          <cell r="C3563" t="str">
            <v>ANALISA HARGA SATUAN PEKERJAAN</v>
          </cell>
        </row>
        <row r="3564">
          <cell r="C3564" t="str">
            <v>Lihat perhitungan dalam FORMULIR STANDAR UNTUK</v>
          </cell>
        </row>
        <row r="3565">
          <cell r="C3565" t="str">
            <v>PEREKEMAN ANALISA MASING-MASING HARGA</v>
          </cell>
        </row>
        <row r="3566">
          <cell r="C3566" t="str">
            <v>SATUAN.</v>
          </cell>
        </row>
        <row r="3567">
          <cell r="C3567" t="str">
            <v>Didapat Harga Satuan Pekerjaan :</v>
          </cell>
        </row>
        <row r="3569">
          <cell r="C3569" t="str">
            <v xml:space="preserve">Rp.  </v>
          </cell>
          <cell r="D3569">
            <v>56726.178538879387</v>
          </cell>
          <cell r="E3569" t="str">
            <v xml:space="preserve"> / M2</v>
          </cell>
        </row>
        <row r="3572">
          <cell r="A3572" t="str">
            <v>6.</v>
          </cell>
          <cell r="C3572" t="str">
            <v>WAKTU PELAKSANAAN YANG DIPERLUKAN</v>
          </cell>
        </row>
        <row r="3573">
          <cell r="C3573" t="str">
            <v>Masa Pelaksanaan :</v>
          </cell>
          <cell r="D3573" t="str">
            <v>. . . . . . . . . . . .</v>
          </cell>
          <cell r="E3573" t="str">
            <v>bulan</v>
          </cell>
        </row>
        <row r="3575">
          <cell r="A3575" t="str">
            <v>7.</v>
          </cell>
          <cell r="C3575" t="str">
            <v>VOLUME PEKERJAAN YANG DIPERLUKAN</v>
          </cell>
        </row>
        <row r="3576">
          <cell r="C3576" t="str">
            <v>Volume pekerjaan  :</v>
          </cell>
          <cell r="D3576">
            <v>1</v>
          </cell>
          <cell r="E3576" t="str">
            <v>M2</v>
          </cell>
        </row>
        <row r="3582">
          <cell r="A3582" t="str">
            <v>ITEM PEMBAYARAN NO.</v>
          </cell>
          <cell r="D3582" t="str">
            <v>:  5.7 (2)</v>
          </cell>
          <cell r="J3582" t="str">
            <v>Analisa EI-511</v>
          </cell>
        </row>
        <row r="3583">
          <cell r="A3583" t="str">
            <v>JENIS PEKERJAAN</v>
          </cell>
          <cell r="D3583" t="str">
            <v>: Sand Bedding (t=5 cm)</v>
          </cell>
        </row>
        <row r="3584">
          <cell r="A3584" t="str">
            <v>SATUAN PEMBAYARAN</v>
          </cell>
          <cell r="D3584" t="str">
            <v>:  M2</v>
          </cell>
          <cell r="H3584" t="str">
            <v xml:space="preserve">         URAIAN ANALISA HARGA SATUAN</v>
          </cell>
        </row>
        <row r="3587">
          <cell r="A3587" t="str">
            <v>No.</v>
          </cell>
          <cell r="C3587" t="str">
            <v>U R A I A N</v>
          </cell>
          <cell r="G3587" t="str">
            <v>KODE</v>
          </cell>
          <cell r="H3587" t="str">
            <v>KOEF.</v>
          </cell>
          <cell r="I3587" t="str">
            <v>SATUAN</v>
          </cell>
          <cell r="J3587" t="str">
            <v>KETERANGAN</v>
          </cell>
        </row>
        <row r="3590">
          <cell r="A3590" t="str">
            <v>I.</v>
          </cell>
          <cell r="C3590" t="str">
            <v>ASUMSI</v>
          </cell>
        </row>
        <row r="3591">
          <cell r="A3591">
            <v>1</v>
          </cell>
          <cell r="C3591" t="str">
            <v>Pekerjaan dilakukan secara mekanis</v>
          </cell>
        </row>
        <row r="3592">
          <cell r="A3592">
            <v>2</v>
          </cell>
          <cell r="C3592" t="str">
            <v>Lokasi pekerjaan : sepanjang jalan</v>
          </cell>
        </row>
        <row r="3593">
          <cell r="A3593">
            <v>3</v>
          </cell>
          <cell r="C3593" t="str">
            <v>Kondisi Jalan   :  sedang / baik</v>
          </cell>
        </row>
        <row r="3594">
          <cell r="A3594">
            <v>4</v>
          </cell>
          <cell r="C3594" t="str">
            <v>Jam kerja efektif per-hari</v>
          </cell>
          <cell r="G3594" t="str">
            <v>Tk</v>
          </cell>
          <cell r="H3594">
            <v>7</v>
          </cell>
          <cell r="I3594" t="str">
            <v>Jam</v>
          </cell>
        </row>
        <row r="3595">
          <cell r="A3595">
            <v>5</v>
          </cell>
          <cell r="C3595" t="str">
            <v>Faktor pengembangan bahan</v>
          </cell>
          <cell r="G3595" t="str">
            <v>Fk</v>
          </cell>
          <cell r="H3595">
            <v>1.17</v>
          </cell>
          <cell r="I3595" t="str">
            <v>-</v>
          </cell>
        </row>
        <row r="3596">
          <cell r="A3596">
            <v>6</v>
          </cell>
          <cell r="C3596" t="str">
            <v>Tebal hamparan padat</v>
          </cell>
          <cell r="G3596" t="str">
            <v>t</v>
          </cell>
          <cell r="H3596">
            <v>0.05</v>
          </cell>
          <cell r="I3596" t="str">
            <v>M</v>
          </cell>
        </row>
        <row r="3598">
          <cell r="A3598" t="str">
            <v>II.</v>
          </cell>
          <cell r="C3598" t="str">
            <v>URUTAN KERJA</v>
          </cell>
        </row>
        <row r="3599">
          <cell r="A3599">
            <v>1</v>
          </cell>
          <cell r="C3599" t="str">
            <v>Wheel Loader memuat ke dalam Dump Truck</v>
          </cell>
        </row>
        <row r="3600">
          <cell r="A3600">
            <v>2</v>
          </cell>
          <cell r="C3600" t="str">
            <v>Dump Truck mengangkut ke lapangan dengan jarak</v>
          </cell>
        </row>
        <row r="3601">
          <cell r="C3601" t="str">
            <v>quari ke lapangan</v>
          </cell>
          <cell r="G3601" t="str">
            <v>L</v>
          </cell>
          <cell r="H3601">
            <v>80.61</v>
          </cell>
          <cell r="I3601" t="str">
            <v>Km</v>
          </cell>
        </row>
        <row r="3602">
          <cell r="A3602">
            <v>3</v>
          </cell>
          <cell r="C3602" t="str">
            <v>Material dihampar dengan menggunakan Motor Grader</v>
          </cell>
        </row>
        <row r="3603">
          <cell r="A3603">
            <v>4</v>
          </cell>
          <cell r="C3603" t="str">
            <v>Hamparan material disiram air dengan Watertank Truck</v>
          </cell>
        </row>
        <row r="3604">
          <cell r="C3604" t="str">
            <v>(sebelum pelaksanaan pemadatan) dan dipadatkan</v>
          </cell>
        </row>
        <row r="3605">
          <cell r="C3605" t="str">
            <v>dengan menggunakan Tandem Roller</v>
          </cell>
        </row>
        <row r="3606">
          <cell r="A3606">
            <v>5</v>
          </cell>
          <cell r="C3606" t="str">
            <v>Selama pemadatan sekelompok pekerja  akan</v>
          </cell>
        </row>
        <row r="3607">
          <cell r="C3607" t="str">
            <v>merapikan tepi hamparan dan level permukaan</v>
          </cell>
        </row>
        <row r="3608">
          <cell r="C3608" t="str">
            <v>dengan menggunakan alat bantu</v>
          </cell>
        </row>
        <row r="3610">
          <cell r="A3610" t="str">
            <v>III.</v>
          </cell>
          <cell r="C3610" t="str">
            <v>PEMAKAIAN BAHAN, ALAT DAN TENAGA</v>
          </cell>
        </row>
        <row r="3611">
          <cell r="A3611" t="str">
            <v xml:space="preserve">   1.</v>
          </cell>
          <cell r="C3611" t="str">
            <v>BAHAN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  <sheetName val="Sheet1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K "/>
      <sheetName val="Analisa BOW"/>
      <sheetName val="Upah + Bahan"/>
      <sheetName val="Jalan "/>
      <sheetName val="Rekap"/>
      <sheetName val="Jemb"/>
      <sheetName val="3-DIV5"/>
    </sheetNames>
    <sheetDataSet>
      <sheetData sheetId="0"/>
      <sheetData sheetId="1">
        <row r="172">
          <cell r="N172">
            <v>9945.24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awaran"/>
      <sheetName val="Rekap"/>
      <sheetName val="Rekap Derecost"/>
      <sheetName val="BQ"/>
      <sheetName val="BQ(Derecost)"/>
      <sheetName val="Lamp-3a(Analisa)"/>
      <sheetName val="Lamp-3b(Ur-Anl)"/>
      <sheetName val="Anl-Alt"/>
      <sheetName val="Sheet3"/>
      <sheetName val="BQ (2)"/>
      <sheetName val="SAT-DAS"/>
      <sheetName val="Anl-Bhn"/>
      <sheetName val="Lamp-2 (Anl-1)"/>
      <sheetName val="Urai-Anl (1)"/>
      <sheetName val="Urai-Anl (2)"/>
      <sheetName val="Lamp-3b"/>
      <sheetName val="Lamp-1(Schedul)"/>
      <sheetName val="Lamp-4"/>
      <sheetName val="On-Site"/>
      <sheetName val="Lamp-6a"/>
      <sheetName val="Lamp-6b"/>
      <sheetName val="Lamp-7"/>
      <sheetName val="Lamp-8"/>
      <sheetName val="Lamp-13"/>
      <sheetName val="Lamp-9"/>
      <sheetName val="Lamp-10"/>
      <sheetName val="Lamp-11"/>
      <sheetName val="Lamp-12"/>
      <sheetName val="Lamp-14"/>
      <sheetName val="Anl-Alt "/>
      <sheetName val="D"/>
      <sheetName val="M"/>
      <sheetName val="0000"/>
      <sheetName val="XXXX"/>
      <sheetName val="Ls-Mobilisasi (OK)"/>
      <sheetName val="Ur-Anl (ok punya)"/>
      <sheetName val="Analisa (ok punya)"/>
      <sheetName val="Kuan&amp;Harga(BQ)"/>
      <sheetName val="Lamp-1 (Schedule ok"/>
      <sheetName val="Anl-Bhn (ok)"/>
      <sheetName val="Lamp-14 -Hit-Alt"/>
      <sheetName val="Lamp-13-Pengg Alat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1 (Sub-kont) ok"/>
      <sheetName val="Lamp-14 (Lamp-Penaw) OK"/>
      <sheetName val="Ur-Anl (ok )"/>
      <sheetName val="Analisa (ok)"/>
      <sheetName val="Kuan&amp;Harga"/>
      <sheetName val="DFT UPAH &amp; BAHAN"/>
      <sheetName val="Analisa (ok)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nalisa"/>
      <sheetName val="rab"/>
      <sheetName val="Sheet5"/>
      <sheetName val="Sheet6"/>
      <sheetName val="Sheet7"/>
      <sheetName val="Sheet8"/>
      <sheetName val="Sheet9"/>
      <sheetName val="Sheet10"/>
      <sheetName val="Sheet11"/>
      <sheetName val="DRUP (ASLI)"/>
      <sheetName val="Pengesahan"/>
      <sheetName val="Rekap"/>
      <sheetName val="Analis"/>
      <sheetName val="H.bh"/>
    </sheetNames>
    <sheetDataSet>
      <sheetData sheetId="0"/>
      <sheetData sheetId="1" refreshError="1">
        <row r="363">
          <cell r="I363">
            <v>17870.55</v>
          </cell>
        </row>
        <row r="582">
          <cell r="I582">
            <v>8380</v>
          </cell>
        </row>
        <row r="655">
          <cell r="I655">
            <v>81500</v>
          </cell>
        </row>
        <row r="801">
          <cell r="I801">
            <v>196260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M"/>
      <sheetName val="Bull"/>
      <sheetName val="Exca"/>
      <sheetName val="truk"/>
      <sheetName val="Loader"/>
      <sheetName val="Compac"/>
      <sheetName val="Hrg Alat"/>
      <sheetName val="Anl Teknik"/>
      <sheetName val="Upah "/>
      <sheetName val="Analisa"/>
      <sheetName val="Kuantias"/>
      <sheetName val="Rekap"/>
      <sheetName val="sc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3">
          <cell r="F43">
            <v>17000</v>
          </cell>
        </row>
      </sheetData>
      <sheetData sheetId="9"/>
      <sheetData sheetId="10"/>
      <sheetData sheetId="11"/>
      <sheetData sheetId="12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 Tulangan"/>
      <sheetName val="Beton"/>
      <sheetName val="Concreting"/>
      <sheetName val="Cnth Itungan Girder"/>
      <sheetName val="Cnth Itungan Girder juga"/>
      <sheetName val="Diafragma"/>
      <sheetName val="Dndng Sumuran"/>
      <sheetName val="Expntion Joints"/>
      <sheetName val="Exp Joint"/>
      <sheetName val="Formwork"/>
      <sheetName val="Geotxtil"/>
      <sheetName val="Girder 16.6"/>
      <sheetName val="Girder 17.6"/>
      <sheetName val="Girder 22.6"/>
      <sheetName val="Girder 25.6"/>
      <sheetName val="Girder 28.6"/>
      <sheetName val="Girder 30.8"/>
      <sheetName val="Girder 31.8"/>
      <sheetName val="Girder 35.8"/>
      <sheetName val="Lean Concr"/>
      <sheetName val="K500"/>
      <sheetName val="K400"/>
      <sheetName val="K350"/>
      <sheetName val="K300"/>
      <sheetName val="K250"/>
      <sheetName val="K175"/>
      <sheetName val="K125(lama)"/>
      <sheetName val="K1250(baru)"/>
      <sheetName val="Kolom"/>
      <sheetName val="Psngan Batu"/>
      <sheetName val="Pembongkaran"/>
      <sheetName val="Perk Beton"/>
      <sheetName val="Sand-Bedding"/>
      <sheetName val="Staging"/>
      <sheetName val="Tiang Pancang"/>
    </sheetNames>
    <sheetDataSet>
      <sheetData sheetId="0"/>
      <sheetData sheetId="1">
        <row r="2153">
          <cell r="T2153" t="str">
            <v>Analisa LI-7103</v>
          </cell>
        </row>
        <row r="2155">
          <cell r="L2155" t="str">
            <v>FORMULIR STANDAR UNTUK</v>
          </cell>
        </row>
        <row r="2156">
          <cell r="L2156" t="str">
            <v>PEREKAMAN ANALISA MASING-MASING HARGA SATUAN</v>
          </cell>
        </row>
        <row r="2157">
          <cell r="L2157">
            <v>0</v>
          </cell>
        </row>
        <row r="2160">
          <cell r="L2160" t="str">
            <v>PROYEK</v>
          </cell>
          <cell r="O2160" t="str">
            <v>: ADB Earthquake and Tsunami Emergency Support Project (ETESP)</v>
          </cell>
        </row>
        <row r="2161">
          <cell r="L2161" t="str">
            <v>No. PAKET KONTRAK</v>
          </cell>
          <cell r="O2161" t="str">
            <v>: Package 4 East Coast Road 1</v>
          </cell>
        </row>
        <row r="2162">
          <cell r="L2162" t="str">
            <v>NAMA PAKET</v>
          </cell>
          <cell r="O2162" t="str">
            <v>: Contract XI</v>
          </cell>
        </row>
        <row r="2163">
          <cell r="L2163" t="str">
            <v>PROP / KAB / KODYA</v>
          </cell>
          <cell r="O2163" t="str">
            <v>: Nanggroe Aceh Darussalam (NAD)</v>
          </cell>
        </row>
        <row r="2164">
          <cell r="L2164" t="str">
            <v>ITEM PEMBAYARAN NO.</v>
          </cell>
          <cell r="O2164" t="str">
            <v>:  7.10 (3)</v>
          </cell>
          <cell r="R2164" t="str">
            <v>PERKIRAAN VOL. PEK.</v>
          </cell>
          <cell r="T2164" t="str">
            <v>:</v>
          </cell>
          <cell r="U2164">
            <v>0</v>
          </cell>
        </row>
        <row r="2165">
          <cell r="L2165" t="str">
            <v>JENIS PEKERJAAN</v>
          </cell>
          <cell r="O2165" t="str">
            <v>:  Bronjong (Gabions)</v>
          </cell>
          <cell r="R2165" t="str">
            <v>TOTAL HARGA (Rp.)</v>
          </cell>
          <cell r="T2165" t="str">
            <v>:</v>
          </cell>
          <cell r="U2165">
            <v>0</v>
          </cell>
        </row>
        <row r="2166">
          <cell r="L2166" t="str">
            <v>SATUAN PEMBAYARAN</v>
          </cell>
          <cell r="O2166" t="str">
            <v>:  M3</v>
          </cell>
          <cell r="R2166" t="str">
            <v>% THD. BIAYA PROYEK</v>
          </cell>
          <cell r="T2166" t="str">
            <v>:</v>
          </cell>
          <cell r="U2166" t="e">
            <v>#DIV/0!</v>
          </cell>
        </row>
        <row r="2169">
          <cell r="Q2169" t="str">
            <v>PERKIRAAN</v>
          </cell>
          <cell r="R2169" t="str">
            <v>HARGA</v>
          </cell>
          <cell r="S2169" t="str">
            <v>JUMLAH</v>
          </cell>
        </row>
        <row r="2170">
          <cell r="L2170" t="str">
            <v>NO.</v>
          </cell>
          <cell r="N2170" t="str">
            <v>KOMPONEN</v>
          </cell>
          <cell r="P2170" t="str">
            <v>SATUAN</v>
          </cell>
          <cell r="Q2170" t="str">
            <v>KUANTITAS</v>
          </cell>
          <cell r="R2170" t="str">
            <v>SATUAN</v>
          </cell>
          <cell r="S2170" t="str">
            <v>HARGA</v>
          </cell>
        </row>
        <row r="2171">
          <cell r="R2171" t="str">
            <v>(Rp.)</v>
          </cell>
          <cell r="S2171" t="str">
            <v>(Rp.)</v>
          </cell>
        </row>
        <row r="2174">
          <cell r="L2174" t="str">
            <v>A.</v>
          </cell>
          <cell r="N2174" t="str">
            <v>TENAGA</v>
          </cell>
        </row>
        <row r="2176">
          <cell r="L2176" t="str">
            <v>1.</v>
          </cell>
          <cell r="N2176" t="str">
            <v>Pekerja Biasa</v>
          </cell>
          <cell r="O2176" t="str">
            <v>(L01)</v>
          </cell>
          <cell r="P2176" t="str">
            <v>jam</v>
          </cell>
          <cell r="Q2176">
            <v>5.25</v>
          </cell>
          <cell r="R2176">
            <v>5000</v>
          </cell>
          <cell r="U2176">
            <v>26250</v>
          </cell>
        </row>
        <row r="2177">
          <cell r="L2177" t="str">
            <v>2.</v>
          </cell>
          <cell r="N2177" t="str">
            <v>Tukang</v>
          </cell>
          <cell r="O2177" t="str">
            <v>(L02)</v>
          </cell>
          <cell r="P2177" t="str">
            <v>jam</v>
          </cell>
          <cell r="Q2177">
            <v>2.625</v>
          </cell>
          <cell r="R2177">
            <v>7500</v>
          </cell>
          <cell r="U2177">
            <v>19687.5</v>
          </cell>
        </row>
        <row r="2178">
          <cell r="L2178" t="str">
            <v>3.</v>
          </cell>
          <cell r="N2178" t="str">
            <v>Mandor</v>
          </cell>
          <cell r="O2178" t="str">
            <v>(L03)</v>
          </cell>
          <cell r="P2178" t="str">
            <v>jam</v>
          </cell>
          <cell r="Q2178">
            <v>0.875</v>
          </cell>
          <cell r="R2178">
            <v>6250</v>
          </cell>
          <cell r="U2178">
            <v>5468.75</v>
          </cell>
        </row>
        <row r="2180">
          <cell r="Q2180" t="str">
            <v xml:space="preserve">JUMLAH HARGA TENAGA   </v>
          </cell>
          <cell r="U2180">
            <v>51406.25</v>
          </cell>
        </row>
        <row r="2182">
          <cell r="L2182" t="str">
            <v>B.</v>
          </cell>
          <cell r="N2182" t="str">
            <v>BAHAN</v>
          </cell>
        </row>
        <row r="2184">
          <cell r="L2184" t="str">
            <v>1.</v>
          </cell>
          <cell r="N2184" t="str">
            <v xml:space="preserve">Kawat Bronjong </v>
          </cell>
          <cell r="O2184" t="str">
            <v>(M57)</v>
          </cell>
          <cell r="P2184" t="str">
            <v>Kg</v>
          </cell>
          <cell r="Q2184">
            <v>15</v>
          </cell>
          <cell r="R2184">
            <v>13850</v>
          </cell>
          <cell r="U2184">
            <v>207750</v>
          </cell>
        </row>
        <row r="2185">
          <cell r="L2185" t="str">
            <v>2.</v>
          </cell>
          <cell r="N2185" t="str">
            <v>Batu</v>
          </cell>
          <cell r="O2185" t="e">
            <v>#REF!</v>
          </cell>
          <cell r="P2185" t="str">
            <v>M3</v>
          </cell>
          <cell r="Q2185">
            <v>1.1000000000000001</v>
          </cell>
          <cell r="R2185">
            <v>61300</v>
          </cell>
          <cell r="U2185">
            <v>67430</v>
          </cell>
        </row>
        <row r="2190">
          <cell r="Q2190" t="str">
            <v xml:space="preserve">JUMLAH HARGA BAHAN   </v>
          </cell>
          <cell r="U2190">
            <v>275180</v>
          </cell>
        </row>
        <row r="2192">
          <cell r="L2192" t="str">
            <v>C.</v>
          </cell>
          <cell r="N2192" t="str">
            <v>PERALATAN</v>
          </cell>
        </row>
        <row r="2194">
          <cell r="L2194" t="str">
            <v>1.</v>
          </cell>
          <cell r="N2194" t="str">
            <v>Alat Bantu</v>
          </cell>
          <cell r="P2194" t="str">
            <v>Ls</v>
          </cell>
          <cell r="Q2194">
            <v>1</v>
          </cell>
          <cell r="R2194">
            <v>750</v>
          </cell>
          <cell r="U2194">
            <v>750</v>
          </cell>
        </row>
        <row r="2202">
          <cell r="Q2202" t="str">
            <v xml:space="preserve">JUMLAH HARGA PERALATAN   </v>
          </cell>
          <cell r="U2202">
            <v>750</v>
          </cell>
        </row>
        <row r="2204">
          <cell r="L2204" t="str">
            <v>D.</v>
          </cell>
          <cell r="N2204" t="str">
            <v>JUMLAH HARGA TENAGA, BAHAN DAN PERALATAN  ( A + B + C )</v>
          </cell>
          <cell r="U2204">
            <v>327336.25</v>
          </cell>
        </row>
        <row r="2205">
          <cell r="L2205" t="str">
            <v>E.</v>
          </cell>
          <cell r="N2205" t="str">
            <v>OVERHEAD &amp; PROFIT</v>
          </cell>
          <cell r="P2205">
            <v>10</v>
          </cell>
          <cell r="Q2205" t="str">
            <v>%  x  D</v>
          </cell>
          <cell r="U2205">
            <v>32733.625</v>
          </cell>
        </row>
        <row r="2206">
          <cell r="L2206" t="str">
            <v>F.</v>
          </cell>
          <cell r="N2206" t="str">
            <v>HARGA SATUAN PEKERJAAN  ( D + E )</v>
          </cell>
          <cell r="U2206">
            <v>360069.875</v>
          </cell>
        </row>
        <row r="2207">
          <cell r="L2207" t="str">
            <v>Note: 1</v>
          </cell>
          <cell r="N2207" t="str">
            <v>SATUAN dapat berdasarkan atas jam operasi untuk Tenaga Kerja dan Peralatan, volume dan/atau ukuran</v>
          </cell>
        </row>
        <row r="2208">
          <cell r="N2208" t="str">
            <v>berat untuk bahan-bahan.</v>
          </cell>
        </row>
        <row r="2209">
          <cell r="L2209">
            <v>2</v>
          </cell>
          <cell r="N2209" t="str">
            <v>Kuantitas satuan adalah kuantitas setiap komponen untuk menyelesaikan satu satuan pekerjaan dari nomor</v>
          </cell>
        </row>
        <row r="2210">
          <cell r="N2210" t="str">
            <v>mata pembayaran.</v>
          </cell>
        </row>
        <row r="2211">
          <cell r="L2211">
            <v>3</v>
          </cell>
          <cell r="N2211" t="str">
            <v>Biaya satuan untuk peralatan sudah termasuk bahan bakar, bahan habis dipakai dan operator.</v>
          </cell>
        </row>
        <row r="2212">
          <cell r="L2212">
            <v>4</v>
          </cell>
          <cell r="N2212" t="str">
            <v>Biaya satuan sudah termasuk pengeluaran untuk seluruh pajak yang berkaitan (tetapi tidak termasuk PPN</v>
          </cell>
        </row>
        <row r="2213">
          <cell r="N2213" t="str">
            <v>yang dibayar dari kontrak) dan biaya-biaya lainnya.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Anl-Alt"/>
      <sheetName val="Ls-Mobilisasi (OK)"/>
      <sheetName val="REKAP(copy) ok"/>
      <sheetName val="Ur-Anl"/>
      <sheetName val="BQ(copy) ok"/>
      <sheetName val="Analisa (ok)"/>
      <sheetName val="SAT-DAS"/>
      <sheetName val="Anl-Bhn (ok)"/>
      <sheetName val="Lamp-14 -Hit-Alt"/>
      <sheetName val="Lamp-13-Pengg Alat"/>
      <sheetName val="Lamp-1 (Schedule ok"/>
      <sheetName val="Lamp-4 (Pemel. Rutin)"/>
      <sheetName val="Lamp-5 (On Site)"/>
      <sheetName val="Lamp-6 (Plant)"/>
      <sheetName val="Lamp-7 (Df-Utm) ok"/>
      <sheetName val="Lamp-8 (Kont Seleksi)"/>
      <sheetName val="Lamp-9 (Df-Alat)"/>
      <sheetName val="Lamp-10"/>
      <sheetName val="Lamp-11 (Sub-kont) ok"/>
      <sheetName val="Lamp-14 (Lamp-Penaw) OK"/>
      <sheetName val="Lamp-12 (Metod-Pel)"/>
      <sheetName val="Lamp-13 (Guna Alt)"/>
      <sheetName val="D"/>
      <sheetName val="In-Umu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5">
          <cell r="J15">
            <v>4250</v>
          </cell>
        </row>
        <row r="22">
          <cell r="J22">
            <v>127400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ah"/>
      <sheetName val="ANALISA"/>
      <sheetName val="RAB bangunan depan"/>
      <sheetName val="RAB bangunan belakang"/>
      <sheetName val="rekapitulasi"/>
      <sheetName val="jadwal"/>
      <sheetName val="H_BHN"/>
      <sheetName val="DRUP (ASLI)"/>
      <sheetName val="L 1"/>
      <sheetName val="SEX"/>
      <sheetName val="UPAH&amp;BAHAN"/>
      <sheetName val="NP"/>
      <sheetName val="Uraian Anl Gali"/>
      <sheetName val="AHSP"/>
    </sheetNames>
    <sheetDataSet>
      <sheetData sheetId="0" refreshError="1">
        <row r="5">
          <cell r="F5">
            <v>50000</v>
          </cell>
        </row>
        <row r="14">
          <cell r="F14">
            <v>140000</v>
          </cell>
        </row>
        <row r="17">
          <cell r="F17">
            <v>34000</v>
          </cell>
        </row>
        <row r="18">
          <cell r="F18">
            <v>50000</v>
          </cell>
        </row>
        <row r="19">
          <cell r="F19">
            <v>45000</v>
          </cell>
        </row>
        <row r="20">
          <cell r="F20">
            <v>45000</v>
          </cell>
        </row>
        <row r="21">
          <cell r="F21">
            <v>47500</v>
          </cell>
        </row>
        <row r="28">
          <cell r="F28">
            <v>65000</v>
          </cell>
        </row>
        <row r="32">
          <cell r="F32">
            <v>3500000</v>
          </cell>
        </row>
        <row r="33">
          <cell r="F33">
            <v>2700000</v>
          </cell>
        </row>
        <row r="35">
          <cell r="F35">
            <v>7500</v>
          </cell>
        </row>
        <row r="39">
          <cell r="F39">
            <v>70000</v>
          </cell>
        </row>
        <row r="40">
          <cell r="F40">
            <v>15000</v>
          </cell>
        </row>
        <row r="41">
          <cell r="F41">
            <v>92000</v>
          </cell>
        </row>
        <row r="44">
          <cell r="F44">
            <v>16500</v>
          </cell>
        </row>
        <row r="45">
          <cell r="F45">
            <v>12500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REKAP RAB ALL"/>
      <sheetName val="RAB MEURAH DUA. OK"/>
      <sheetName val="1. RAB. OK"/>
      <sheetName val="JANGKA BUYA"/>
      <sheetName val="2. RAB . OK"/>
      <sheetName val="PANTE RAJA"/>
      <sheetName val="3. RAB. OK"/>
      <sheetName val="BANDAR DUA"/>
      <sheetName val="4. RAB OK"/>
      <sheetName val="ANALISA 2016"/>
      <sheetName val="HARGA UPAH BAHAN"/>
      <sheetName val="1. BACKUP DATA"/>
      <sheetName val="1. ANALISA TEKNIS BETON"/>
      <sheetName val="2. BACKUP DATA "/>
      <sheetName val="2. ANALISA TEKNIS BETON"/>
      <sheetName val="3. BACKUP DATA "/>
      <sheetName val="3. ANALISA TEKNIS BETON"/>
      <sheetName val="4. BACKUP DATA"/>
      <sheetName val="PERHITUNGAN K-3"/>
      <sheetName val="TEMPLITE"/>
      <sheetName val="TEMPLITE SPSE"/>
      <sheetName val="Sheet6"/>
      <sheetName val="Sheet5"/>
      <sheetName val="PERHITUNGAN K -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D7">
            <v>88000</v>
          </cell>
        </row>
        <row r="8">
          <cell r="D8">
            <v>100000</v>
          </cell>
        </row>
        <row r="9">
          <cell r="D9">
            <v>130000</v>
          </cell>
        </row>
        <row r="10">
          <cell r="D10">
            <v>110000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"/>
      <sheetName val="rab"/>
      <sheetName val="analisa"/>
      <sheetName val="rekap"/>
      <sheetName val="DRUP (ASLI)"/>
      <sheetName val="cover"/>
      <sheetName val="Pengesahan"/>
      <sheetName val="Analis"/>
      <sheetName val="H.bh"/>
      <sheetName val="Bill of Quantities"/>
      <sheetName val="TAB"/>
      <sheetName val="DH"/>
    </sheetNames>
    <sheetDataSet>
      <sheetData sheetId="0" refreshError="1">
        <row r="6">
          <cell r="D6">
            <v>25000</v>
          </cell>
        </row>
        <row r="29">
          <cell r="D29">
            <v>17340</v>
          </cell>
        </row>
        <row r="42">
          <cell r="D42">
            <v>1800000</v>
          </cell>
        </row>
        <row r="78">
          <cell r="D78">
            <v>5985</v>
          </cell>
        </row>
        <row r="79">
          <cell r="D79">
            <v>5985</v>
          </cell>
        </row>
        <row r="80">
          <cell r="D80">
            <v>75000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Hrg"/>
      <sheetName val="Anl (3)"/>
      <sheetName val="Sheet2"/>
      <sheetName val="Sheet3"/>
    </sheetNames>
    <sheetDataSet>
      <sheetData sheetId="0"/>
      <sheetData sheetId="1">
        <row r="8">
          <cell r="B8" t="str">
            <v>BAHAN</v>
          </cell>
        </row>
        <row r="9">
          <cell r="B9" t="str">
            <v>Batu Bata</v>
          </cell>
          <cell r="D9" t="str">
            <v>Bh</v>
          </cell>
          <cell r="E9" t="str">
            <v>Rp</v>
          </cell>
          <cell r="F9">
            <v>525</v>
          </cell>
        </row>
        <row r="10">
          <cell r="B10" t="str">
            <v>Besi beton</v>
          </cell>
          <cell r="D10" t="str">
            <v>Kg</v>
          </cell>
          <cell r="E10" t="str">
            <v>Rp</v>
          </cell>
          <cell r="F10">
            <v>5000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alatan"/>
      <sheetName val="Peralatan (2)"/>
    </sheetNames>
    <sheetDataSet>
      <sheetData sheetId="0"/>
      <sheetData sheetId="1">
        <row r="26">
          <cell r="R26" t="str">
            <v xml:space="preserve"> Alat Baru</v>
          </cell>
        </row>
        <row r="27">
          <cell r="R27">
            <v>276000000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Hrg"/>
      <sheetName val="Anl (2)"/>
      <sheetName val="Sheet2"/>
      <sheetName val="Sheet3"/>
    </sheetNames>
    <sheetDataSet>
      <sheetData sheetId="0"/>
      <sheetData sheetId="1">
        <row r="8">
          <cell r="B8" t="str">
            <v>BAHAN</v>
          </cell>
        </row>
        <row r="9">
          <cell r="B9" t="str">
            <v>Batu Bata</v>
          </cell>
          <cell r="D9" t="str">
            <v>Bh</v>
          </cell>
          <cell r="E9" t="str">
            <v>Rp</v>
          </cell>
          <cell r="F9">
            <v>525</v>
          </cell>
        </row>
      </sheetData>
      <sheetData sheetId="2"/>
      <sheetData sheetId="3"/>
      <sheetData sheetId="4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rt-Penawaran"/>
      <sheetName val="RAB"/>
      <sheetName val="Hitungan"/>
      <sheetName val="Analisa"/>
      <sheetName val="Harga"/>
      <sheetName val="Time"/>
      <sheetName val="metoda"/>
      <sheetName val="Integritas"/>
      <sheetName val="Neraca"/>
      <sheetName val="Data"/>
      <sheetName val="Struktur"/>
      <sheetName val="Pernyataa"/>
      <sheetName val="tpl amplop"/>
      <sheetName val="Sheet1"/>
      <sheetName val="Sheet2"/>
      <sheetName val="Sheet3"/>
      <sheetName val="Hrg"/>
      <sheetName val="HS"/>
      <sheetName val="harga satuan pekerjaan"/>
      <sheetName val="HARGA BAHAN"/>
      <sheetName val="Rab."/>
      <sheetName val="DRUP (ASLI)"/>
      <sheetName val="Anl. SNI"/>
      <sheetName val="H_BHN"/>
      <sheetName val="Upah&amp;Bahan"/>
    </sheetNames>
    <sheetDataSet>
      <sheetData sheetId="0" refreshError="1">
        <row r="2">
          <cell r="B2" t="str">
            <v>FONT</v>
          </cell>
          <cell r="C2" t="str">
            <v>Sylfaen</v>
          </cell>
          <cell r="D2">
            <v>53000</v>
          </cell>
        </row>
        <row r="3">
          <cell r="B3" t="str">
            <v>Mekanik</v>
          </cell>
          <cell r="D3">
            <v>50000</v>
          </cell>
          <cell r="E3" t="str">
            <v>Org/hr</v>
          </cell>
        </row>
        <row r="4">
          <cell r="B4" t="str">
            <v>Kegiatan</v>
          </cell>
          <cell r="D4">
            <v>25000</v>
          </cell>
          <cell r="E4" t="str">
            <v>:</v>
          </cell>
        </row>
        <row r="5">
          <cell r="B5" t="str">
            <v>Pekerjaaan</v>
          </cell>
          <cell r="D5">
            <v>72000</v>
          </cell>
          <cell r="E5" t="str">
            <v>:</v>
          </cell>
        </row>
        <row r="6">
          <cell r="B6" t="str">
            <v>Lokasi</v>
          </cell>
          <cell r="D6">
            <v>58000</v>
          </cell>
          <cell r="E6" t="str">
            <v>:</v>
          </cell>
        </row>
        <row r="7">
          <cell r="B7" t="str">
            <v>No. Paket</v>
          </cell>
          <cell r="D7">
            <v>100000</v>
          </cell>
          <cell r="E7" t="str">
            <v>:</v>
          </cell>
        </row>
        <row r="8">
          <cell r="B8" t="str">
            <v>HPS / OE</v>
          </cell>
          <cell r="D8">
            <v>60000</v>
          </cell>
          <cell r="E8" t="str">
            <v>:</v>
          </cell>
        </row>
        <row r="9">
          <cell r="B9" t="str">
            <v>Thn. Anggaran</v>
          </cell>
          <cell r="D9">
            <v>65000</v>
          </cell>
          <cell r="E9" t="str">
            <v>:</v>
          </cell>
        </row>
        <row r="10">
          <cell r="B10" t="str">
            <v xml:space="preserve">Lama Pekerjaan </v>
          </cell>
          <cell r="D10">
            <v>50000</v>
          </cell>
          <cell r="E10" t="str">
            <v>:</v>
          </cell>
        </row>
        <row r="11">
          <cell r="B11" t="str">
            <v>Masa Penawaran</v>
          </cell>
          <cell r="D11">
            <v>40000</v>
          </cell>
          <cell r="E11" t="str">
            <v>:</v>
          </cell>
        </row>
        <row r="12">
          <cell r="B12" t="str">
            <v>Info Lelang</v>
          </cell>
          <cell r="D12">
            <v>25000</v>
          </cell>
          <cell r="E12" t="str">
            <v>:</v>
          </cell>
        </row>
        <row r="13">
          <cell r="B13" t="str">
            <v>No. Pengumuman</v>
          </cell>
          <cell r="D13">
            <v>26000</v>
          </cell>
          <cell r="E13" t="str">
            <v>:</v>
          </cell>
        </row>
        <row r="14">
          <cell r="B14" t="str">
            <v>Tgl Pengumuman</v>
          </cell>
          <cell r="D14">
            <v>27000</v>
          </cell>
          <cell r="E14" t="str">
            <v>:</v>
          </cell>
        </row>
        <row r="15">
          <cell r="B15" t="str">
            <v>Ditujukan</v>
          </cell>
          <cell r="D15">
            <v>39000</v>
          </cell>
          <cell r="E15" t="str">
            <v>:</v>
          </cell>
        </row>
        <row r="16">
          <cell r="B16" t="str">
            <v>Mandor</v>
          </cell>
          <cell r="D16">
            <v>53000</v>
          </cell>
          <cell r="E16" t="str">
            <v>Org/hr</v>
          </cell>
        </row>
        <row r="17">
          <cell r="B17" t="str">
            <v>Masinis</v>
          </cell>
          <cell r="D17">
            <v>100000</v>
          </cell>
          <cell r="E17" t="str">
            <v>Org/hr</v>
          </cell>
        </row>
        <row r="18">
          <cell r="B18" t="str">
            <v>Operator</v>
          </cell>
          <cell r="D18">
            <v>100000</v>
          </cell>
          <cell r="E18" t="str">
            <v>Org/hr</v>
          </cell>
        </row>
        <row r="19">
          <cell r="B19" t="str">
            <v>Pekerja</v>
          </cell>
          <cell r="D19">
            <v>39000</v>
          </cell>
          <cell r="E19" t="str">
            <v>Org/hr</v>
          </cell>
        </row>
        <row r="20">
          <cell r="B20" t="str">
            <v>Perusahaan</v>
          </cell>
          <cell r="D20">
            <v>39000</v>
          </cell>
          <cell r="E20" t="str">
            <v>:</v>
          </cell>
        </row>
        <row r="21">
          <cell r="B21" t="str">
            <v>Alamat</v>
          </cell>
          <cell r="D21">
            <v>39000</v>
          </cell>
          <cell r="E21" t="str">
            <v>:</v>
          </cell>
        </row>
        <row r="22">
          <cell r="B22" t="str">
            <v>Pembantu masinis</v>
          </cell>
          <cell r="D22">
            <v>65000</v>
          </cell>
          <cell r="E22" t="str">
            <v>Org/hr</v>
          </cell>
        </row>
        <row r="23">
          <cell r="B23" t="str">
            <v>Pembantu Mekanik</v>
          </cell>
          <cell r="D23">
            <v>50000</v>
          </cell>
          <cell r="E23" t="str">
            <v>Org/hr</v>
          </cell>
        </row>
        <row r="24">
          <cell r="B24" t="str">
            <v>NPWP</v>
          </cell>
          <cell r="D24">
            <v>33000</v>
          </cell>
          <cell r="E24" t="str">
            <v>:</v>
          </cell>
        </row>
        <row r="25">
          <cell r="B25" t="str">
            <v>Pimpinan/jabatan</v>
          </cell>
          <cell r="D25">
            <v>67000</v>
          </cell>
          <cell r="E25" t="str">
            <v>:</v>
          </cell>
        </row>
        <row r="26">
          <cell r="B26" t="str">
            <v>Tukang batu</v>
          </cell>
          <cell r="D26">
            <v>58000</v>
          </cell>
          <cell r="E26" t="str">
            <v>Org/hr</v>
          </cell>
        </row>
        <row r="27">
          <cell r="B27" t="str">
            <v>Telepon/Fax, Email</v>
          </cell>
          <cell r="D27">
            <v>58000</v>
          </cell>
          <cell r="E27" t="str">
            <v>:</v>
          </cell>
        </row>
        <row r="28">
          <cell r="B28" t="str">
            <v>Telepon</v>
          </cell>
          <cell r="D28">
            <v>58000</v>
          </cell>
          <cell r="E28" t="str">
            <v>:</v>
          </cell>
        </row>
        <row r="29">
          <cell r="B29" t="str">
            <v>Fax</v>
          </cell>
          <cell r="D29">
            <v>30000</v>
          </cell>
          <cell r="E29" t="str">
            <v>:</v>
          </cell>
        </row>
        <row r="30">
          <cell r="B30" t="str">
            <v>Email</v>
          </cell>
          <cell r="D30">
            <v>35000</v>
          </cell>
          <cell r="E30" t="str">
            <v>:</v>
          </cell>
        </row>
        <row r="32">
          <cell r="B32" t="str">
            <v>Status Kantor</v>
          </cell>
          <cell r="E32" t="str">
            <v>:</v>
          </cell>
        </row>
        <row r="33">
          <cell r="B33" t="str">
            <v>Kab./ Kota</v>
          </cell>
          <cell r="E33" t="str">
            <v>:</v>
          </cell>
        </row>
        <row r="34">
          <cell r="B34" t="str">
            <v>No. Surat Penawaran</v>
          </cell>
          <cell r="E34" t="str">
            <v>:</v>
          </cell>
        </row>
        <row r="35">
          <cell r="B35" t="str">
            <v>Tgl Surat Penawaran</v>
          </cell>
          <cell r="E35" t="str">
            <v>:</v>
          </cell>
        </row>
        <row r="37">
          <cell r="B37" t="str">
            <v>Tgl Prakualifikasi</v>
          </cell>
          <cell r="E37" t="str">
            <v>:</v>
          </cell>
        </row>
        <row r="38">
          <cell r="B38" t="str">
            <v>Alat bantu</v>
          </cell>
          <cell r="D38">
            <v>20000</v>
          </cell>
          <cell r="E38" t="str">
            <v>set</v>
          </cell>
        </row>
        <row r="39">
          <cell r="B39" t="str">
            <v>No.SIUJK / Tanggal</v>
          </cell>
          <cell r="D39">
            <v>5000</v>
          </cell>
          <cell r="E39" t="str">
            <v>:</v>
          </cell>
        </row>
        <row r="40">
          <cell r="B40" t="str">
            <v>Masa berlaku</v>
          </cell>
          <cell r="D40">
            <v>5000</v>
          </cell>
          <cell r="E40" t="str">
            <v>:</v>
          </cell>
        </row>
        <row r="41">
          <cell r="B41" t="str">
            <v>Pemberi Izin Usaha</v>
          </cell>
          <cell r="D41">
            <v>120000</v>
          </cell>
          <cell r="E41" t="str">
            <v>:</v>
          </cell>
        </row>
        <row r="42">
          <cell r="B42" t="str">
            <v>Batu Kali/Gunung/Belah</v>
          </cell>
          <cell r="D42">
            <v>164000</v>
          </cell>
          <cell r="E42" t="str">
            <v>m3</v>
          </cell>
        </row>
        <row r="43">
          <cell r="B43" t="str">
            <v>Akte Pendirian CV</v>
          </cell>
          <cell r="D43">
            <v>164000</v>
          </cell>
          <cell r="E43" t="str">
            <v>m3</v>
          </cell>
        </row>
        <row r="44">
          <cell r="B44" t="str">
            <v>a. Nomor Akte</v>
          </cell>
          <cell r="D44">
            <v>160000</v>
          </cell>
          <cell r="E44" t="str">
            <v>:</v>
          </cell>
        </row>
        <row r="45">
          <cell r="B45" t="str">
            <v>b. Tanggal</v>
          </cell>
          <cell r="D45">
            <v>153000</v>
          </cell>
          <cell r="E45" t="str">
            <v>:</v>
          </cell>
        </row>
        <row r="46">
          <cell r="B46" t="str">
            <v>c. Nama Notaris</v>
          </cell>
          <cell r="D46">
            <v>164000</v>
          </cell>
          <cell r="E46" t="str">
            <v>:</v>
          </cell>
        </row>
        <row r="47">
          <cell r="B47" t="str">
            <v>Batu kali</v>
          </cell>
          <cell r="D47">
            <v>164000</v>
          </cell>
          <cell r="E47" t="str">
            <v>m3</v>
          </cell>
        </row>
        <row r="48">
          <cell r="B48" t="str">
            <v>Akte Perubahan</v>
          </cell>
          <cell r="D48">
            <v>164000</v>
          </cell>
          <cell r="E48" t="str">
            <v>m3</v>
          </cell>
        </row>
        <row r="49">
          <cell r="B49" t="str">
            <v>a. Nomor Akte</v>
          </cell>
          <cell r="D49">
            <v>300000</v>
          </cell>
          <cell r="E49" t="str">
            <v>:</v>
          </cell>
        </row>
        <row r="50">
          <cell r="B50" t="str">
            <v>b. Tanggal</v>
          </cell>
          <cell r="D50">
            <v>250000</v>
          </cell>
          <cell r="E50" t="str">
            <v>:</v>
          </cell>
        </row>
        <row r="51">
          <cell r="B51" t="str">
            <v>c. Nama Notaris</v>
          </cell>
          <cell r="D51">
            <v>384000</v>
          </cell>
          <cell r="E51" t="str">
            <v>:</v>
          </cell>
        </row>
        <row r="52">
          <cell r="B52" t="str">
            <v>Batu pecah 2-3 cm</v>
          </cell>
          <cell r="D52">
            <v>384000</v>
          </cell>
          <cell r="E52" t="str">
            <v>m3</v>
          </cell>
        </row>
        <row r="53">
          <cell r="B53" t="str">
            <v>KTP + Nama</v>
          </cell>
          <cell r="D53">
            <v>275000</v>
          </cell>
          <cell r="E53" t="str">
            <v>m3</v>
          </cell>
        </row>
        <row r="54">
          <cell r="B54" t="str">
            <v>Direktur</v>
          </cell>
          <cell r="D54">
            <v>250000</v>
          </cell>
          <cell r="E54" t="str">
            <v>:</v>
          </cell>
        </row>
        <row r="55">
          <cell r="B55" t="str">
            <v>Wakil Direktur</v>
          </cell>
          <cell r="D55">
            <v>260000</v>
          </cell>
          <cell r="E55" t="str">
            <v>:</v>
          </cell>
        </row>
        <row r="56">
          <cell r="B56" t="str">
            <v>Komanditer</v>
          </cell>
          <cell r="D56">
            <v>8000</v>
          </cell>
          <cell r="E56" t="str">
            <v>:</v>
          </cell>
        </row>
        <row r="57">
          <cell r="B57" t="str">
            <v>Beton K-250</v>
          </cell>
          <cell r="D57">
            <v>800000</v>
          </cell>
          <cell r="E57" t="str">
            <v>buah</v>
          </cell>
        </row>
        <row r="58">
          <cell r="B58" t="str">
            <v>PAJAK</v>
          </cell>
          <cell r="D58">
            <v>975</v>
          </cell>
          <cell r="E58" t="str">
            <v>kg</v>
          </cell>
        </row>
        <row r="59">
          <cell r="B59" t="str">
            <v>SPT</v>
          </cell>
          <cell r="C59" t="str">
            <v>Nomor</v>
          </cell>
          <cell r="D59">
            <v>180000</v>
          </cell>
          <cell r="E59" t="str">
            <v>:</v>
          </cell>
        </row>
        <row r="60">
          <cell r="B60" t="str">
            <v>Gorong2 beton D=60 cm</v>
          </cell>
          <cell r="C60" t="str">
            <v>Tgl</v>
          </cell>
          <cell r="D60">
            <v>200000</v>
          </cell>
          <cell r="E60" t="str">
            <v>:</v>
          </cell>
        </row>
        <row r="61">
          <cell r="B61" t="str">
            <v>Gorong2 beton D=80 cm</v>
          </cell>
          <cell r="D61">
            <v>250000</v>
          </cell>
          <cell r="E61" t="str">
            <v>m</v>
          </cell>
        </row>
        <row r="62">
          <cell r="B62" t="str">
            <v>SSP</v>
          </cell>
          <cell r="C62" t="str">
            <v>Bulan</v>
          </cell>
          <cell r="D62">
            <v>13000</v>
          </cell>
          <cell r="E62" t="str">
            <v>:</v>
          </cell>
        </row>
        <row r="63">
          <cell r="B63" t="str">
            <v>Kawat Galvanis 4mm</v>
          </cell>
          <cell r="C63" t="str">
            <v>Nomor</v>
          </cell>
          <cell r="D63">
            <v>12000</v>
          </cell>
          <cell r="E63" t="str">
            <v>:</v>
          </cell>
        </row>
        <row r="64">
          <cell r="B64" t="str">
            <v>Kayu bakau</v>
          </cell>
          <cell r="C64" t="str">
            <v>Tgl</v>
          </cell>
          <cell r="D64">
            <v>57000</v>
          </cell>
          <cell r="E64" t="str">
            <v>:</v>
          </cell>
        </row>
        <row r="65">
          <cell r="B65" t="str">
            <v>kayu bekisting klas III</v>
          </cell>
          <cell r="D65">
            <v>1950000</v>
          </cell>
          <cell r="E65" t="str">
            <v>m3</v>
          </cell>
        </row>
        <row r="66">
          <cell r="B66" t="str">
            <v>Kayu papan  perancah</v>
          </cell>
          <cell r="C66" t="str">
            <v>Bulan</v>
          </cell>
          <cell r="D66">
            <v>2572000</v>
          </cell>
          <cell r="E66" t="str">
            <v>:</v>
          </cell>
        </row>
        <row r="67">
          <cell r="B67" t="str">
            <v>Kayu perancah</v>
          </cell>
          <cell r="C67" t="str">
            <v>Nomor</v>
          </cell>
          <cell r="D67">
            <v>3250000</v>
          </cell>
          <cell r="E67" t="str">
            <v>:</v>
          </cell>
        </row>
        <row r="68">
          <cell r="B68" t="str">
            <v>Keramik 30 x 30 cm</v>
          </cell>
          <cell r="C68" t="str">
            <v>Tgl</v>
          </cell>
          <cell r="D68">
            <v>62000</v>
          </cell>
          <cell r="E68" t="str">
            <v>:</v>
          </cell>
        </row>
        <row r="69">
          <cell r="B69" t="str">
            <v>Kerikil</v>
          </cell>
          <cell r="D69">
            <v>103000</v>
          </cell>
          <cell r="E69" t="str">
            <v>:</v>
          </cell>
        </row>
        <row r="70">
          <cell r="B70" t="str">
            <v>Kerikil dari galian bukit</v>
          </cell>
          <cell r="C70" t="str">
            <v>Bulan</v>
          </cell>
          <cell r="D70">
            <v>164000</v>
          </cell>
          <cell r="E70" t="str">
            <v>:</v>
          </cell>
        </row>
        <row r="71">
          <cell r="B71" t="str">
            <v>Kerikil Sungai</v>
          </cell>
          <cell r="C71" t="str">
            <v>Nomor</v>
          </cell>
          <cell r="D71">
            <v>118750</v>
          </cell>
          <cell r="E71" t="str">
            <v>:</v>
          </cell>
        </row>
        <row r="72">
          <cell r="B72" t="str">
            <v>Kerikil sungai ayak</v>
          </cell>
          <cell r="C72" t="str">
            <v>Tgl</v>
          </cell>
          <cell r="D72">
            <v>112000</v>
          </cell>
          <cell r="E72" t="str">
            <v>:</v>
          </cell>
        </row>
        <row r="73">
          <cell r="B73" t="str">
            <v>Kerikil sungai royalty</v>
          </cell>
          <cell r="D73">
            <v>118000</v>
          </cell>
          <cell r="E73" t="str">
            <v>m3</v>
          </cell>
        </row>
        <row r="74">
          <cell r="B74" t="str">
            <v>DAFTAR PERSONAL</v>
          </cell>
          <cell r="D74">
            <v>62000</v>
          </cell>
          <cell r="E74" t="str">
            <v>m3</v>
          </cell>
        </row>
        <row r="75">
          <cell r="B75" t="str">
            <v>Direktur</v>
          </cell>
          <cell r="D75">
            <v>87000</v>
          </cell>
          <cell r="E75" t="str">
            <v>:</v>
          </cell>
        </row>
        <row r="76">
          <cell r="B76" t="str">
            <v>Wakil Direktur</v>
          </cell>
          <cell r="D76">
            <v>19000</v>
          </cell>
          <cell r="E76" t="str">
            <v>:</v>
          </cell>
        </row>
        <row r="77">
          <cell r="B77" t="str">
            <v>Site Manager</v>
          </cell>
          <cell r="D77">
            <v>5000</v>
          </cell>
          <cell r="E77" t="str">
            <v>:</v>
          </cell>
        </row>
        <row r="78">
          <cell r="B78" t="str">
            <v>Pelaksana Lapangan</v>
          </cell>
          <cell r="D78">
            <v>11000</v>
          </cell>
          <cell r="E78" t="str">
            <v>:</v>
          </cell>
        </row>
        <row r="79">
          <cell r="B79" t="str">
            <v>Juru Gambar/Juru Ukur</v>
          </cell>
          <cell r="D79">
            <v>2572000</v>
          </cell>
          <cell r="E79" t="str">
            <v>:</v>
          </cell>
        </row>
        <row r="80">
          <cell r="B80" t="str">
            <v>Keuangan</v>
          </cell>
          <cell r="D80">
            <v>103000</v>
          </cell>
          <cell r="E80" t="str">
            <v>:</v>
          </cell>
        </row>
        <row r="81">
          <cell r="B81" t="str">
            <v>Administrasi</v>
          </cell>
          <cell r="D81">
            <v>100000</v>
          </cell>
          <cell r="E81" t="str">
            <v>:</v>
          </cell>
        </row>
        <row r="82">
          <cell r="B82" t="str">
            <v>Pasir urug</v>
          </cell>
          <cell r="D82">
            <v>84000</v>
          </cell>
          <cell r="E82" t="str">
            <v>m3</v>
          </cell>
        </row>
        <row r="83">
          <cell r="B83" t="str">
            <v>DAFTAR PERALATAN</v>
          </cell>
          <cell r="D83">
            <v>84000</v>
          </cell>
          <cell r="E83" t="str">
            <v>m3</v>
          </cell>
        </row>
        <row r="84">
          <cell r="B84" t="str">
            <v>NO</v>
          </cell>
          <cell r="C84" t="str">
            <v>KODE</v>
          </cell>
          <cell r="D84" t="str">
            <v>JLH</v>
          </cell>
          <cell r="E84" t="str">
            <v>zak</v>
          </cell>
        </row>
        <row r="85">
          <cell r="B85">
            <v>1</v>
          </cell>
          <cell r="C85">
            <v>103</v>
          </cell>
          <cell r="D85">
            <v>2</v>
          </cell>
          <cell r="E85" t="str">
            <v>buah</v>
          </cell>
        </row>
        <row r="86">
          <cell r="B86">
            <v>2</v>
          </cell>
          <cell r="C86">
            <v>105</v>
          </cell>
          <cell r="D86">
            <v>1</v>
          </cell>
          <cell r="E86" t="str">
            <v>buah</v>
          </cell>
        </row>
        <row r="87">
          <cell r="B87">
            <v>3</v>
          </cell>
          <cell r="C87">
            <v>107</v>
          </cell>
          <cell r="D87">
            <v>2</v>
          </cell>
          <cell r="E87" t="str">
            <v>set</v>
          </cell>
        </row>
        <row r="88">
          <cell r="B88">
            <v>4</v>
          </cell>
          <cell r="C88">
            <v>201</v>
          </cell>
          <cell r="D88">
            <v>2</v>
          </cell>
          <cell r="E88" t="str">
            <v>set</v>
          </cell>
        </row>
        <row r="89">
          <cell r="B89">
            <v>5</v>
          </cell>
          <cell r="C89">
            <v>215</v>
          </cell>
          <cell r="D89">
            <v>4</v>
          </cell>
          <cell r="E89" t="str">
            <v>set</v>
          </cell>
        </row>
        <row r="90">
          <cell r="B90">
            <v>6</v>
          </cell>
          <cell r="C90">
            <v>209</v>
          </cell>
          <cell r="D90">
            <v>1</v>
          </cell>
          <cell r="E90" t="str">
            <v>unit</v>
          </cell>
        </row>
        <row r="91">
          <cell r="B91">
            <v>7</v>
          </cell>
          <cell r="C91">
            <v>212</v>
          </cell>
          <cell r="D91">
            <v>1</v>
          </cell>
          <cell r="E91" t="str">
            <v>unit</v>
          </cell>
        </row>
        <row r="92">
          <cell r="B92">
            <v>8</v>
          </cell>
          <cell r="C92">
            <v>214</v>
          </cell>
          <cell r="D92">
            <v>1</v>
          </cell>
          <cell r="E92" t="str">
            <v>unit</v>
          </cell>
        </row>
        <row r="93">
          <cell r="B93">
            <v>9</v>
          </cell>
          <cell r="C93" t="str">
            <v>-</v>
          </cell>
          <cell r="D93">
            <v>1</v>
          </cell>
          <cell r="E93" t="e">
            <v>#N/A</v>
          </cell>
        </row>
        <row r="94">
          <cell r="B94">
            <v>10</v>
          </cell>
          <cell r="C94" t="str">
            <v>-</v>
          </cell>
          <cell r="D94">
            <v>1</v>
          </cell>
          <cell r="E94" t="e">
            <v>#N/A</v>
          </cell>
        </row>
        <row r="95">
          <cell r="B95" t="str">
            <v>Semen (40 kg)</v>
          </cell>
          <cell r="D95">
            <v>36000</v>
          </cell>
          <cell r="E95" t="str">
            <v>zak</v>
          </cell>
        </row>
        <row r="96">
          <cell r="B96" t="str">
            <v>Alat</v>
          </cell>
          <cell r="D96">
            <v>36000</v>
          </cell>
          <cell r="E96" t="str">
            <v>zak</v>
          </cell>
        </row>
        <row r="97">
          <cell r="B97">
            <v>101</v>
          </cell>
          <cell r="C97" t="str">
            <v>Komputer</v>
          </cell>
          <cell r="D97">
            <v>101000</v>
          </cell>
          <cell r="E97" t="str">
            <v>zak</v>
          </cell>
        </row>
        <row r="98">
          <cell r="B98">
            <v>102</v>
          </cell>
          <cell r="C98" t="str">
            <v>Meja</v>
          </cell>
          <cell r="D98">
            <v>187500</v>
          </cell>
          <cell r="E98" t="str">
            <v>m3</v>
          </cell>
        </row>
        <row r="99">
          <cell r="B99">
            <v>103</v>
          </cell>
          <cell r="C99" t="str">
            <v>Kursi</v>
          </cell>
          <cell r="D99">
            <v>300000</v>
          </cell>
          <cell r="E99" t="str">
            <v>m3</v>
          </cell>
        </row>
        <row r="100">
          <cell r="B100">
            <v>104</v>
          </cell>
          <cell r="C100" t="str">
            <v>Air Condicioner</v>
          </cell>
          <cell r="D100">
            <v>250000</v>
          </cell>
          <cell r="E100" t="str">
            <v>lt</v>
          </cell>
        </row>
        <row r="101">
          <cell r="B101">
            <v>105</v>
          </cell>
          <cell r="C101" t="str">
            <v>Mesin Tik</v>
          </cell>
          <cell r="D101">
            <v>350000</v>
          </cell>
          <cell r="E101" t="str">
            <v>m3</v>
          </cell>
        </row>
        <row r="102">
          <cell r="B102">
            <v>106</v>
          </cell>
          <cell r="C102" t="str">
            <v>Filling Kabinet</v>
          </cell>
          <cell r="D102">
            <v>150000</v>
          </cell>
          <cell r="E102" t="str">
            <v>kg</v>
          </cell>
        </row>
        <row r="103">
          <cell r="B103">
            <v>107</v>
          </cell>
          <cell r="C103" t="str">
            <v>Meja Gambar</v>
          </cell>
          <cell r="D103">
            <v>150000</v>
          </cell>
          <cell r="E103" t="str">
            <v>m3</v>
          </cell>
        </row>
        <row r="104">
          <cell r="B104" t="str">
            <v>Tractor Wheeled</v>
          </cell>
          <cell r="D104">
            <v>60000</v>
          </cell>
          <cell r="E104" t="str">
            <v>m3</v>
          </cell>
        </row>
        <row r="105">
          <cell r="B105" t="str">
            <v>Mesin gilas 3 roda  6-8 t</v>
          </cell>
          <cell r="D105">
            <v>90000</v>
          </cell>
        </row>
        <row r="106">
          <cell r="B106">
            <v>201</v>
          </cell>
          <cell r="C106" t="str">
            <v>Alat-alat Pertukangan</v>
          </cell>
          <cell r="D106">
            <v>80000</v>
          </cell>
        </row>
        <row r="107">
          <cell r="B107">
            <v>202</v>
          </cell>
          <cell r="C107" t="str">
            <v>Mixer Concrete</v>
          </cell>
          <cell r="D107">
            <v>130000</v>
          </cell>
        </row>
        <row r="108">
          <cell r="B108">
            <v>203</v>
          </cell>
          <cell r="C108" t="str">
            <v>Mixer Concrete</v>
          </cell>
          <cell r="D108">
            <v>140000</v>
          </cell>
        </row>
        <row r="109">
          <cell r="B109">
            <v>204</v>
          </cell>
          <cell r="C109" t="str">
            <v>Kereta Sorong</v>
          </cell>
          <cell r="D109">
            <v>50000</v>
          </cell>
        </row>
        <row r="110">
          <cell r="B110">
            <v>205</v>
          </cell>
          <cell r="C110" t="str">
            <v>Pompa air</v>
          </cell>
          <cell r="D110">
            <v>15000</v>
          </cell>
        </row>
        <row r="111">
          <cell r="B111">
            <v>206</v>
          </cell>
          <cell r="C111" t="str">
            <v>Pompa air</v>
          </cell>
          <cell r="D111">
            <v>20000</v>
          </cell>
        </row>
        <row r="112">
          <cell r="B112">
            <v>207</v>
          </cell>
          <cell r="C112" t="str">
            <v>Genset</v>
          </cell>
          <cell r="D112">
            <v>100000</v>
          </cell>
        </row>
        <row r="113">
          <cell r="B113">
            <v>208</v>
          </cell>
          <cell r="C113" t="str">
            <v>Genset</v>
          </cell>
          <cell r="D113">
            <v>30000</v>
          </cell>
        </row>
        <row r="114">
          <cell r="B114">
            <v>209</v>
          </cell>
          <cell r="C114" t="str">
            <v>Pick up</v>
          </cell>
          <cell r="D114">
            <v>700000</v>
          </cell>
        </row>
        <row r="115">
          <cell r="B115">
            <v>210</v>
          </cell>
          <cell r="C115" t="str">
            <v>Truck</v>
          </cell>
          <cell r="D115">
            <v>120000</v>
          </cell>
        </row>
        <row r="116">
          <cell r="B116">
            <v>211</v>
          </cell>
          <cell r="C116" t="str">
            <v>Stamper</v>
          </cell>
          <cell r="D116">
            <v>100000</v>
          </cell>
        </row>
        <row r="117">
          <cell r="B117">
            <v>212</v>
          </cell>
          <cell r="C117" t="str">
            <v>Theodolit</v>
          </cell>
          <cell r="D117">
            <v>100000</v>
          </cell>
        </row>
        <row r="118">
          <cell r="B118">
            <v>213</v>
          </cell>
          <cell r="C118" t="str">
            <v>Vibrator</v>
          </cell>
          <cell r="D118">
            <v>100000</v>
          </cell>
        </row>
        <row r="119">
          <cell r="B119">
            <v>214</v>
          </cell>
          <cell r="C119" t="str">
            <v>Stamper</v>
          </cell>
          <cell r="D119">
            <v>120000</v>
          </cell>
        </row>
        <row r="120">
          <cell r="B120">
            <v>215</v>
          </cell>
          <cell r="C120" t="str">
            <v>Peralatan masak aspal</v>
          </cell>
          <cell r="D120">
            <v>150000</v>
          </cell>
        </row>
        <row r="121">
          <cell r="B121" t="str">
            <v>Concrete Mixer 0,125 m3</v>
          </cell>
          <cell r="D121">
            <v>20000</v>
          </cell>
        </row>
        <row r="122">
          <cell r="B122" t="str">
            <v>Conc. Mixer 0,250 m3</v>
          </cell>
          <cell r="D122">
            <v>30000</v>
          </cell>
        </row>
        <row r="123">
          <cell r="B123">
            <v>301</v>
          </cell>
          <cell r="C123" t="str">
            <v>Budozer</v>
          </cell>
          <cell r="D123">
            <v>60000</v>
          </cell>
        </row>
        <row r="124">
          <cell r="B124">
            <v>302</v>
          </cell>
          <cell r="C124" t="str">
            <v>Motor Greder</v>
          </cell>
          <cell r="D124">
            <v>50000</v>
          </cell>
        </row>
        <row r="125">
          <cell r="B125">
            <v>303</v>
          </cell>
          <cell r="C125" t="str">
            <v>Crusher/scr 30 t/h</v>
          </cell>
          <cell r="D125">
            <v>15000</v>
          </cell>
        </row>
        <row r="126">
          <cell r="B126">
            <v>304</v>
          </cell>
          <cell r="C126" t="str">
            <v>Screening plant 80 HP</v>
          </cell>
          <cell r="D126">
            <v>70000</v>
          </cell>
        </row>
        <row r="127">
          <cell r="B127">
            <v>305</v>
          </cell>
          <cell r="C127" t="str">
            <v>Wheel Loader</v>
          </cell>
          <cell r="D127">
            <v>4000000</v>
          </cell>
        </row>
        <row r="128">
          <cell r="B128">
            <v>306</v>
          </cell>
          <cell r="C128" t="str">
            <v>Truk</v>
          </cell>
          <cell r="D128">
            <v>90000</v>
          </cell>
        </row>
        <row r="129">
          <cell r="B129">
            <v>307</v>
          </cell>
          <cell r="C129" t="str">
            <v>Dump truck</v>
          </cell>
          <cell r="D129">
            <v>5000</v>
          </cell>
        </row>
        <row r="130">
          <cell r="B130">
            <v>308</v>
          </cell>
          <cell r="C130" t="str">
            <v>Dump truck</v>
          </cell>
          <cell r="D130">
            <v>100000</v>
          </cell>
        </row>
        <row r="131">
          <cell r="B131">
            <v>309</v>
          </cell>
          <cell r="C131" t="str">
            <v>Exavator</v>
          </cell>
          <cell r="D131">
            <v>100000</v>
          </cell>
        </row>
        <row r="132">
          <cell r="B132">
            <v>310</v>
          </cell>
          <cell r="C132" t="str">
            <v>Flatbed truck 3,5 t/80 HP</v>
          </cell>
          <cell r="D132">
            <v>100000</v>
          </cell>
        </row>
        <row r="133">
          <cell r="B133">
            <v>311</v>
          </cell>
          <cell r="C133" t="str">
            <v>Compresor Air</v>
          </cell>
          <cell r="D133">
            <v>120000</v>
          </cell>
        </row>
        <row r="134">
          <cell r="B134">
            <v>312</v>
          </cell>
          <cell r="C134" t="str">
            <v>Mesin Gilas Bergetar</v>
          </cell>
          <cell r="D134">
            <v>150000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BQ"/>
      <sheetName val="BASIC"/>
      <sheetName val="DAFTAR TANYA"/>
      <sheetName val="SCHED"/>
      <sheetName val="REK-RAB"/>
      <sheetName val="ANALISA"/>
      <sheetName val="RAB"/>
    </sheetNames>
    <sheetDataSet>
      <sheetData sheetId="0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duk"/>
      <sheetName val="Penawaran"/>
      <sheetName val="Rekap. Jalan"/>
      <sheetName val="Rekap Total"/>
      <sheetName val="Kuantitas &amp; Harga"/>
      <sheetName val="Anl. Mobilisasi"/>
      <sheetName val="Anl. Tehnis"/>
      <sheetName val="Analisa"/>
      <sheetName val="Harga Satuan"/>
      <sheetName val="Rekap Drainase"/>
      <sheetName val="Anl. Drainase"/>
      <sheetName val="Rekap Air Bersih"/>
      <sheetName val="Anl. Air Bersih"/>
      <sheetName val="Rekap Air Kotor"/>
      <sheetName val="Anl. Air Kotor"/>
      <sheetName val="Rekap Persampahan"/>
      <sheetName val="Anl. Persampahan"/>
      <sheetName val="Rekap Lanscape"/>
      <sheetName val="Anl. Lanscape"/>
      <sheetName val="H Sat Lanscape"/>
      <sheetName val="Metode"/>
      <sheetName val="Jadwal Pelaksanaan"/>
      <sheetName val="Jadwal Alat"/>
      <sheetName val="Jadwal Bahan"/>
      <sheetName val="Perhit. Bahan"/>
      <sheetName val="Kap.Pemecah Batu"/>
      <sheetName val="Kapasitas AMP"/>
      <sheetName val="Mat On Site"/>
      <sheetName val="MP. Utama"/>
      <sheetName val="Peralatan"/>
      <sheetName val="Personil Inti"/>
      <sheetName val="Subkon"/>
      <sheetName val="Kulit"/>
      <sheetName val="Aritmatik"/>
      <sheetName val="Kelengkapan"/>
    </sheetNames>
    <sheetDataSet>
      <sheetData sheetId="0"/>
      <sheetData sheetId="1"/>
      <sheetData sheetId="2"/>
      <sheetData sheetId="3"/>
      <sheetData sheetId="4">
        <row r="101">
          <cell r="C101" t="str">
            <v>DIVISI  5.  PERKERASAN  BERBUTIR</v>
          </cell>
        </row>
        <row r="103">
          <cell r="A103" t="str">
            <v>5.1 (1)</v>
          </cell>
          <cell r="C103" t="str">
            <v>Lapis Pondasi Agregat Kelas A</v>
          </cell>
          <cell r="F103" t="str">
            <v>M3</v>
          </cell>
          <cell r="G103">
            <v>1575</v>
          </cell>
          <cell r="H103">
            <v>345017.81</v>
          </cell>
          <cell r="I103">
            <v>543403050.75</v>
          </cell>
        </row>
        <row r="104">
          <cell r="A104" t="str">
            <v>5.1 (2)</v>
          </cell>
          <cell r="C104" t="str">
            <v>Lapis Pondasi Agregat Kelas B</v>
          </cell>
          <cell r="F104" t="str">
            <v>M3</v>
          </cell>
          <cell r="G104">
            <v>2100</v>
          </cell>
          <cell r="H104">
            <v>271349.43</v>
          </cell>
          <cell r="I104">
            <v>569833803</v>
          </cell>
        </row>
        <row r="106">
          <cell r="A106" t="str">
            <v>5.2 (1)</v>
          </cell>
          <cell r="C106" t="str">
            <v>Lapis Pondasi Agregat Kelas C</v>
          </cell>
          <cell r="F106" t="str">
            <v>M3</v>
          </cell>
        </row>
        <row r="108">
          <cell r="A108" t="str">
            <v>5.3 (1)</v>
          </cell>
          <cell r="C108" t="str">
            <v>Cement Treated Base (CTB)</v>
          </cell>
          <cell r="F108" t="str">
            <v>M3</v>
          </cell>
        </row>
        <row r="109">
          <cell r="A109" t="str">
            <v>5.3 (2)</v>
          </cell>
          <cell r="C109" t="str">
            <v>Cement Treated Sub Base (CTSB)</v>
          </cell>
          <cell r="F109" t="str">
            <v>M3</v>
          </cell>
        </row>
        <row r="111">
          <cell r="A111" t="str">
            <v>5.4 (1)</v>
          </cell>
          <cell r="C111" t="str">
            <v>Semen Untuk Lapis Pondasi Semen Tanah</v>
          </cell>
          <cell r="F111" t="str">
            <v>Ton</v>
          </cell>
        </row>
        <row r="112">
          <cell r="A112" t="str">
            <v>5.4 (2)</v>
          </cell>
          <cell r="C112" t="str">
            <v>Lapis Pondasi Semen Tanah</v>
          </cell>
          <cell r="F112" t="str">
            <v>M3</v>
          </cell>
        </row>
        <row r="114">
          <cell r="A114" t="str">
            <v>5.5</v>
          </cell>
          <cell r="C114" t="str">
            <v>Perkerasan Beton</v>
          </cell>
          <cell r="F114" t="str">
            <v>M3</v>
          </cell>
        </row>
        <row r="118">
          <cell r="C118" t="str">
            <v>Jumlah Harga Pekerjaan DIVISI 5 (masuk pada Rekapitulasi Perkiraan Harga Pekerjaan)</v>
          </cell>
          <cell r="I118">
            <v>1113236853.75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XXXX"/>
      <sheetName val="Ls-Mobilisasi (OK)"/>
      <sheetName val="SAT-DAS"/>
      <sheetName val="Ur-Anl (ok )"/>
      <sheetName val="Analisa (ok)"/>
      <sheetName val="Rekap"/>
      <sheetName val="Kuan&amp;Harga"/>
      <sheetName val="Lamp-1 (Schedule ok (2)"/>
      <sheetName val="DFT UPAH &amp; BAHAN"/>
      <sheetName val="Lamp-1 (Schedule ok"/>
      <sheetName val="Analisa (ok) (2)"/>
      <sheetName val="Anl-Alt"/>
      <sheetName val="Anl-Bhn (ok)"/>
      <sheetName val="Lamp-14 -Hit-Alt"/>
      <sheetName val="Lamp-13-Pengg Alat"/>
      <sheetName val="Lamp-5 (On Site)"/>
      <sheetName val="Lamp-11 (Sub-kont) ok"/>
      <sheetName val="Lamp-9 (Df-Alat)"/>
      <sheetName val="Lamp-7 (Df-Utm) ok"/>
      <sheetName val="Lamp-10"/>
      <sheetName val="Lamp-14 (Lamp-Penaw) OK"/>
    </sheetNames>
    <sheetDataSet>
      <sheetData sheetId="0"/>
      <sheetData sheetId="1"/>
      <sheetData sheetId="2"/>
      <sheetData sheetId="3">
        <row r="30">
          <cell r="I30">
            <v>19000</v>
          </cell>
        </row>
        <row r="38">
          <cell r="I38">
            <v>3900</v>
          </cell>
        </row>
        <row r="55">
          <cell r="I55">
            <v>571000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DAFTAR HARGA"/>
    </sheetNames>
    <sheetDataSet>
      <sheetData sheetId="0" refreshError="1"/>
      <sheetData sheetId="1" refreshError="1">
        <row r="12">
          <cell r="E12">
            <v>28500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l "/>
      <sheetName val="Bahan"/>
    </sheetNames>
    <sheetDataSet>
      <sheetData sheetId="0"/>
      <sheetData sheetId="1">
        <row r="15">
          <cell r="D15">
            <v>50000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BQ"/>
      <sheetName val="Analisa"/>
      <sheetName val="Upah"/>
      <sheetName val="Methode"/>
      <sheetName val="Struktur"/>
      <sheetName val="T Schedule"/>
      <sheetName val="Ask&amp;Answer"/>
      <sheetName val="HRG BHN"/>
      <sheetName val="BQ_E20_02_Rp_"/>
      <sheetName val="Bahan"/>
      <sheetName val="HB"/>
      <sheetName val="BQ Sekolah Citra Berkat"/>
      <sheetName val="ANA-HRG"/>
      <sheetName val="RAB Stamford"/>
      <sheetName val="I-KAMAR"/>
      <sheetName val="rab g. menara pengawas"/>
      <sheetName val="Price Biaya Cadangan"/>
      <sheetName val="BQ_Rekapitulasi  Akhir"/>
      <sheetName val="harga"/>
    </sheetNames>
    <sheetDataSet>
      <sheetData sheetId="0" refreshError="1"/>
      <sheetData sheetId="1" refreshError="1"/>
      <sheetData sheetId="2" refreshError="1">
        <row r="37">
          <cell r="I37">
            <v>731360</v>
          </cell>
        </row>
        <row r="45">
          <cell r="I45">
            <v>1225680</v>
          </cell>
        </row>
        <row r="55">
          <cell r="I55">
            <v>1579700</v>
          </cell>
        </row>
        <row r="72">
          <cell r="I72">
            <v>1709190</v>
          </cell>
        </row>
        <row r="81">
          <cell r="I81">
            <v>1781700</v>
          </cell>
        </row>
        <row r="90">
          <cell r="I90">
            <v>2215830</v>
          </cell>
        </row>
        <row r="99">
          <cell r="I99">
            <v>1607250</v>
          </cell>
        </row>
        <row r="108">
          <cell r="I108">
            <v>1912290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Kuantitas"/>
      <sheetName val="Analisa"/>
      <sheetName val="DUB"/>
      <sheetName val="jadwal"/>
    </sheetNames>
    <sheetDataSet>
      <sheetData sheetId="0"/>
      <sheetData sheetId="1"/>
      <sheetData sheetId="2"/>
      <sheetData sheetId="3">
        <row r="9">
          <cell r="F9">
            <v>24000</v>
          </cell>
        </row>
        <row r="11">
          <cell r="F11">
            <v>50000</v>
          </cell>
        </row>
        <row r="22">
          <cell r="F22">
            <v>10000</v>
          </cell>
        </row>
        <row r="23">
          <cell r="F23">
            <v>37400</v>
          </cell>
        </row>
      </sheetData>
      <sheetData sheetId="4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ITULASI"/>
      <sheetName val="RAB"/>
      <sheetName val="ANALISA HARGA"/>
      <sheetName val="analisa asli"/>
      <sheetName val="HARGA BAHAN"/>
      <sheetName val="KURVA S"/>
    </sheetNames>
    <sheetDataSet>
      <sheetData sheetId="0">
        <row r="12">
          <cell r="E12" t="e">
            <v>#REF!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5"/>
  <sheetViews>
    <sheetView topLeftCell="A4" zoomScale="85" zoomScaleNormal="85" workbookViewId="0">
      <selection activeCell="F24" sqref="F24"/>
    </sheetView>
  </sheetViews>
  <sheetFormatPr defaultRowHeight="18.600000000000001"/>
  <cols>
    <col min="1" max="1" width="3.33203125" style="289" customWidth="1"/>
    <col min="2" max="2" width="8.77734375" style="291" customWidth="1"/>
    <col min="3" max="3" width="3.109375" style="291" customWidth="1"/>
    <col min="4" max="4" width="14.21875" style="291" customWidth="1"/>
    <col min="5" max="5" width="56.21875" style="291" customWidth="1"/>
    <col min="6" max="6" width="26.77734375" style="291" customWidth="1"/>
    <col min="7" max="7" width="4.88671875" style="292" customWidth="1"/>
    <col min="8" max="8" width="18.44140625" style="292" customWidth="1"/>
    <col min="9" max="9" width="20.44140625" customWidth="1"/>
    <col min="10" max="10" width="20.5546875" customWidth="1"/>
    <col min="257" max="257" width="3.33203125" customWidth="1"/>
    <col min="258" max="258" width="8.77734375" customWidth="1"/>
    <col min="259" max="259" width="3.109375" customWidth="1"/>
    <col min="260" max="260" width="14.21875" customWidth="1"/>
    <col min="261" max="261" width="56.21875" customWidth="1"/>
    <col min="262" max="262" width="26.77734375" customWidth="1"/>
    <col min="263" max="263" width="4.88671875" customWidth="1"/>
    <col min="264" max="264" width="18.44140625" customWidth="1"/>
    <col min="513" max="513" width="3.33203125" customWidth="1"/>
    <col min="514" max="514" width="8.77734375" customWidth="1"/>
    <col min="515" max="515" width="3.109375" customWidth="1"/>
    <col min="516" max="516" width="14.21875" customWidth="1"/>
    <col min="517" max="517" width="56.21875" customWidth="1"/>
    <col min="518" max="518" width="26.77734375" customWidth="1"/>
    <col min="519" max="519" width="4.88671875" customWidth="1"/>
    <col min="520" max="520" width="18.44140625" customWidth="1"/>
    <col min="769" max="769" width="3.33203125" customWidth="1"/>
    <col min="770" max="770" width="8.77734375" customWidth="1"/>
    <col min="771" max="771" width="3.109375" customWidth="1"/>
    <col min="772" max="772" width="14.21875" customWidth="1"/>
    <col min="773" max="773" width="56.21875" customWidth="1"/>
    <col min="774" max="774" width="26.77734375" customWidth="1"/>
    <col min="775" max="775" width="4.88671875" customWidth="1"/>
    <col min="776" max="776" width="18.44140625" customWidth="1"/>
    <col min="1025" max="1025" width="3.33203125" customWidth="1"/>
    <col min="1026" max="1026" width="8.77734375" customWidth="1"/>
    <col min="1027" max="1027" width="3.109375" customWidth="1"/>
    <col min="1028" max="1028" width="14.21875" customWidth="1"/>
    <col min="1029" max="1029" width="56.21875" customWidth="1"/>
    <col min="1030" max="1030" width="26.77734375" customWidth="1"/>
    <col min="1031" max="1031" width="4.88671875" customWidth="1"/>
    <col min="1032" max="1032" width="18.44140625" customWidth="1"/>
    <col min="1281" max="1281" width="3.33203125" customWidth="1"/>
    <col min="1282" max="1282" width="8.77734375" customWidth="1"/>
    <col min="1283" max="1283" width="3.109375" customWidth="1"/>
    <col min="1284" max="1284" width="14.21875" customWidth="1"/>
    <col min="1285" max="1285" width="56.21875" customWidth="1"/>
    <col min="1286" max="1286" width="26.77734375" customWidth="1"/>
    <col min="1287" max="1287" width="4.88671875" customWidth="1"/>
    <col min="1288" max="1288" width="18.44140625" customWidth="1"/>
    <col min="1537" max="1537" width="3.33203125" customWidth="1"/>
    <col min="1538" max="1538" width="8.77734375" customWidth="1"/>
    <col min="1539" max="1539" width="3.109375" customWidth="1"/>
    <col min="1540" max="1540" width="14.21875" customWidth="1"/>
    <col min="1541" max="1541" width="56.21875" customWidth="1"/>
    <col min="1542" max="1542" width="26.77734375" customWidth="1"/>
    <col min="1543" max="1543" width="4.88671875" customWidth="1"/>
    <col min="1544" max="1544" width="18.44140625" customWidth="1"/>
    <col min="1793" max="1793" width="3.33203125" customWidth="1"/>
    <col min="1794" max="1794" width="8.77734375" customWidth="1"/>
    <col min="1795" max="1795" width="3.109375" customWidth="1"/>
    <col min="1796" max="1796" width="14.21875" customWidth="1"/>
    <col min="1797" max="1797" width="56.21875" customWidth="1"/>
    <col min="1798" max="1798" width="26.77734375" customWidth="1"/>
    <col min="1799" max="1799" width="4.88671875" customWidth="1"/>
    <col min="1800" max="1800" width="18.44140625" customWidth="1"/>
    <col min="2049" max="2049" width="3.33203125" customWidth="1"/>
    <col min="2050" max="2050" width="8.77734375" customWidth="1"/>
    <col min="2051" max="2051" width="3.109375" customWidth="1"/>
    <col min="2052" max="2052" width="14.21875" customWidth="1"/>
    <col min="2053" max="2053" width="56.21875" customWidth="1"/>
    <col min="2054" max="2054" width="26.77734375" customWidth="1"/>
    <col min="2055" max="2055" width="4.88671875" customWidth="1"/>
    <col min="2056" max="2056" width="18.44140625" customWidth="1"/>
    <col min="2305" max="2305" width="3.33203125" customWidth="1"/>
    <col min="2306" max="2306" width="8.77734375" customWidth="1"/>
    <col min="2307" max="2307" width="3.109375" customWidth="1"/>
    <col min="2308" max="2308" width="14.21875" customWidth="1"/>
    <col min="2309" max="2309" width="56.21875" customWidth="1"/>
    <col min="2310" max="2310" width="26.77734375" customWidth="1"/>
    <col min="2311" max="2311" width="4.88671875" customWidth="1"/>
    <col min="2312" max="2312" width="18.44140625" customWidth="1"/>
    <col min="2561" max="2561" width="3.33203125" customWidth="1"/>
    <col min="2562" max="2562" width="8.77734375" customWidth="1"/>
    <col min="2563" max="2563" width="3.109375" customWidth="1"/>
    <col min="2564" max="2564" width="14.21875" customWidth="1"/>
    <col min="2565" max="2565" width="56.21875" customWidth="1"/>
    <col min="2566" max="2566" width="26.77734375" customWidth="1"/>
    <col min="2567" max="2567" width="4.88671875" customWidth="1"/>
    <col min="2568" max="2568" width="18.44140625" customWidth="1"/>
    <col min="2817" max="2817" width="3.33203125" customWidth="1"/>
    <col min="2818" max="2818" width="8.77734375" customWidth="1"/>
    <col min="2819" max="2819" width="3.109375" customWidth="1"/>
    <col min="2820" max="2820" width="14.21875" customWidth="1"/>
    <col min="2821" max="2821" width="56.21875" customWidth="1"/>
    <col min="2822" max="2822" width="26.77734375" customWidth="1"/>
    <col min="2823" max="2823" width="4.88671875" customWidth="1"/>
    <col min="2824" max="2824" width="18.44140625" customWidth="1"/>
    <col min="3073" max="3073" width="3.33203125" customWidth="1"/>
    <col min="3074" max="3074" width="8.77734375" customWidth="1"/>
    <col min="3075" max="3075" width="3.109375" customWidth="1"/>
    <col min="3076" max="3076" width="14.21875" customWidth="1"/>
    <col min="3077" max="3077" width="56.21875" customWidth="1"/>
    <col min="3078" max="3078" width="26.77734375" customWidth="1"/>
    <col min="3079" max="3079" width="4.88671875" customWidth="1"/>
    <col min="3080" max="3080" width="18.44140625" customWidth="1"/>
    <col min="3329" max="3329" width="3.33203125" customWidth="1"/>
    <col min="3330" max="3330" width="8.77734375" customWidth="1"/>
    <col min="3331" max="3331" width="3.109375" customWidth="1"/>
    <col min="3332" max="3332" width="14.21875" customWidth="1"/>
    <col min="3333" max="3333" width="56.21875" customWidth="1"/>
    <col min="3334" max="3334" width="26.77734375" customWidth="1"/>
    <col min="3335" max="3335" width="4.88671875" customWidth="1"/>
    <col min="3336" max="3336" width="18.44140625" customWidth="1"/>
    <col min="3585" max="3585" width="3.33203125" customWidth="1"/>
    <col min="3586" max="3586" width="8.77734375" customWidth="1"/>
    <col min="3587" max="3587" width="3.109375" customWidth="1"/>
    <col min="3588" max="3588" width="14.21875" customWidth="1"/>
    <col min="3589" max="3589" width="56.21875" customWidth="1"/>
    <col min="3590" max="3590" width="26.77734375" customWidth="1"/>
    <col min="3591" max="3591" width="4.88671875" customWidth="1"/>
    <col min="3592" max="3592" width="18.44140625" customWidth="1"/>
    <col min="3841" max="3841" width="3.33203125" customWidth="1"/>
    <col min="3842" max="3842" width="8.77734375" customWidth="1"/>
    <col min="3843" max="3843" width="3.109375" customWidth="1"/>
    <col min="3844" max="3844" width="14.21875" customWidth="1"/>
    <col min="3845" max="3845" width="56.21875" customWidth="1"/>
    <col min="3846" max="3846" width="26.77734375" customWidth="1"/>
    <col min="3847" max="3847" width="4.88671875" customWidth="1"/>
    <col min="3848" max="3848" width="18.44140625" customWidth="1"/>
    <col min="4097" max="4097" width="3.33203125" customWidth="1"/>
    <col min="4098" max="4098" width="8.77734375" customWidth="1"/>
    <col min="4099" max="4099" width="3.109375" customWidth="1"/>
    <col min="4100" max="4100" width="14.21875" customWidth="1"/>
    <col min="4101" max="4101" width="56.21875" customWidth="1"/>
    <col min="4102" max="4102" width="26.77734375" customWidth="1"/>
    <col min="4103" max="4103" width="4.88671875" customWidth="1"/>
    <col min="4104" max="4104" width="18.44140625" customWidth="1"/>
    <col min="4353" max="4353" width="3.33203125" customWidth="1"/>
    <col min="4354" max="4354" width="8.77734375" customWidth="1"/>
    <col min="4355" max="4355" width="3.109375" customWidth="1"/>
    <col min="4356" max="4356" width="14.21875" customWidth="1"/>
    <col min="4357" max="4357" width="56.21875" customWidth="1"/>
    <col min="4358" max="4358" width="26.77734375" customWidth="1"/>
    <col min="4359" max="4359" width="4.88671875" customWidth="1"/>
    <col min="4360" max="4360" width="18.44140625" customWidth="1"/>
    <col min="4609" max="4609" width="3.33203125" customWidth="1"/>
    <col min="4610" max="4610" width="8.77734375" customWidth="1"/>
    <col min="4611" max="4611" width="3.109375" customWidth="1"/>
    <col min="4612" max="4612" width="14.21875" customWidth="1"/>
    <col min="4613" max="4613" width="56.21875" customWidth="1"/>
    <col min="4614" max="4614" width="26.77734375" customWidth="1"/>
    <col min="4615" max="4615" width="4.88671875" customWidth="1"/>
    <col min="4616" max="4616" width="18.44140625" customWidth="1"/>
    <col min="4865" max="4865" width="3.33203125" customWidth="1"/>
    <col min="4866" max="4866" width="8.77734375" customWidth="1"/>
    <col min="4867" max="4867" width="3.109375" customWidth="1"/>
    <col min="4868" max="4868" width="14.21875" customWidth="1"/>
    <col min="4869" max="4869" width="56.21875" customWidth="1"/>
    <col min="4870" max="4870" width="26.77734375" customWidth="1"/>
    <col min="4871" max="4871" width="4.88671875" customWidth="1"/>
    <col min="4872" max="4872" width="18.44140625" customWidth="1"/>
    <col min="5121" max="5121" width="3.33203125" customWidth="1"/>
    <col min="5122" max="5122" width="8.77734375" customWidth="1"/>
    <col min="5123" max="5123" width="3.109375" customWidth="1"/>
    <col min="5124" max="5124" width="14.21875" customWidth="1"/>
    <col min="5125" max="5125" width="56.21875" customWidth="1"/>
    <col min="5126" max="5126" width="26.77734375" customWidth="1"/>
    <col min="5127" max="5127" width="4.88671875" customWidth="1"/>
    <col min="5128" max="5128" width="18.44140625" customWidth="1"/>
    <col min="5377" max="5377" width="3.33203125" customWidth="1"/>
    <col min="5378" max="5378" width="8.77734375" customWidth="1"/>
    <col min="5379" max="5379" width="3.109375" customWidth="1"/>
    <col min="5380" max="5380" width="14.21875" customWidth="1"/>
    <col min="5381" max="5381" width="56.21875" customWidth="1"/>
    <col min="5382" max="5382" width="26.77734375" customWidth="1"/>
    <col min="5383" max="5383" width="4.88671875" customWidth="1"/>
    <col min="5384" max="5384" width="18.44140625" customWidth="1"/>
    <col min="5633" max="5633" width="3.33203125" customWidth="1"/>
    <col min="5634" max="5634" width="8.77734375" customWidth="1"/>
    <col min="5635" max="5635" width="3.109375" customWidth="1"/>
    <col min="5636" max="5636" width="14.21875" customWidth="1"/>
    <col min="5637" max="5637" width="56.21875" customWidth="1"/>
    <col min="5638" max="5638" width="26.77734375" customWidth="1"/>
    <col min="5639" max="5639" width="4.88671875" customWidth="1"/>
    <col min="5640" max="5640" width="18.44140625" customWidth="1"/>
    <col min="5889" max="5889" width="3.33203125" customWidth="1"/>
    <col min="5890" max="5890" width="8.77734375" customWidth="1"/>
    <col min="5891" max="5891" width="3.109375" customWidth="1"/>
    <col min="5892" max="5892" width="14.21875" customWidth="1"/>
    <col min="5893" max="5893" width="56.21875" customWidth="1"/>
    <col min="5894" max="5894" width="26.77734375" customWidth="1"/>
    <col min="5895" max="5895" width="4.88671875" customWidth="1"/>
    <col min="5896" max="5896" width="18.44140625" customWidth="1"/>
    <col min="6145" max="6145" width="3.33203125" customWidth="1"/>
    <col min="6146" max="6146" width="8.77734375" customWidth="1"/>
    <col min="6147" max="6147" width="3.109375" customWidth="1"/>
    <col min="6148" max="6148" width="14.21875" customWidth="1"/>
    <col min="6149" max="6149" width="56.21875" customWidth="1"/>
    <col min="6150" max="6150" width="26.77734375" customWidth="1"/>
    <col min="6151" max="6151" width="4.88671875" customWidth="1"/>
    <col min="6152" max="6152" width="18.44140625" customWidth="1"/>
    <col min="6401" max="6401" width="3.33203125" customWidth="1"/>
    <col min="6402" max="6402" width="8.77734375" customWidth="1"/>
    <col min="6403" max="6403" width="3.109375" customWidth="1"/>
    <col min="6404" max="6404" width="14.21875" customWidth="1"/>
    <col min="6405" max="6405" width="56.21875" customWidth="1"/>
    <col min="6406" max="6406" width="26.77734375" customWidth="1"/>
    <col min="6407" max="6407" width="4.88671875" customWidth="1"/>
    <col min="6408" max="6408" width="18.44140625" customWidth="1"/>
    <col min="6657" max="6657" width="3.33203125" customWidth="1"/>
    <col min="6658" max="6658" width="8.77734375" customWidth="1"/>
    <col min="6659" max="6659" width="3.109375" customWidth="1"/>
    <col min="6660" max="6660" width="14.21875" customWidth="1"/>
    <col min="6661" max="6661" width="56.21875" customWidth="1"/>
    <col min="6662" max="6662" width="26.77734375" customWidth="1"/>
    <col min="6663" max="6663" width="4.88671875" customWidth="1"/>
    <col min="6664" max="6664" width="18.44140625" customWidth="1"/>
    <col min="6913" max="6913" width="3.33203125" customWidth="1"/>
    <col min="6914" max="6914" width="8.77734375" customWidth="1"/>
    <col min="6915" max="6915" width="3.109375" customWidth="1"/>
    <col min="6916" max="6916" width="14.21875" customWidth="1"/>
    <col min="6917" max="6917" width="56.21875" customWidth="1"/>
    <col min="6918" max="6918" width="26.77734375" customWidth="1"/>
    <col min="6919" max="6919" width="4.88671875" customWidth="1"/>
    <col min="6920" max="6920" width="18.44140625" customWidth="1"/>
    <col min="7169" max="7169" width="3.33203125" customWidth="1"/>
    <col min="7170" max="7170" width="8.77734375" customWidth="1"/>
    <col min="7171" max="7171" width="3.109375" customWidth="1"/>
    <col min="7172" max="7172" width="14.21875" customWidth="1"/>
    <col min="7173" max="7173" width="56.21875" customWidth="1"/>
    <col min="7174" max="7174" width="26.77734375" customWidth="1"/>
    <col min="7175" max="7175" width="4.88671875" customWidth="1"/>
    <col min="7176" max="7176" width="18.44140625" customWidth="1"/>
    <col min="7425" max="7425" width="3.33203125" customWidth="1"/>
    <col min="7426" max="7426" width="8.77734375" customWidth="1"/>
    <col min="7427" max="7427" width="3.109375" customWidth="1"/>
    <col min="7428" max="7428" width="14.21875" customWidth="1"/>
    <col min="7429" max="7429" width="56.21875" customWidth="1"/>
    <col min="7430" max="7430" width="26.77734375" customWidth="1"/>
    <col min="7431" max="7431" width="4.88671875" customWidth="1"/>
    <col min="7432" max="7432" width="18.44140625" customWidth="1"/>
    <col min="7681" max="7681" width="3.33203125" customWidth="1"/>
    <col min="7682" max="7682" width="8.77734375" customWidth="1"/>
    <col min="7683" max="7683" width="3.109375" customWidth="1"/>
    <col min="7684" max="7684" width="14.21875" customWidth="1"/>
    <col min="7685" max="7685" width="56.21875" customWidth="1"/>
    <col min="7686" max="7686" width="26.77734375" customWidth="1"/>
    <col min="7687" max="7687" width="4.88671875" customWidth="1"/>
    <col min="7688" max="7688" width="18.44140625" customWidth="1"/>
    <col min="7937" max="7937" width="3.33203125" customWidth="1"/>
    <col min="7938" max="7938" width="8.77734375" customWidth="1"/>
    <col min="7939" max="7939" width="3.109375" customWidth="1"/>
    <col min="7940" max="7940" width="14.21875" customWidth="1"/>
    <col min="7941" max="7941" width="56.21875" customWidth="1"/>
    <col min="7942" max="7942" width="26.77734375" customWidth="1"/>
    <col min="7943" max="7943" width="4.88671875" customWidth="1"/>
    <col min="7944" max="7944" width="18.44140625" customWidth="1"/>
    <col min="8193" max="8193" width="3.33203125" customWidth="1"/>
    <col min="8194" max="8194" width="8.77734375" customWidth="1"/>
    <col min="8195" max="8195" width="3.109375" customWidth="1"/>
    <col min="8196" max="8196" width="14.21875" customWidth="1"/>
    <col min="8197" max="8197" width="56.21875" customWidth="1"/>
    <col min="8198" max="8198" width="26.77734375" customWidth="1"/>
    <col min="8199" max="8199" width="4.88671875" customWidth="1"/>
    <col min="8200" max="8200" width="18.44140625" customWidth="1"/>
    <col min="8449" max="8449" width="3.33203125" customWidth="1"/>
    <col min="8450" max="8450" width="8.77734375" customWidth="1"/>
    <col min="8451" max="8451" width="3.109375" customWidth="1"/>
    <col min="8452" max="8452" width="14.21875" customWidth="1"/>
    <col min="8453" max="8453" width="56.21875" customWidth="1"/>
    <col min="8454" max="8454" width="26.77734375" customWidth="1"/>
    <col min="8455" max="8455" width="4.88671875" customWidth="1"/>
    <col min="8456" max="8456" width="18.44140625" customWidth="1"/>
    <col min="8705" max="8705" width="3.33203125" customWidth="1"/>
    <col min="8706" max="8706" width="8.77734375" customWidth="1"/>
    <col min="8707" max="8707" width="3.109375" customWidth="1"/>
    <col min="8708" max="8708" width="14.21875" customWidth="1"/>
    <col min="8709" max="8709" width="56.21875" customWidth="1"/>
    <col min="8710" max="8710" width="26.77734375" customWidth="1"/>
    <col min="8711" max="8711" width="4.88671875" customWidth="1"/>
    <col min="8712" max="8712" width="18.44140625" customWidth="1"/>
    <col min="8961" max="8961" width="3.33203125" customWidth="1"/>
    <col min="8962" max="8962" width="8.77734375" customWidth="1"/>
    <col min="8963" max="8963" width="3.109375" customWidth="1"/>
    <col min="8964" max="8964" width="14.21875" customWidth="1"/>
    <col min="8965" max="8965" width="56.21875" customWidth="1"/>
    <col min="8966" max="8966" width="26.77734375" customWidth="1"/>
    <col min="8967" max="8967" width="4.88671875" customWidth="1"/>
    <col min="8968" max="8968" width="18.44140625" customWidth="1"/>
    <col min="9217" max="9217" width="3.33203125" customWidth="1"/>
    <col min="9218" max="9218" width="8.77734375" customWidth="1"/>
    <col min="9219" max="9219" width="3.109375" customWidth="1"/>
    <col min="9220" max="9220" width="14.21875" customWidth="1"/>
    <col min="9221" max="9221" width="56.21875" customWidth="1"/>
    <col min="9222" max="9222" width="26.77734375" customWidth="1"/>
    <col min="9223" max="9223" width="4.88671875" customWidth="1"/>
    <col min="9224" max="9224" width="18.44140625" customWidth="1"/>
    <col min="9473" max="9473" width="3.33203125" customWidth="1"/>
    <col min="9474" max="9474" width="8.77734375" customWidth="1"/>
    <col min="9475" max="9475" width="3.109375" customWidth="1"/>
    <col min="9476" max="9476" width="14.21875" customWidth="1"/>
    <col min="9477" max="9477" width="56.21875" customWidth="1"/>
    <col min="9478" max="9478" width="26.77734375" customWidth="1"/>
    <col min="9479" max="9479" width="4.88671875" customWidth="1"/>
    <col min="9480" max="9480" width="18.44140625" customWidth="1"/>
    <col min="9729" max="9729" width="3.33203125" customWidth="1"/>
    <col min="9730" max="9730" width="8.77734375" customWidth="1"/>
    <col min="9731" max="9731" width="3.109375" customWidth="1"/>
    <col min="9732" max="9732" width="14.21875" customWidth="1"/>
    <col min="9733" max="9733" width="56.21875" customWidth="1"/>
    <col min="9734" max="9734" width="26.77734375" customWidth="1"/>
    <col min="9735" max="9735" width="4.88671875" customWidth="1"/>
    <col min="9736" max="9736" width="18.44140625" customWidth="1"/>
    <col min="9985" max="9985" width="3.33203125" customWidth="1"/>
    <col min="9986" max="9986" width="8.77734375" customWidth="1"/>
    <col min="9987" max="9987" width="3.109375" customWidth="1"/>
    <col min="9988" max="9988" width="14.21875" customWidth="1"/>
    <col min="9989" max="9989" width="56.21875" customWidth="1"/>
    <col min="9990" max="9990" width="26.77734375" customWidth="1"/>
    <col min="9991" max="9991" width="4.88671875" customWidth="1"/>
    <col min="9992" max="9992" width="18.44140625" customWidth="1"/>
    <col min="10241" max="10241" width="3.33203125" customWidth="1"/>
    <col min="10242" max="10242" width="8.77734375" customWidth="1"/>
    <col min="10243" max="10243" width="3.109375" customWidth="1"/>
    <col min="10244" max="10244" width="14.21875" customWidth="1"/>
    <col min="10245" max="10245" width="56.21875" customWidth="1"/>
    <col min="10246" max="10246" width="26.77734375" customWidth="1"/>
    <col min="10247" max="10247" width="4.88671875" customWidth="1"/>
    <col min="10248" max="10248" width="18.44140625" customWidth="1"/>
    <col min="10497" max="10497" width="3.33203125" customWidth="1"/>
    <col min="10498" max="10498" width="8.77734375" customWidth="1"/>
    <col min="10499" max="10499" width="3.109375" customWidth="1"/>
    <col min="10500" max="10500" width="14.21875" customWidth="1"/>
    <col min="10501" max="10501" width="56.21875" customWidth="1"/>
    <col min="10502" max="10502" width="26.77734375" customWidth="1"/>
    <col min="10503" max="10503" width="4.88671875" customWidth="1"/>
    <col min="10504" max="10504" width="18.44140625" customWidth="1"/>
    <col min="10753" max="10753" width="3.33203125" customWidth="1"/>
    <col min="10754" max="10754" width="8.77734375" customWidth="1"/>
    <col min="10755" max="10755" width="3.109375" customWidth="1"/>
    <col min="10756" max="10756" width="14.21875" customWidth="1"/>
    <col min="10757" max="10757" width="56.21875" customWidth="1"/>
    <col min="10758" max="10758" width="26.77734375" customWidth="1"/>
    <col min="10759" max="10759" width="4.88671875" customWidth="1"/>
    <col min="10760" max="10760" width="18.44140625" customWidth="1"/>
    <col min="11009" max="11009" width="3.33203125" customWidth="1"/>
    <col min="11010" max="11010" width="8.77734375" customWidth="1"/>
    <col min="11011" max="11011" width="3.109375" customWidth="1"/>
    <col min="11012" max="11012" width="14.21875" customWidth="1"/>
    <col min="11013" max="11013" width="56.21875" customWidth="1"/>
    <col min="11014" max="11014" width="26.77734375" customWidth="1"/>
    <col min="11015" max="11015" width="4.88671875" customWidth="1"/>
    <col min="11016" max="11016" width="18.44140625" customWidth="1"/>
    <col min="11265" max="11265" width="3.33203125" customWidth="1"/>
    <col min="11266" max="11266" width="8.77734375" customWidth="1"/>
    <col min="11267" max="11267" width="3.109375" customWidth="1"/>
    <col min="11268" max="11268" width="14.21875" customWidth="1"/>
    <col min="11269" max="11269" width="56.21875" customWidth="1"/>
    <col min="11270" max="11270" width="26.77734375" customWidth="1"/>
    <col min="11271" max="11271" width="4.88671875" customWidth="1"/>
    <col min="11272" max="11272" width="18.44140625" customWidth="1"/>
    <col min="11521" max="11521" width="3.33203125" customWidth="1"/>
    <col min="11522" max="11522" width="8.77734375" customWidth="1"/>
    <col min="11523" max="11523" width="3.109375" customWidth="1"/>
    <col min="11524" max="11524" width="14.21875" customWidth="1"/>
    <col min="11525" max="11525" width="56.21875" customWidth="1"/>
    <col min="11526" max="11526" width="26.77734375" customWidth="1"/>
    <col min="11527" max="11527" width="4.88671875" customWidth="1"/>
    <col min="11528" max="11528" width="18.44140625" customWidth="1"/>
    <col min="11777" max="11777" width="3.33203125" customWidth="1"/>
    <col min="11778" max="11778" width="8.77734375" customWidth="1"/>
    <col min="11779" max="11779" width="3.109375" customWidth="1"/>
    <col min="11780" max="11780" width="14.21875" customWidth="1"/>
    <col min="11781" max="11781" width="56.21875" customWidth="1"/>
    <col min="11782" max="11782" width="26.77734375" customWidth="1"/>
    <col min="11783" max="11783" width="4.88671875" customWidth="1"/>
    <col min="11784" max="11784" width="18.44140625" customWidth="1"/>
    <col min="12033" max="12033" width="3.33203125" customWidth="1"/>
    <col min="12034" max="12034" width="8.77734375" customWidth="1"/>
    <col min="12035" max="12035" width="3.109375" customWidth="1"/>
    <col min="12036" max="12036" width="14.21875" customWidth="1"/>
    <col min="12037" max="12037" width="56.21875" customWidth="1"/>
    <col min="12038" max="12038" width="26.77734375" customWidth="1"/>
    <col min="12039" max="12039" width="4.88671875" customWidth="1"/>
    <col min="12040" max="12040" width="18.44140625" customWidth="1"/>
    <col min="12289" max="12289" width="3.33203125" customWidth="1"/>
    <col min="12290" max="12290" width="8.77734375" customWidth="1"/>
    <col min="12291" max="12291" width="3.109375" customWidth="1"/>
    <col min="12292" max="12292" width="14.21875" customWidth="1"/>
    <col min="12293" max="12293" width="56.21875" customWidth="1"/>
    <col min="12294" max="12294" width="26.77734375" customWidth="1"/>
    <col min="12295" max="12295" width="4.88671875" customWidth="1"/>
    <col min="12296" max="12296" width="18.44140625" customWidth="1"/>
    <col min="12545" max="12545" width="3.33203125" customWidth="1"/>
    <col min="12546" max="12546" width="8.77734375" customWidth="1"/>
    <col min="12547" max="12547" width="3.109375" customWidth="1"/>
    <col min="12548" max="12548" width="14.21875" customWidth="1"/>
    <col min="12549" max="12549" width="56.21875" customWidth="1"/>
    <col min="12550" max="12550" width="26.77734375" customWidth="1"/>
    <col min="12551" max="12551" width="4.88671875" customWidth="1"/>
    <col min="12552" max="12552" width="18.44140625" customWidth="1"/>
    <col min="12801" max="12801" width="3.33203125" customWidth="1"/>
    <col min="12802" max="12802" width="8.77734375" customWidth="1"/>
    <col min="12803" max="12803" width="3.109375" customWidth="1"/>
    <col min="12804" max="12804" width="14.21875" customWidth="1"/>
    <col min="12805" max="12805" width="56.21875" customWidth="1"/>
    <col min="12806" max="12806" width="26.77734375" customWidth="1"/>
    <col min="12807" max="12807" width="4.88671875" customWidth="1"/>
    <col min="12808" max="12808" width="18.44140625" customWidth="1"/>
    <col min="13057" max="13057" width="3.33203125" customWidth="1"/>
    <col min="13058" max="13058" width="8.77734375" customWidth="1"/>
    <col min="13059" max="13059" width="3.109375" customWidth="1"/>
    <col min="13060" max="13060" width="14.21875" customWidth="1"/>
    <col min="13061" max="13061" width="56.21875" customWidth="1"/>
    <col min="13062" max="13062" width="26.77734375" customWidth="1"/>
    <col min="13063" max="13063" width="4.88671875" customWidth="1"/>
    <col min="13064" max="13064" width="18.44140625" customWidth="1"/>
    <col min="13313" max="13313" width="3.33203125" customWidth="1"/>
    <col min="13314" max="13314" width="8.77734375" customWidth="1"/>
    <col min="13315" max="13315" width="3.109375" customWidth="1"/>
    <col min="13316" max="13316" width="14.21875" customWidth="1"/>
    <col min="13317" max="13317" width="56.21875" customWidth="1"/>
    <col min="13318" max="13318" width="26.77734375" customWidth="1"/>
    <col min="13319" max="13319" width="4.88671875" customWidth="1"/>
    <col min="13320" max="13320" width="18.44140625" customWidth="1"/>
    <col min="13569" max="13569" width="3.33203125" customWidth="1"/>
    <col min="13570" max="13570" width="8.77734375" customWidth="1"/>
    <col min="13571" max="13571" width="3.109375" customWidth="1"/>
    <col min="13572" max="13572" width="14.21875" customWidth="1"/>
    <col min="13573" max="13573" width="56.21875" customWidth="1"/>
    <col min="13574" max="13574" width="26.77734375" customWidth="1"/>
    <col min="13575" max="13575" width="4.88671875" customWidth="1"/>
    <col min="13576" max="13576" width="18.44140625" customWidth="1"/>
    <col min="13825" max="13825" width="3.33203125" customWidth="1"/>
    <col min="13826" max="13826" width="8.77734375" customWidth="1"/>
    <col min="13827" max="13827" width="3.109375" customWidth="1"/>
    <col min="13828" max="13828" width="14.21875" customWidth="1"/>
    <col min="13829" max="13829" width="56.21875" customWidth="1"/>
    <col min="13830" max="13830" width="26.77734375" customWidth="1"/>
    <col min="13831" max="13831" width="4.88671875" customWidth="1"/>
    <col min="13832" max="13832" width="18.44140625" customWidth="1"/>
    <col min="14081" max="14081" width="3.33203125" customWidth="1"/>
    <col min="14082" max="14082" width="8.77734375" customWidth="1"/>
    <col min="14083" max="14083" width="3.109375" customWidth="1"/>
    <col min="14084" max="14084" width="14.21875" customWidth="1"/>
    <col min="14085" max="14085" width="56.21875" customWidth="1"/>
    <col min="14086" max="14086" width="26.77734375" customWidth="1"/>
    <col min="14087" max="14087" width="4.88671875" customWidth="1"/>
    <col min="14088" max="14088" width="18.44140625" customWidth="1"/>
    <col min="14337" max="14337" width="3.33203125" customWidth="1"/>
    <col min="14338" max="14338" width="8.77734375" customWidth="1"/>
    <col min="14339" max="14339" width="3.109375" customWidth="1"/>
    <col min="14340" max="14340" width="14.21875" customWidth="1"/>
    <col min="14341" max="14341" width="56.21875" customWidth="1"/>
    <col min="14342" max="14342" width="26.77734375" customWidth="1"/>
    <col min="14343" max="14343" width="4.88671875" customWidth="1"/>
    <col min="14344" max="14344" width="18.44140625" customWidth="1"/>
    <col min="14593" max="14593" width="3.33203125" customWidth="1"/>
    <col min="14594" max="14594" width="8.77734375" customWidth="1"/>
    <col min="14595" max="14595" width="3.109375" customWidth="1"/>
    <col min="14596" max="14596" width="14.21875" customWidth="1"/>
    <col min="14597" max="14597" width="56.21875" customWidth="1"/>
    <col min="14598" max="14598" width="26.77734375" customWidth="1"/>
    <col min="14599" max="14599" width="4.88671875" customWidth="1"/>
    <col min="14600" max="14600" width="18.44140625" customWidth="1"/>
    <col min="14849" max="14849" width="3.33203125" customWidth="1"/>
    <col min="14850" max="14850" width="8.77734375" customWidth="1"/>
    <col min="14851" max="14851" width="3.109375" customWidth="1"/>
    <col min="14852" max="14852" width="14.21875" customWidth="1"/>
    <col min="14853" max="14853" width="56.21875" customWidth="1"/>
    <col min="14854" max="14854" width="26.77734375" customWidth="1"/>
    <col min="14855" max="14855" width="4.88671875" customWidth="1"/>
    <col min="14856" max="14856" width="18.44140625" customWidth="1"/>
    <col min="15105" max="15105" width="3.33203125" customWidth="1"/>
    <col min="15106" max="15106" width="8.77734375" customWidth="1"/>
    <col min="15107" max="15107" width="3.109375" customWidth="1"/>
    <col min="15108" max="15108" width="14.21875" customWidth="1"/>
    <col min="15109" max="15109" width="56.21875" customWidth="1"/>
    <col min="15110" max="15110" width="26.77734375" customWidth="1"/>
    <col min="15111" max="15111" width="4.88671875" customWidth="1"/>
    <col min="15112" max="15112" width="18.44140625" customWidth="1"/>
    <col min="15361" max="15361" width="3.33203125" customWidth="1"/>
    <col min="15362" max="15362" width="8.77734375" customWidth="1"/>
    <col min="15363" max="15363" width="3.109375" customWidth="1"/>
    <col min="15364" max="15364" width="14.21875" customWidth="1"/>
    <col min="15365" max="15365" width="56.21875" customWidth="1"/>
    <col min="15366" max="15366" width="26.77734375" customWidth="1"/>
    <col min="15367" max="15367" width="4.88671875" customWidth="1"/>
    <col min="15368" max="15368" width="18.44140625" customWidth="1"/>
    <col min="15617" max="15617" width="3.33203125" customWidth="1"/>
    <col min="15618" max="15618" width="8.77734375" customWidth="1"/>
    <col min="15619" max="15619" width="3.109375" customWidth="1"/>
    <col min="15620" max="15620" width="14.21875" customWidth="1"/>
    <col min="15621" max="15621" width="56.21875" customWidth="1"/>
    <col min="15622" max="15622" width="26.77734375" customWidth="1"/>
    <col min="15623" max="15623" width="4.88671875" customWidth="1"/>
    <col min="15624" max="15624" width="18.44140625" customWidth="1"/>
    <col min="15873" max="15873" width="3.33203125" customWidth="1"/>
    <col min="15874" max="15874" width="8.77734375" customWidth="1"/>
    <col min="15875" max="15875" width="3.109375" customWidth="1"/>
    <col min="15876" max="15876" width="14.21875" customWidth="1"/>
    <col min="15877" max="15877" width="56.21875" customWidth="1"/>
    <col min="15878" max="15878" width="26.77734375" customWidth="1"/>
    <col min="15879" max="15879" width="4.88671875" customWidth="1"/>
    <col min="15880" max="15880" width="18.44140625" customWidth="1"/>
    <col min="16129" max="16129" width="3.33203125" customWidth="1"/>
    <col min="16130" max="16130" width="8.77734375" customWidth="1"/>
    <col min="16131" max="16131" width="3.109375" customWidth="1"/>
    <col min="16132" max="16132" width="14.21875" customWidth="1"/>
    <col min="16133" max="16133" width="56.21875" customWidth="1"/>
    <col min="16134" max="16134" width="26.77734375" customWidth="1"/>
    <col min="16135" max="16135" width="4.88671875" customWidth="1"/>
    <col min="16136" max="16136" width="18.44140625" customWidth="1"/>
  </cols>
  <sheetData>
    <row r="1" spans="1:13" ht="18" customHeight="1">
      <c r="B1" s="290"/>
    </row>
    <row r="2" spans="1:13" ht="18" customHeight="1">
      <c r="B2" s="293" t="s">
        <v>651</v>
      </c>
      <c r="G2" s="294"/>
    </row>
    <row r="3" spans="1:13" s="297" customFormat="1" ht="20.100000000000001" customHeight="1">
      <c r="A3" s="289"/>
      <c r="B3" s="295" t="s">
        <v>776</v>
      </c>
      <c r="C3" s="291"/>
      <c r="D3" s="291"/>
      <c r="E3" s="291"/>
      <c r="F3" s="291"/>
      <c r="G3" s="294"/>
      <c r="H3" s="296"/>
    </row>
    <row r="4" spans="1:13" s="297" customFormat="1" ht="20.100000000000001" customHeight="1">
      <c r="A4" s="289"/>
      <c r="B4" s="293" t="s">
        <v>652</v>
      </c>
      <c r="C4" s="291"/>
      <c r="D4" s="291"/>
      <c r="E4" s="291"/>
      <c r="F4" s="291"/>
      <c r="G4" s="294"/>
      <c r="H4" s="296"/>
    </row>
    <row r="5" spans="1:13" s="297" customFormat="1" ht="20.100000000000001" customHeight="1">
      <c r="A5" s="289"/>
      <c r="B5" s="298"/>
      <c r="C5" s="291"/>
      <c r="D5" s="291"/>
      <c r="E5" s="291"/>
      <c r="F5" s="291"/>
      <c r="G5" s="294"/>
      <c r="H5" s="296"/>
    </row>
    <row r="6" spans="1:13" s="296" customFormat="1" ht="31.5" customHeight="1">
      <c r="A6" s="289"/>
      <c r="B6" s="299" t="s">
        <v>653</v>
      </c>
      <c r="C6" s="300"/>
      <c r="D6" s="301" t="s">
        <v>654</v>
      </c>
      <c r="E6" s="302"/>
      <c r="F6" s="302" t="s">
        <v>650</v>
      </c>
      <c r="G6" s="294"/>
      <c r="H6" s="303"/>
      <c r="I6" s="303"/>
      <c r="J6" s="303"/>
      <c r="K6" s="303"/>
      <c r="L6" s="303"/>
      <c r="M6" s="303"/>
    </row>
    <row r="7" spans="1:13" s="296" customFormat="1">
      <c r="A7" s="289"/>
      <c r="B7" s="304"/>
      <c r="C7" s="305"/>
      <c r="D7" s="306"/>
      <c r="E7" s="307"/>
      <c r="F7" s="308"/>
      <c r="G7" s="294"/>
    </row>
    <row r="8" spans="1:13" s="296" customFormat="1">
      <c r="A8" s="289"/>
      <c r="B8" s="309" t="s">
        <v>655</v>
      </c>
      <c r="C8" s="310"/>
      <c r="D8" s="311" t="s">
        <v>656</v>
      </c>
      <c r="E8" s="312"/>
      <c r="F8" s="313">
        <f>'BQ MAPLE'!F2</f>
        <v>4433680</v>
      </c>
      <c r="G8" s="294"/>
      <c r="H8" s="314"/>
    </row>
    <row r="9" spans="1:13" s="296" customFormat="1">
      <c r="A9" s="289"/>
      <c r="B9" s="309" t="s">
        <v>657</v>
      </c>
      <c r="C9" s="310"/>
      <c r="D9" s="311" t="s">
        <v>658</v>
      </c>
      <c r="E9" s="312"/>
      <c r="F9" s="313">
        <f>'BQ MAPLE'!F13</f>
        <v>9849763</v>
      </c>
      <c r="G9" s="294"/>
      <c r="H9" s="314"/>
    </row>
    <row r="10" spans="1:13" s="296" customFormat="1">
      <c r="A10" s="289"/>
      <c r="B10" s="309" t="s">
        <v>659</v>
      </c>
      <c r="C10" s="310"/>
      <c r="D10" s="311" t="s">
        <v>660</v>
      </c>
      <c r="E10" s="312"/>
      <c r="F10" s="313">
        <f>'BQ MAPLE'!F27</f>
        <v>44272698.64841263</v>
      </c>
      <c r="G10" s="294"/>
      <c r="H10" s="314"/>
    </row>
    <row r="11" spans="1:13" s="296" customFormat="1">
      <c r="A11" s="289"/>
      <c r="B11" s="309" t="s">
        <v>661</v>
      </c>
      <c r="C11" s="310"/>
      <c r="D11" s="311" t="s">
        <v>662</v>
      </c>
      <c r="E11" s="312"/>
      <c r="F11" s="313">
        <f>'BQ MAPLE'!F44+'BQ MAPLE'!F90+'BQ MAPLE'!F119+'BQ MAPLE'!F132</f>
        <v>222401714.14370623</v>
      </c>
      <c r="G11" s="294"/>
      <c r="H11" s="314"/>
    </row>
    <row r="12" spans="1:13" s="296" customFormat="1">
      <c r="A12" s="289"/>
      <c r="B12" s="309" t="s">
        <v>663</v>
      </c>
      <c r="C12" s="310"/>
      <c r="D12" s="311" t="s">
        <v>664</v>
      </c>
      <c r="E12" s="312"/>
      <c r="F12" s="313">
        <f>'BQ MAPLE'!F146+'BQ MAPLE'!F178</f>
        <v>135640675.80013311</v>
      </c>
      <c r="G12" s="294"/>
      <c r="H12" s="314"/>
    </row>
    <row r="13" spans="1:13" s="296" customFormat="1">
      <c r="A13" s="289"/>
      <c r="B13" s="309" t="s">
        <v>665</v>
      </c>
      <c r="C13" s="310"/>
      <c r="D13" s="311" t="s">
        <v>666</v>
      </c>
      <c r="E13" s="312"/>
      <c r="F13" s="313">
        <f>'BQ MAPLE'!F208+'BQ MAPLE'!F218</f>
        <v>16232508.75</v>
      </c>
      <c r="G13" s="294"/>
      <c r="H13" s="314"/>
    </row>
    <row r="14" spans="1:13" s="296" customFormat="1">
      <c r="A14" s="289"/>
      <c r="B14" s="309" t="s">
        <v>667</v>
      </c>
      <c r="C14" s="310"/>
      <c r="D14" s="311" t="s">
        <v>668</v>
      </c>
      <c r="E14" s="312"/>
      <c r="F14" s="313">
        <f>'BQ MAPLE'!F235+'BQ MAPLE'!F245+'BQ MAPLE'!F256+'BQ MAPLE'!F266</f>
        <v>157567060.01349998</v>
      </c>
      <c r="G14" s="294"/>
      <c r="H14" s="315"/>
    </row>
    <row r="15" spans="1:13" s="296" customFormat="1">
      <c r="A15" s="289"/>
      <c r="B15" s="316" t="s">
        <v>669</v>
      </c>
      <c r="C15" s="310"/>
      <c r="D15" s="311" t="s">
        <v>670</v>
      </c>
      <c r="E15" s="312"/>
      <c r="F15" s="313">
        <f>'BQ MAPLE'!F279</f>
        <v>30690867.590090089</v>
      </c>
      <c r="G15" s="294"/>
      <c r="H15" s="315"/>
    </row>
    <row r="16" spans="1:13" s="296" customFormat="1">
      <c r="A16" s="289"/>
      <c r="B16" s="316" t="s">
        <v>671</v>
      </c>
      <c r="C16" s="310"/>
      <c r="D16" s="311" t="s">
        <v>672</v>
      </c>
      <c r="E16" s="312"/>
      <c r="F16" s="313">
        <f>'BQ MAPLE'!F299</f>
        <v>173647733.52252251</v>
      </c>
      <c r="G16" s="294"/>
      <c r="H16" s="314"/>
    </row>
    <row r="17" spans="1:10" s="296" customFormat="1">
      <c r="A17" s="289"/>
      <c r="B17" s="316" t="s">
        <v>673</v>
      </c>
      <c r="C17" s="310"/>
      <c r="D17" s="311" t="s">
        <v>674</v>
      </c>
      <c r="E17" s="312"/>
      <c r="F17" s="313">
        <f>'BQ MAPLE'!F341+'BQ MAPLE'!F351+'BQ MAPLE'!F361+'BQ MAPLE'!F371</f>
        <v>35644290.576091267</v>
      </c>
      <c r="G17" s="294"/>
      <c r="H17" s="314"/>
    </row>
    <row r="18" spans="1:10" s="296" customFormat="1">
      <c r="A18" s="289"/>
      <c r="B18" s="309" t="s">
        <v>675</v>
      </c>
      <c r="C18" s="310"/>
      <c r="D18" s="311" t="s">
        <v>676</v>
      </c>
      <c r="E18" s="312"/>
      <c r="F18" s="313">
        <f>'BQ MAPLE'!F382+'BQ MAPLE'!F417+'BQ MAPLE'!F428+'BQ MAPLE'!F438+'BQ MAPLE'!F448+'BQ MAPLE'!F463</f>
        <v>86636532.072072074</v>
      </c>
      <c r="G18" s="294"/>
      <c r="H18" s="314"/>
    </row>
    <row r="19" spans="1:10" s="296" customFormat="1">
      <c r="A19" s="289"/>
      <c r="B19" s="316" t="s">
        <v>677</v>
      </c>
      <c r="C19" s="310"/>
      <c r="D19" s="311" t="s">
        <v>678</v>
      </c>
      <c r="E19" s="312"/>
      <c r="F19" s="313">
        <f>'BQ MAPLE'!F474+'BQ MAPLE'!F500</f>
        <v>40423500</v>
      </c>
      <c r="G19" s="294"/>
      <c r="H19" s="314"/>
    </row>
    <row r="20" spans="1:10" s="296" customFormat="1" ht="19.5" customHeight="1">
      <c r="A20" s="289"/>
      <c r="B20" s="309" t="s">
        <v>679</v>
      </c>
      <c r="C20" s="310"/>
      <c r="D20" s="311" t="s">
        <v>680</v>
      </c>
      <c r="E20" s="312"/>
      <c r="F20" s="313">
        <f>'BQ MAPLE'!F533</f>
        <v>11909700</v>
      </c>
      <c r="G20" s="294"/>
    </row>
    <row r="21" spans="1:10" s="296" customFormat="1">
      <c r="A21" s="289"/>
      <c r="B21" s="309"/>
      <c r="C21" s="310"/>
      <c r="D21" s="317"/>
      <c r="E21" s="312"/>
      <c r="F21" s="318"/>
      <c r="G21" s="319"/>
      <c r="H21" s="292"/>
    </row>
    <row r="22" spans="1:10" s="296" customFormat="1">
      <c r="A22" s="289"/>
      <c r="B22" s="320"/>
      <c r="C22" s="321"/>
      <c r="D22" s="322"/>
      <c r="E22" s="323"/>
      <c r="F22" s="324"/>
      <c r="G22" s="294"/>
    </row>
    <row r="23" spans="1:10" s="296" customFormat="1" ht="20.25" customHeight="1">
      <c r="A23" s="289"/>
      <c r="B23" s="325"/>
      <c r="C23" s="326"/>
      <c r="D23" s="327"/>
      <c r="E23" s="328" t="s">
        <v>286</v>
      </c>
      <c r="F23" s="329">
        <f>SUM(F7:F22)</f>
        <v>969350724.1165278</v>
      </c>
      <c r="G23" s="294"/>
      <c r="H23" s="296">
        <v>988000000</v>
      </c>
    </row>
    <row r="24" spans="1:10" s="296" customFormat="1" ht="20.25" customHeight="1">
      <c r="A24" s="289"/>
      <c r="B24" s="330"/>
      <c r="C24" s="331"/>
      <c r="D24" s="332"/>
      <c r="E24" s="333" t="s">
        <v>681</v>
      </c>
      <c r="F24" s="334">
        <f>0.05*F23</f>
        <v>48467536.205826394</v>
      </c>
      <c r="G24" s="294"/>
    </row>
    <row r="25" spans="1:10" s="296" customFormat="1" ht="20.25" customHeight="1">
      <c r="A25" s="289"/>
      <c r="B25" s="330"/>
      <c r="C25" s="331"/>
      <c r="D25" s="332"/>
      <c r="E25" s="333" t="s">
        <v>682</v>
      </c>
      <c r="F25" s="335">
        <f>SUM(F23:F24)</f>
        <v>1017818260.3223542</v>
      </c>
      <c r="G25" s="294"/>
      <c r="H25" s="357">
        <f>F25/195</f>
        <v>5219580.8221659185</v>
      </c>
      <c r="I25" s="408">
        <v>1037000000</v>
      </c>
      <c r="J25" s="408">
        <v>972000000</v>
      </c>
    </row>
    <row r="26" spans="1:10" s="296" customFormat="1" ht="20.25" customHeight="1">
      <c r="A26" s="289"/>
      <c r="B26" s="330"/>
      <c r="C26" s="331"/>
      <c r="D26" s="332"/>
      <c r="E26" s="333" t="s">
        <v>822</v>
      </c>
      <c r="F26" s="334">
        <f>0.11*F25</f>
        <v>111960008.63545896</v>
      </c>
      <c r="G26" s="294"/>
    </row>
    <row r="27" spans="1:10" s="296" customFormat="1" ht="20.25" customHeight="1">
      <c r="A27" s="289"/>
      <c r="B27" s="330"/>
      <c r="C27" s="331"/>
      <c r="D27" s="332"/>
      <c r="E27" s="333" t="s">
        <v>683</v>
      </c>
      <c r="F27" s="335">
        <f>SUM(F25:F26)</f>
        <v>1129778268.9578133</v>
      </c>
      <c r="G27" s="294"/>
    </row>
    <row r="28" spans="1:10" s="296" customFormat="1" ht="20.25" customHeight="1">
      <c r="A28" s="289"/>
      <c r="B28" s="330"/>
      <c r="C28" s="331"/>
      <c r="D28" s="332"/>
      <c r="E28" s="333" t="s">
        <v>684</v>
      </c>
      <c r="F28" s="336">
        <f>ROUNDDOWN(F27,-3)</f>
        <v>1129778000</v>
      </c>
      <c r="G28" s="294"/>
      <c r="H28" s="357">
        <f>F28/195</f>
        <v>5793733.333333333</v>
      </c>
    </row>
    <row r="29" spans="1:10" s="296" customFormat="1" ht="20.25" customHeight="1">
      <c r="A29" s="289"/>
      <c r="B29" s="337"/>
      <c r="C29" s="338"/>
      <c r="D29" s="339"/>
      <c r="E29" s="340"/>
      <c r="F29" s="341"/>
      <c r="G29" s="294"/>
    </row>
    <row r="30" spans="1:10" s="296" customFormat="1" ht="20.25" customHeight="1">
      <c r="A30" s="289"/>
      <c r="B30" s="298"/>
      <c r="C30" s="291"/>
      <c r="D30" s="332"/>
      <c r="E30" s="332"/>
      <c r="F30" s="342"/>
      <c r="G30" s="294"/>
    </row>
    <row r="31" spans="1:10" s="296" customFormat="1" ht="20.25" customHeight="1">
      <c r="A31" s="289"/>
      <c r="B31" s="298"/>
      <c r="C31" s="343"/>
      <c r="D31" s="344"/>
      <c r="E31" s="345"/>
      <c r="F31" s="291"/>
      <c r="G31" s="294"/>
    </row>
    <row r="32" spans="1:10" s="296" customFormat="1" ht="20.25" customHeight="1">
      <c r="A32" s="289"/>
      <c r="B32" s="407"/>
      <c r="C32" s="343"/>
      <c r="D32" s="344"/>
      <c r="E32" s="426" t="s">
        <v>859</v>
      </c>
      <c r="F32" s="346"/>
      <c r="G32" s="294"/>
    </row>
    <row r="33" spans="1:7" s="296" customFormat="1" ht="20.25" customHeight="1">
      <c r="A33" s="289"/>
      <c r="B33" s="298"/>
      <c r="C33" s="343"/>
      <c r="D33" s="347"/>
      <c r="E33" s="346"/>
      <c r="F33" s="346"/>
      <c r="G33" s="294"/>
    </row>
    <row r="34" spans="1:7" s="292" customFormat="1">
      <c r="A34" s="289"/>
      <c r="B34" s="298"/>
      <c r="C34" s="343"/>
      <c r="D34" s="348"/>
      <c r="E34" s="349"/>
      <c r="F34" s="349"/>
      <c r="G34" s="294"/>
    </row>
    <row r="35" spans="1:7" s="292" customFormat="1">
      <c r="A35" s="289"/>
      <c r="B35" s="298"/>
      <c r="C35" s="343"/>
      <c r="D35" s="343"/>
      <c r="E35" s="349"/>
      <c r="F35" s="349"/>
      <c r="G35" s="294"/>
    </row>
    <row r="36" spans="1:7" s="292" customFormat="1">
      <c r="A36" s="289"/>
      <c r="B36" s="291"/>
      <c r="C36" s="343"/>
      <c r="D36" s="350"/>
      <c r="E36" s="346"/>
      <c r="F36" s="346"/>
      <c r="G36" s="294"/>
    </row>
    <row r="37" spans="1:7">
      <c r="C37" s="343"/>
      <c r="D37" s="351"/>
      <c r="E37" s="345"/>
      <c r="G37" s="294"/>
    </row>
    <row r="38" spans="1:7" ht="23.25" customHeight="1">
      <c r="B38" s="349"/>
      <c r="C38" s="352"/>
      <c r="D38" s="353"/>
      <c r="E38" s="346"/>
      <c r="F38" s="349"/>
      <c r="G38" s="354"/>
    </row>
    <row r="39" spans="1:7" ht="23.25" customHeight="1">
      <c r="B39" s="349"/>
      <c r="C39" s="349"/>
      <c r="D39" s="349"/>
      <c r="E39" s="346"/>
      <c r="F39" s="349"/>
      <c r="G39" s="354"/>
    </row>
    <row r="40" spans="1:7">
      <c r="B40" s="349"/>
      <c r="C40" s="349"/>
      <c r="D40" s="349"/>
      <c r="E40" s="349"/>
      <c r="F40" s="349"/>
      <c r="G40" s="354"/>
    </row>
    <row r="41" spans="1:7">
      <c r="B41" s="349"/>
      <c r="C41" s="349"/>
      <c r="D41" s="349"/>
      <c r="E41" s="346"/>
      <c r="F41" s="349"/>
      <c r="G41" s="354"/>
    </row>
    <row r="42" spans="1:7" ht="39" customHeight="1">
      <c r="B42" s="349"/>
      <c r="C42" s="349"/>
      <c r="D42" s="349"/>
      <c r="E42" s="349"/>
      <c r="F42" s="349"/>
      <c r="G42" s="354"/>
    </row>
    <row r="43" spans="1:7">
      <c r="B43" s="448"/>
      <c r="C43" s="448"/>
      <c r="D43" s="448"/>
      <c r="E43" s="448"/>
      <c r="F43" s="448"/>
      <c r="G43" s="448"/>
    </row>
    <row r="44" spans="1:7">
      <c r="B44" s="448"/>
      <c r="C44" s="448"/>
      <c r="D44" s="448"/>
      <c r="E44" s="448"/>
      <c r="F44" s="448"/>
      <c r="G44" s="448"/>
    </row>
    <row r="45" spans="1:7">
      <c r="B45" s="448"/>
      <c r="C45" s="448"/>
      <c r="D45" s="448"/>
      <c r="E45" s="448"/>
      <c r="F45" s="448"/>
      <c r="G45" s="448"/>
    </row>
    <row r="46" spans="1:7">
      <c r="B46" s="448"/>
      <c r="C46" s="448"/>
      <c r="D46" s="448"/>
      <c r="E46" s="448"/>
      <c r="F46" s="448"/>
      <c r="G46" s="448"/>
    </row>
    <row r="47" spans="1:7" ht="78" customHeight="1">
      <c r="B47" s="447"/>
      <c r="C47" s="447"/>
      <c r="D47" s="447"/>
      <c r="E47" s="447"/>
      <c r="F47" s="447"/>
      <c r="G47" s="447"/>
    </row>
    <row r="48" spans="1:7">
      <c r="B48" s="447"/>
      <c r="C48" s="447"/>
      <c r="D48" s="447"/>
      <c r="E48" s="447"/>
      <c r="F48" s="447"/>
      <c r="G48" s="447"/>
    </row>
    <row r="49" spans="2:7">
      <c r="B49" s="447"/>
      <c r="C49" s="447"/>
      <c r="D49" s="447"/>
      <c r="E49" s="447"/>
      <c r="F49" s="447"/>
      <c r="G49" s="447"/>
    </row>
    <row r="50" spans="2:7">
      <c r="B50" s="447"/>
      <c r="C50" s="447"/>
      <c r="D50" s="447"/>
      <c r="E50" s="447"/>
      <c r="F50" s="447"/>
      <c r="G50" s="447"/>
    </row>
    <row r="51" spans="2:7">
      <c r="G51" s="355"/>
    </row>
    <row r="52" spans="2:7">
      <c r="G52" s="355"/>
    </row>
    <row r="53" spans="2:7">
      <c r="G53" s="355"/>
    </row>
    <row r="54" spans="2:7">
      <c r="G54" s="355"/>
    </row>
    <row r="55" spans="2:7">
      <c r="G55" s="355"/>
    </row>
    <row r="56" spans="2:7">
      <c r="G56" s="355"/>
    </row>
    <row r="57" spans="2:7">
      <c r="G57" s="355"/>
    </row>
    <row r="58" spans="2:7">
      <c r="G58" s="355"/>
    </row>
    <row r="59" spans="2:7">
      <c r="G59" s="355"/>
    </row>
    <row r="60" spans="2:7">
      <c r="G60" s="355"/>
    </row>
    <row r="61" spans="2:7">
      <c r="G61" s="355"/>
    </row>
    <row r="62" spans="2:7">
      <c r="G62" s="355"/>
    </row>
    <row r="63" spans="2:7">
      <c r="G63" s="355"/>
    </row>
    <row r="64" spans="2:7">
      <c r="G64" s="355"/>
    </row>
    <row r="65" spans="7:7">
      <c r="G65" s="355"/>
    </row>
    <row r="66" spans="7:7">
      <c r="G66" s="355"/>
    </row>
    <row r="67" spans="7:7">
      <c r="G67" s="355"/>
    </row>
    <row r="68" spans="7:7">
      <c r="G68" s="355"/>
    </row>
    <row r="69" spans="7:7">
      <c r="G69" s="355"/>
    </row>
    <row r="70" spans="7:7">
      <c r="G70" s="355"/>
    </row>
    <row r="71" spans="7:7">
      <c r="G71" s="355"/>
    </row>
    <row r="72" spans="7:7">
      <c r="G72" s="355"/>
    </row>
    <row r="73" spans="7:7">
      <c r="G73" s="355"/>
    </row>
    <row r="74" spans="7:7">
      <c r="G74" s="355"/>
    </row>
    <row r="75" spans="7:7">
      <c r="G75" s="355"/>
    </row>
  </sheetData>
  <mergeCells count="8">
    <mergeCell ref="B49:G49"/>
    <mergeCell ref="B50:G50"/>
    <mergeCell ref="B43:G43"/>
    <mergeCell ref="B44:G44"/>
    <mergeCell ref="B45:G45"/>
    <mergeCell ref="B46:G46"/>
    <mergeCell ref="B47:G47"/>
    <mergeCell ref="B48:G48"/>
  </mergeCells>
  <pageMargins left="0.7" right="0.7" top="0.75" bottom="0.75" header="0.3" footer="0.3"/>
  <pageSetup paperSize="9" orientation="portrait" horizontalDpi="12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56"/>
  <sheetViews>
    <sheetView topLeftCell="B202" workbookViewId="0">
      <selection activeCell="D213" sqref="D213"/>
    </sheetView>
  </sheetViews>
  <sheetFormatPr defaultColWidth="9" defaultRowHeight="14.4"/>
  <cols>
    <col min="1" max="1" width="6.21875" style="1" customWidth="1"/>
    <col min="2" max="2" width="44.6640625" style="1" bestFit="1" customWidth="1"/>
    <col min="3" max="3" width="10.21875" style="2" customWidth="1"/>
    <col min="4" max="4" width="9.6640625" style="1" customWidth="1"/>
    <col min="5" max="5" width="13.88671875" style="1" customWidth="1"/>
    <col min="6" max="6" width="19" style="1" customWidth="1"/>
    <col min="7" max="7" width="3.33203125" style="1" customWidth="1"/>
    <col min="8" max="16384" width="9" style="1"/>
  </cols>
  <sheetData>
    <row r="1" spans="1:6">
      <c r="A1" s="79"/>
      <c r="B1" s="78"/>
      <c r="C1" s="77"/>
      <c r="D1" s="76"/>
      <c r="E1" s="455"/>
      <c r="F1" s="456"/>
    </row>
    <row r="2" spans="1:6" ht="15" customHeight="1">
      <c r="A2" s="457" t="s">
        <v>152</v>
      </c>
      <c r="B2" s="457"/>
      <c r="C2" s="75"/>
      <c r="D2" s="75"/>
      <c r="E2" s="74"/>
      <c r="F2" s="74"/>
    </row>
    <row r="3" spans="1:6" ht="15.6">
      <c r="A3" s="73" t="s">
        <v>372</v>
      </c>
      <c r="B3" s="72"/>
      <c r="C3" s="71"/>
      <c r="D3" s="5"/>
      <c r="E3" s="5"/>
      <c r="F3" s="5"/>
    </row>
    <row r="4" spans="1:6" ht="16.2" thickBot="1">
      <c r="A4" s="70" t="s">
        <v>781</v>
      </c>
      <c r="B4" s="69"/>
      <c r="C4" s="69"/>
      <c r="D4" s="5"/>
      <c r="E4" s="5"/>
      <c r="F4" s="5"/>
    </row>
    <row r="5" spans="1:6">
      <c r="A5" s="458" t="s">
        <v>151</v>
      </c>
      <c r="B5" s="460" t="s">
        <v>150</v>
      </c>
      <c r="C5" s="462" t="s">
        <v>40</v>
      </c>
      <c r="D5" s="460" t="s">
        <v>2</v>
      </c>
      <c r="E5" s="68" t="s">
        <v>149</v>
      </c>
      <c r="F5" s="67" t="s">
        <v>148</v>
      </c>
    </row>
    <row r="6" spans="1:6" ht="15" thickBot="1">
      <c r="A6" s="459"/>
      <c r="B6" s="461"/>
      <c r="C6" s="463"/>
      <c r="D6" s="461"/>
      <c r="E6" s="66" t="s">
        <v>147</v>
      </c>
      <c r="F6" s="65" t="s">
        <v>147</v>
      </c>
    </row>
    <row r="7" spans="1:6" ht="15" thickTop="1">
      <c r="A7" s="64"/>
      <c r="B7" s="62"/>
      <c r="C7" s="63"/>
      <c r="D7" s="62"/>
      <c r="E7" s="61"/>
      <c r="F7" s="60"/>
    </row>
    <row r="8" spans="1:6">
      <c r="A8" s="28" t="s">
        <v>146</v>
      </c>
      <c r="B8" s="33" t="s">
        <v>145</v>
      </c>
      <c r="C8" s="26" t="s">
        <v>58</v>
      </c>
      <c r="D8" s="59"/>
      <c r="E8" s="58"/>
      <c r="F8" s="50"/>
    </row>
    <row r="9" spans="1:6">
      <c r="A9" s="35"/>
      <c r="B9" s="27" t="s">
        <v>144</v>
      </c>
      <c r="C9" s="26" t="s">
        <v>51</v>
      </c>
      <c r="D9" s="39">
        <f>0.004*0.6</f>
        <v>2.3999999999999998E-3</v>
      </c>
      <c r="E9" s="434">
        <f>2250000-400000</f>
        <v>1850000</v>
      </c>
      <c r="F9" s="50">
        <f>D9*E9</f>
        <v>4440</v>
      </c>
    </row>
    <row r="10" spans="1:6">
      <c r="A10" s="35"/>
      <c r="B10" s="27" t="s">
        <v>143</v>
      </c>
      <c r="C10" s="26" t="s">
        <v>51</v>
      </c>
      <c r="D10" s="39">
        <f>0.002*0.6</f>
        <v>1.1999999999999999E-3</v>
      </c>
      <c r="E10" s="38">
        <v>1850000</v>
      </c>
      <c r="F10" s="50">
        <f>D10*E10</f>
        <v>2220</v>
      </c>
    </row>
    <row r="11" spans="1:6">
      <c r="A11" s="35"/>
      <c r="B11" s="27" t="s">
        <v>142</v>
      </c>
      <c r="C11" s="30" t="s">
        <v>43</v>
      </c>
      <c r="D11" s="36">
        <v>0.02</v>
      </c>
      <c r="E11" s="24">
        <v>13000</v>
      </c>
      <c r="F11" s="50">
        <f>D11*E11</f>
        <v>260</v>
      </c>
    </row>
    <row r="12" spans="1:6" ht="15" thickBot="1">
      <c r="A12" s="35"/>
      <c r="B12" s="27" t="s">
        <v>63</v>
      </c>
      <c r="C12" s="26" t="s">
        <v>58</v>
      </c>
      <c r="D12" s="36">
        <v>1</v>
      </c>
      <c r="E12" s="24">
        <v>15000</v>
      </c>
      <c r="F12" s="18">
        <f>D12*E12</f>
        <v>15000</v>
      </c>
    </row>
    <row r="13" spans="1:6" ht="16.2">
      <c r="A13" s="35"/>
      <c r="B13" s="34" t="s">
        <v>52</v>
      </c>
      <c r="C13" s="57"/>
      <c r="D13" s="57"/>
      <c r="E13" s="56"/>
      <c r="F13" s="17">
        <f>SUM(F9:F12)</f>
        <v>21920</v>
      </c>
    </row>
    <row r="14" spans="1:6">
      <c r="A14" s="28">
        <v>2</v>
      </c>
      <c r="B14" s="33" t="s">
        <v>141</v>
      </c>
      <c r="C14" s="26" t="s">
        <v>51</v>
      </c>
      <c r="D14" s="32"/>
      <c r="E14" s="24"/>
      <c r="F14" s="50"/>
    </row>
    <row r="15" spans="1:6">
      <c r="A15" s="35"/>
      <c r="B15" s="27" t="s">
        <v>77</v>
      </c>
      <c r="C15" s="30" t="s">
        <v>43</v>
      </c>
      <c r="D15" s="52">
        <f>325</f>
        <v>325</v>
      </c>
      <c r="E15" s="433">
        <f>(55000-3000)/40/1.1+500/40</f>
        <v>1194.3181818181818</v>
      </c>
      <c r="F15" s="50">
        <f>D15*E15</f>
        <v>388153.40909090906</v>
      </c>
    </row>
    <row r="16" spans="1:6">
      <c r="A16" s="35"/>
      <c r="B16" s="27" t="s">
        <v>76</v>
      </c>
      <c r="C16" s="26" t="s">
        <v>51</v>
      </c>
      <c r="D16" s="36">
        <f>0.545*1.1*1.2</f>
        <v>0.71940000000000015</v>
      </c>
      <c r="E16" s="433">
        <f>185000-10000</f>
        <v>175000</v>
      </c>
      <c r="F16" s="50">
        <f>D16*E16</f>
        <v>125895.00000000003</v>
      </c>
    </row>
    <row r="17" spans="1:6">
      <c r="A17" s="35"/>
      <c r="B17" s="27" t="s">
        <v>140</v>
      </c>
      <c r="C17" s="26" t="s">
        <v>51</v>
      </c>
      <c r="D17" s="39">
        <v>0.81700000000000006</v>
      </c>
      <c r="E17" s="433">
        <f>230000-10000</f>
        <v>220000</v>
      </c>
      <c r="F17" s="50">
        <f>D17*E17</f>
        <v>179740</v>
      </c>
    </row>
    <row r="18" spans="1:6">
      <c r="A18" s="35"/>
      <c r="B18" s="27" t="s">
        <v>109</v>
      </c>
      <c r="C18" s="30" t="s">
        <v>56</v>
      </c>
      <c r="D18" s="36">
        <v>1</v>
      </c>
      <c r="E18" s="24">
        <v>7500</v>
      </c>
      <c r="F18" s="50">
        <f>D18*E18</f>
        <v>7500</v>
      </c>
    </row>
    <row r="19" spans="1:6" ht="15" thickBot="1">
      <c r="A19" s="35"/>
      <c r="B19" s="27" t="s">
        <v>63</v>
      </c>
      <c r="C19" s="26" t="s">
        <v>51</v>
      </c>
      <c r="D19" s="36">
        <v>1</v>
      </c>
      <c r="E19" s="24">
        <v>250000</v>
      </c>
      <c r="F19" s="15">
        <f>D19*E19</f>
        <v>250000</v>
      </c>
    </row>
    <row r="20" spans="1:6">
      <c r="A20" s="35"/>
      <c r="B20" s="34" t="s">
        <v>52</v>
      </c>
      <c r="C20" s="43"/>
      <c r="D20" s="32"/>
      <c r="E20" s="24"/>
      <c r="F20" s="51">
        <f>SUM(F15:F19)</f>
        <v>951288.40909090906</v>
      </c>
    </row>
    <row r="21" spans="1:6">
      <c r="A21" s="28">
        <v>3</v>
      </c>
      <c r="B21" s="33" t="s">
        <v>139</v>
      </c>
      <c r="C21" s="26" t="s">
        <v>51</v>
      </c>
      <c r="D21" s="32"/>
      <c r="E21" s="24"/>
      <c r="F21" s="55"/>
    </row>
    <row r="22" spans="1:6">
      <c r="A22" s="35"/>
      <c r="B22" s="27" t="s">
        <v>138</v>
      </c>
      <c r="C22" s="26" t="s">
        <v>51</v>
      </c>
      <c r="D22" s="36">
        <v>1</v>
      </c>
      <c r="E22" s="24">
        <v>560000</v>
      </c>
      <c r="F22" s="50">
        <f>D22*E22</f>
        <v>560000</v>
      </c>
    </row>
    <row r="23" spans="1:6">
      <c r="A23" s="35"/>
      <c r="B23" s="27" t="s">
        <v>109</v>
      </c>
      <c r="C23" s="30" t="s">
        <v>56</v>
      </c>
      <c r="D23" s="36">
        <v>1</v>
      </c>
      <c r="E23" s="24">
        <f>E18</f>
        <v>7500</v>
      </c>
      <c r="F23" s="50">
        <f>D23*E23</f>
        <v>7500</v>
      </c>
    </row>
    <row r="24" spans="1:6" ht="15" thickBot="1">
      <c r="A24" s="35"/>
      <c r="B24" s="27" t="s">
        <v>63</v>
      </c>
      <c r="C24" s="26" t="s">
        <v>51</v>
      </c>
      <c r="D24" s="36">
        <v>1</v>
      </c>
      <c r="E24" s="24">
        <v>225000</v>
      </c>
      <c r="F24" s="49">
        <f>D24*E24</f>
        <v>225000</v>
      </c>
    </row>
    <row r="25" spans="1:6">
      <c r="A25" s="35"/>
      <c r="B25" s="34" t="s">
        <v>52</v>
      </c>
      <c r="C25" s="43"/>
      <c r="D25" s="32"/>
      <c r="E25" s="24"/>
      <c r="F25" s="54">
        <f>SUM(F22:F24)</f>
        <v>792500</v>
      </c>
    </row>
    <row r="26" spans="1:6">
      <c r="A26" s="365">
        <v>4</v>
      </c>
      <c r="B26" s="53" t="s">
        <v>780</v>
      </c>
      <c r="C26" s="206" t="s">
        <v>51</v>
      </c>
      <c r="D26" s="204"/>
      <c r="E26" s="124"/>
      <c r="F26" s="50"/>
    </row>
    <row r="27" spans="1:6">
      <c r="A27" s="365"/>
      <c r="B27" s="259" t="s">
        <v>135</v>
      </c>
      <c r="C27" s="206" t="s">
        <v>51</v>
      </c>
      <c r="D27" s="435">
        <f>1.01/1.01</f>
        <v>1</v>
      </c>
      <c r="E27" s="124">
        <v>660000</v>
      </c>
      <c r="F27" s="50">
        <f>D27*E27</f>
        <v>660000</v>
      </c>
    </row>
    <row r="28" spans="1:6">
      <c r="A28" s="365"/>
      <c r="B28" s="259" t="s">
        <v>109</v>
      </c>
      <c r="C28" s="206" t="s">
        <v>56</v>
      </c>
      <c r="D28" s="264">
        <v>1</v>
      </c>
      <c r="E28" s="124">
        <v>5000</v>
      </c>
      <c r="F28" s="50">
        <f>D28*E28</f>
        <v>5000</v>
      </c>
    </row>
    <row r="29" spans="1:6" ht="15" thickBot="1">
      <c r="A29" s="365"/>
      <c r="B29" s="259" t="s">
        <v>63</v>
      </c>
      <c r="C29" s="206" t="s">
        <v>51</v>
      </c>
      <c r="D29" s="264">
        <v>1</v>
      </c>
      <c r="E29" s="124">
        <v>225000</v>
      </c>
      <c r="F29" s="18">
        <f>D29*E29</f>
        <v>225000</v>
      </c>
    </row>
    <row r="30" spans="1:6">
      <c r="A30" s="365"/>
      <c r="B30" s="205" t="s">
        <v>52</v>
      </c>
      <c r="C30" s="206"/>
      <c r="D30" s="204"/>
      <c r="E30" s="124"/>
      <c r="F30" s="17">
        <f>SUM(F27:F29)</f>
        <v>890000</v>
      </c>
    </row>
    <row r="31" spans="1:6">
      <c r="A31" s="28">
        <v>5</v>
      </c>
      <c r="B31" s="53" t="s">
        <v>137</v>
      </c>
      <c r="C31" s="26" t="s">
        <v>51</v>
      </c>
      <c r="D31" s="32"/>
      <c r="E31" s="24"/>
      <c r="F31" s="50"/>
    </row>
    <row r="32" spans="1:6">
      <c r="A32" s="28"/>
      <c r="B32" s="27" t="s">
        <v>135</v>
      </c>
      <c r="C32" s="26" t="s">
        <v>51</v>
      </c>
      <c r="D32" s="436">
        <f>1.01/1.01</f>
        <v>1</v>
      </c>
      <c r="E32" s="24">
        <v>610000</v>
      </c>
      <c r="F32" s="50">
        <f>D32*E32</f>
        <v>610000</v>
      </c>
    </row>
    <row r="33" spans="1:6">
      <c r="A33" s="28"/>
      <c r="B33" s="27" t="s">
        <v>109</v>
      </c>
      <c r="C33" s="26" t="s">
        <v>56</v>
      </c>
      <c r="D33" s="36">
        <v>1</v>
      </c>
      <c r="E33" s="24">
        <v>5000</v>
      </c>
      <c r="F33" s="50">
        <f>D33*E33</f>
        <v>5000</v>
      </c>
    </row>
    <row r="34" spans="1:6" ht="15" thickBot="1">
      <c r="A34" s="28"/>
      <c r="B34" s="27" t="s">
        <v>63</v>
      </c>
      <c r="C34" s="26" t="s">
        <v>51</v>
      </c>
      <c r="D34" s="36">
        <v>1</v>
      </c>
      <c r="E34" s="24">
        <v>225000</v>
      </c>
      <c r="F34" s="18">
        <f>D34*E34</f>
        <v>225000</v>
      </c>
    </row>
    <row r="35" spans="1:6">
      <c r="A35" s="28"/>
      <c r="B35" s="34" t="s">
        <v>52</v>
      </c>
      <c r="C35" s="26"/>
      <c r="D35" s="32"/>
      <c r="E35" s="24"/>
      <c r="F35" s="17">
        <f>SUM(F32:F34)</f>
        <v>840000</v>
      </c>
    </row>
    <row r="36" spans="1:6">
      <c r="A36" s="28">
        <v>6</v>
      </c>
      <c r="B36" s="53" t="s">
        <v>136</v>
      </c>
      <c r="C36" s="26" t="s">
        <v>51</v>
      </c>
      <c r="D36" s="32"/>
      <c r="E36" s="24"/>
      <c r="F36" s="50"/>
    </row>
    <row r="37" spans="1:6">
      <c r="A37" s="35"/>
      <c r="B37" s="27" t="s">
        <v>135</v>
      </c>
      <c r="C37" s="26" t="s">
        <v>51</v>
      </c>
      <c r="D37" s="36">
        <f>D32</f>
        <v>1</v>
      </c>
      <c r="E37" s="24">
        <f>E32</f>
        <v>610000</v>
      </c>
      <c r="F37" s="50">
        <f>D37*E37</f>
        <v>610000</v>
      </c>
    </row>
    <row r="38" spans="1:6">
      <c r="A38" s="35"/>
      <c r="B38" s="27" t="s">
        <v>134</v>
      </c>
      <c r="C38" s="26" t="s">
        <v>56</v>
      </c>
      <c r="D38" s="36">
        <v>1</v>
      </c>
      <c r="E38" s="124">
        <f>3000000/40+250000/40</f>
        <v>81250</v>
      </c>
      <c r="F38" s="50">
        <f>D38*E38</f>
        <v>81250</v>
      </c>
    </row>
    <row r="39" spans="1:6">
      <c r="A39" s="35"/>
      <c r="B39" s="27" t="s">
        <v>109</v>
      </c>
      <c r="C39" s="26" t="s">
        <v>51</v>
      </c>
      <c r="D39" s="36">
        <v>1</v>
      </c>
      <c r="E39" s="24">
        <v>2500</v>
      </c>
      <c r="F39" s="50">
        <f>D39*E39</f>
        <v>2500</v>
      </c>
    </row>
    <row r="40" spans="1:6" ht="15" thickBot="1">
      <c r="A40" s="35"/>
      <c r="B40" s="27" t="s">
        <v>63</v>
      </c>
      <c r="C40" s="26" t="s">
        <v>56</v>
      </c>
      <c r="D40" s="36">
        <v>1</v>
      </c>
      <c r="E40" s="24">
        <v>185000</v>
      </c>
      <c r="F40" s="15">
        <f>D40*E40</f>
        <v>185000</v>
      </c>
    </row>
    <row r="41" spans="1:6">
      <c r="A41" s="35"/>
      <c r="B41" s="34" t="s">
        <v>52</v>
      </c>
      <c r="C41" s="26"/>
      <c r="D41" s="32"/>
      <c r="E41" s="24"/>
      <c r="F41" s="51">
        <f>SUM(F37:F40)</f>
        <v>878750</v>
      </c>
    </row>
    <row r="42" spans="1:6">
      <c r="A42" s="28">
        <v>7</v>
      </c>
      <c r="B42" s="33" t="s">
        <v>133</v>
      </c>
      <c r="C42" s="26" t="s">
        <v>51</v>
      </c>
      <c r="D42" s="32"/>
      <c r="E42" s="24"/>
      <c r="F42" s="50"/>
    </row>
    <row r="43" spans="1:6">
      <c r="A43" s="35"/>
      <c r="B43" s="27" t="s">
        <v>77</v>
      </c>
      <c r="C43" s="30" t="s">
        <v>43</v>
      </c>
      <c r="D43" s="52">
        <f>200</f>
        <v>200</v>
      </c>
      <c r="E43" s="24">
        <f>E15</f>
        <v>1194.3181818181818</v>
      </c>
      <c r="F43" s="50">
        <f>D43*E43</f>
        <v>238863.63636363635</v>
      </c>
    </row>
    <row r="44" spans="1:6">
      <c r="A44" s="35"/>
      <c r="B44" s="27" t="s">
        <v>76</v>
      </c>
      <c r="C44" s="26" t="s">
        <v>51</v>
      </c>
      <c r="D44" s="39">
        <f>0.557*1.1*1.2</f>
        <v>0.73524000000000012</v>
      </c>
      <c r="E44" s="24">
        <f>E16</f>
        <v>175000</v>
      </c>
      <c r="F44" s="50">
        <f>D44*E44</f>
        <v>128667.00000000001</v>
      </c>
    </row>
    <row r="45" spans="1:6">
      <c r="A45" s="35"/>
      <c r="B45" s="27" t="s">
        <v>72</v>
      </c>
      <c r="C45" s="26" t="s">
        <v>51</v>
      </c>
      <c r="D45" s="39">
        <v>0.92800000000000005</v>
      </c>
      <c r="E45" s="24">
        <f>E17</f>
        <v>220000</v>
      </c>
      <c r="F45" s="50">
        <f>D45*E45</f>
        <v>204160</v>
      </c>
    </row>
    <row r="46" spans="1:6">
      <c r="A46" s="35"/>
      <c r="B46" s="27" t="s">
        <v>109</v>
      </c>
      <c r="C46" s="30" t="s">
        <v>56</v>
      </c>
      <c r="D46" s="36">
        <v>1</v>
      </c>
      <c r="E46" s="24">
        <f>E18</f>
        <v>7500</v>
      </c>
      <c r="F46" s="50">
        <f>D46*E46</f>
        <v>7500</v>
      </c>
    </row>
    <row r="47" spans="1:6" ht="15" thickBot="1">
      <c r="A47" s="35"/>
      <c r="B47" s="27" t="s">
        <v>63</v>
      </c>
      <c r="C47" s="26" t="s">
        <v>51</v>
      </c>
      <c r="D47" s="36">
        <v>1</v>
      </c>
      <c r="E47" s="24">
        <f>E24</f>
        <v>225000</v>
      </c>
      <c r="F47" s="18">
        <f>D47*E47</f>
        <v>225000</v>
      </c>
    </row>
    <row r="48" spans="1:6">
      <c r="A48" s="35"/>
      <c r="B48" s="34" t="s">
        <v>52</v>
      </c>
      <c r="C48" s="43"/>
      <c r="D48" s="32"/>
      <c r="E48" s="24"/>
      <c r="F48" s="17">
        <f>SUM(F43:F47)</f>
        <v>804190.63636363635</v>
      </c>
    </row>
    <row r="49" spans="1:6">
      <c r="A49" s="28">
        <v>8</v>
      </c>
      <c r="B49" s="33" t="s">
        <v>309</v>
      </c>
      <c r="C49" s="26" t="s">
        <v>53</v>
      </c>
      <c r="D49" s="32"/>
      <c r="E49" s="24"/>
      <c r="F49" s="50"/>
    </row>
    <row r="50" spans="1:6">
      <c r="A50" s="28"/>
      <c r="B50" s="27" t="s">
        <v>879</v>
      </c>
      <c r="C50" s="26" t="s">
        <v>50</v>
      </c>
      <c r="D50" s="32">
        <f>(1/1.2/2.4)*(0.45)</f>
        <v>0.15625000000000003</v>
      </c>
      <c r="E50" s="434">
        <f>(105000-15000)/1.1</f>
        <v>81818.181818181809</v>
      </c>
      <c r="F50" s="50">
        <f>D50*E50</f>
        <v>12784.09090909091</v>
      </c>
    </row>
    <row r="51" spans="1:6">
      <c r="A51" s="35"/>
      <c r="B51" s="27" t="s">
        <v>880</v>
      </c>
      <c r="C51" s="26" t="s">
        <v>51</v>
      </c>
      <c r="D51" s="32">
        <f>0.014*0.45</f>
        <v>6.3E-3</v>
      </c>
      <c r="E51" s="24">
        <f>E10</f>
        <v>1850000</v>
      </c>
      <c r="F51" s="50">
        <f>D51*E51</f>
        <v>11655</v>
      </c>
    </row>
    <row r="52" spans="1:6">
      <c r="A52" s="35"/>
      <c r="B52" s="27" t="s">
        <v>130</v>
      </c>
      <c r="C52" s="30" t="s">
        <v>43</v>
      </c>
      <c r="D52" s="44">
        <v>0.25</v>
      </c>
      <c r="E52" s="24">
        <f>E11</f>
        <v>13000</v>
      </c>
      <c r="F52" s="50">
        <f>D52*E52</f>
        <v>3250</v>
      </c>
    </row>
    <row r="53" spans="1:6" ht="15" thickBot="1">
      <c r="A53" s="35"/>
      <c r="B53" s="27" t="s">
        <v>63</v>
      </c>
      <c r="C53" s="26" t="s">
        <v>53</v>
      </c>
      <c r="D53" s="36">
        <v>1</v>
      </c>
      <c r="E53" s="24">
        <v>45000</v>
      </c>
      <c r="F53" s="15">
        <f>D53*E53</f>
        <v>45000</v>
      </c>
    </row>
    <row r="54" spans="1:6">
      <c r="A54" s="35"/>
      <c r="B54" s="34" t="s">
        <v>52</v>
      </c>
      <c r="C54" s="43"/>
      <c r="D54" s="32"/>
      <c r="E54" s="24"/>
      <c r="F54" s="51">
        <f>SUM(F50:F53)</f>
        <v>72689.090909090912</v>
      </c>
    </row>
    <row r="55" spans="1:6">
      <c r="A55" s="28">
        <v>9</v>
      </c>
      <c r="B55" s="33" t="s">
        <v>132</v>
      </c>
      <c r="C55" s="26" t="s">
        <v>53</v>
      </c>
      <c r="D55" s="32"/>
      <c r="E55" s="24"/>
      <c r="F55" s="50"/>
    </row>
    <row r="56" spans="1:6">
      <c r="A56" s="35"/>
      <c r="B56" s="27" t="s">
        <v>879</v>
      </c>
      <c r="C56" s="26" t="s">
        <v>50</v>
      </c>
      <c r="D56" s="32">
        <f>D50</f>
        <v>0.15625000000000003</v>
      </c>
      <c r="E56" s="24">
        <f>E50</f>
        <v>81818.181818181809</v>
      </c>
      <c r="F56" s="50">
        <f>D56*E56</f>
        <v>12784.09090909091</v>
      </c>
    </row>
    <row r="57" spans="1:6">
      <c r="A57" s="35"/>
      <c r="B57" s="27" t="s">
        <v>880</v>
      </c>
      <c r="C57" s="26" t="s">
        <v>51</v>
      </c>
      <c r="D57" s="32">
        <f>0.043*(0.45)</f>
        <v>1.9349999999999999E-2</v>
      </c>
      <c r="E57" s="24">
        <f>E51</f>
        <v>1850000</v>
      </c>
      <c r="F57" s="50">
        <f>D57*E57</f>
        <v>35797.5</v>
      </c>
    </row>
    <row r="58" spans="1:6">
      <c r="A58" s="35"/>
      <c r="B58" s="27" t="s">
        <v>130</v>
      </c>
      <c r="C58" s="30" t="s">
        <v>43</v>
      </c>
      <c r="D58" s="44">
        <v>0.5</v>
      </c>
      <c r="E58" s="24">
        <f>E52</f>
        <v>13000</v>
      </c>
      <c r="F58" s="50">
        <f>D58*E58</f>
        <v>6500</v>
      </c>
    </row>
    <row r="59" spans="1:6" ht="15" thickBot="1">
      <c r="A59" s="35"/>
      <c r="B59" s="27" t="s">
        <v>63</v>
      </c>
      <c r="C59" s="26" t="s">
        <v>53</v>
      </c>
      <c r="D59" s="44">
        <v>1</v>
      </c>
      <c r="E59" s="24">
        <v>50000</v>
      </c>
      <c r="F59" s="18">
        <f>D59*E59</f>
        <v>50000</v>
      </c>
    </row>
    <row r="60" spans="1:6">
      <c r="A60" s="35"/>
      <c r="B60" s="34" t="s">
        <v>52</v>
      </c>
      <c r="C60" s="26"/>
      <c r="D60" s="32"/>
      <c r="E60" s="24"/>
      <c r="F60" s="17">
        <f>SUM(F56:F59)</f>
        <v>105081.59090909091</v>
      </c>
    </row>
    <row r="61" spans="1:6">
      <c r="A61" s="28">
        <v>10</v>
      </c>
      <c r="B61" s="33" t="s">
        <v>131</v>
      </c>
      <c r="C61" s="26" t="s">
        <v>53</v>
      </c>
      <c r="D61" s="32"/>
      <c r="E61" s="24"/>
      <c r="F61" s="50"/>
    </row>
    <row r="62" spans="1:6">
      <c r="A62" s="35"/>
      <c r="B62" s="27" t="s">
        <v>879</v>
      </c>
      <c r="C62" s="26" t="s">
        <v>50</v>
      </c>
      <c r="D62" s="32">
        <f>D56</f>
        <v>0.15625000000000003</v>
      </c>
      <c r="E62" s="24">
        <f>E50</f>
        <v>81818.181818181809</v>
      </c>
      <c r="F62" s="50">
        <f>D62*E62</f>
        <v>12784.09090909091</v>
      </c>
    </row>
    <row r="63" spans="1:6">
      <c r="A63" s="35"/>
      <c r="B63" s="27" t="s">
        <v>880</v>
      </c>
      <c r="C63" s="26" t="s">
        <v>51</v>
      </c>
      <c r="D63" s="32">
        <f>0.067*(0.45)</f>
        <v>3.0150000000000003E-2</v>
      </c>
      <c r="E63" s="24">
        <f>E51</f>
        <v>1850000</v>
      </c>
      <c r="F63" s="50">
        <f>D63*E63</f>
        <v>55777.500000000007</v>
      </c>
    </row>
    <row r="64" spans="1:6">
      <c r="A64" s="35"/>
      <c r="B64" s="27" t="s">
        <v>130</v>
      </c>
      <c r="C64" s="30" t="s">
        <v>43</v>
      </c>
      <c r="D64" s="32">
        <v>0.25</v>
      </c>
      <c r="E64" s="24">
        <f>E52</f>
        <v>13000</v>
      </c>
      <c r="F64" s="50">
        <f>D64*E64</f>
        <v>3250</v>
      </c>
    </row>
    <row r="65" spans="1:6">
      <c r="A65" s="123"/>
      <c r="B65" s="125" t="s">
        <v>163</v>
      </c>
      <c r="C65" s="126" t="s">
        <v>53</v>
      </c>
      <c r="D65" s="127">
        <v>1</v>
      </c>
      <c r="E65" s="124">
        <f>F91</f>
        <v>3150</v>
      </c>
      <c r="F65" s="50">
        <f>D65*E65</f>
        <v>3150</v>
      </c>
    </row>
    <row r="66" spans="1:6" ht="15" thickBot="1">
      <c r="A66" s="35"/>
      <c r="B66" s="27" t="s">
        <v>63</v>
      </c>
      <c r="C66" s="26" t="s">
        <v>53</v>
      </c>
      <c r="D66" s="44">
        <v>1</v>
      </c>
      <c r="E66" s="24">
        <f>E59</f>
        <v>50000</v>
      </c>
      <c r="F66" s="15">
        <f>D66*E66</f>
        <v>50000</v>
      </c>
    </row>
    <row r="67" spans="1:6">
      <c r="A67" s="35"/>
      <c r="B67" s="34" t="s">
        <v>52</v>
      </c>
      <c r="C67" s="43"/>
      <c r="D67" s="32"/>
      <c r="E67" s="24"/>
      <c r="F67" s="51">
        <f>SUM(F62:F66)</f>
        <v>124961.59090909091</v>
      </c>
    </row>
    <row r="68" spans="1:6">
      <c r="A68" s="28">
        <v>11</v>
      </c>
      <c r="B68" s="33" t="s">
        <v>129</v>
      </c>
      <c r="C68" s="30" t="s">
        <v>43</v>
      </c>
      <c r="D68" s="32"/>
      <c r="E68" s="24"/>
      <c r="F68" s="50"/>
    </row>
    <row r="69" spans="1:6">
      <c r="A69" s="35"/>
      <c r="B69" s="27" t="s">
        <v>127</v>
      </c>
      <c r="C69" s="30" t="s">
        <v>43</v>
      </c>
      <c r="D69" s="437">
        <f>1.05/1.05</f>
        <v>1</v>
      </c>
      <c r="E69" s="438">
        <f>9700/1.11*0+8400</f>
        <v>8400</v>
      </c>
      <c r="F69" s="50">
        <f>D69*E69</f>
        <v>8400</v>
      </c>
    </row>
    <row r="70" spans="1:6">
      <c r="A70" s="35"/>
      <c r="B70" s="27" t="s">
        <v>126</v>
      </c>
      <c r="C70" s="30" t="s">
        <v>43</v>
      </c>
      <c r="D70" s="32">
        <v>0.02</v>
      </c>
      <c r="E70" s="24">
        <v>15000</v>
      </c>
      <c r="F70" s="29">
        <f>D70*E70</f>
        <v>300</v>
      </c>
    </row>
    <row r="71" spans="1:6" ht="15" thickBot="1">
      <c r="A71" s="35"/>
      <c r="B71" s="27" t="s">
        <v>63</v>
      </c>
      <c r="C71" s="30" t="s">
        <v>43</v>
      </c>
      <c r="D71" s="44">
        <v>1</v>
      </c>
      <c r="E71" s="38">
        <f>2750+250*0</f>
        <v>2750</v>
      </c>
      <c r="F71" s="20">
        <f>D71*E71</f>
        <v>2750</v>
      </c>
    </row>
    <row r="72" spans="1:6">
      <c r="A72" s="35"/>
      <c r="B72" s="34" t="s">
        <v>52</v>
      </c>
      <c r="C72" s="43"/>
      <c r="D72" s="32"/>
      <c r="E72" s="24"/>
      <c r="F72" s="19">
        <f>SUM(F69:F71)</f>
        <v>11450</v>
      </c>
    </row>
    <row r="73" spans="1:6">
      <c r="A73" s="28">
        <v>12</v>
      </c>
      <c r="B73" s="33" t="s">
        <v>128</v>
      </c>
      <c r="C73" s="30" t="s">
        <v>43</v>
      </c>
      <c r="D73" s="32"/>
      <c r="E73" s="24"/>
      <c r="F73" s="50"/>
    </row>
    <row r="74" spans="1:6">
      <c r="A74" s="35"/>
      <c r="B74" s="27" t="s">
        <v>127</v>
      </c>
      <c r="C74" s="30" t="s">
        <v>43</v>
      </c>
      <c r="D74" s="44">
        <f>D69</f>
        <v>1</v>
      </c>
      <c r="E74" s="203">
        <f>10157/1.11</f>
        <v>9150.4504504504494</v>
      </c>
      <c r="F74" s="50">
        <f>D74*E74</f>
        <v>9150.4504504504494</v>
      </c>
    </row>
    <row r="75" spans="1:6">
      <c r="A75" s="35"/>
      <c r="B75" s="27" t="s">
        <v>126</v>
      </c>
      <c r="C75" s="30" t="s">
        <v>43</v>
      </c>
      <c r="D75" s="32">
        <f>D70</f>
        <v>0.02</v>
      </c>
      <c r="E75" s="38">
        <f>E70</f>
        <v>15000</v>
      </c>
      <c r="F75" s="50">
        <f>D75*E75</f>
        <v>300</v>
      </c>
    </row>
    <row r="76" spans="1:6" ht="15" thickBot="1">
      <c r="A76" s="35"/>
      <c r="B76" s="27" t="s">
        <v>63</v>
      </c>
      <c r="C76" s="30" t="s">
        <v>43</v>
      </c>
      <c r="D76" s="44">
        <v>1</v>
      </c>
      <c r="E76" s="38">
        <f>E71</f>
        <v>2750</v>
      </c>
      <c r="F76" s="49">
        <f>D76*E76</f>
        <v>2750</v>
      </c>
    </row>
    <row r="77" spans="1:6">
      <c r="A77" s="35"/>
      <c r="B77" s="34" t="s">
        <v>52</v>
      </c>
      <c r="C77" s="43"/>
      <c r="D77" s="32"/>
      <c r="E77" s="38"/>
      <c r="F77" s="48">
        <f>SUM(F74:F76)</f>
        <v>12200.450450450449</v>
      </c>
    </row>
    <row r="78" spans="1:6">
      <c r="A78" s="28">
        <v>13</v>
      </c>
      <c r="B78" s="33" t="s">
        <v>833</v>
      </c>
      <c r="C78" s="30" t="s">
        <v>43</v>
      </c>
      <c r="D78" s="32"/>
      <c r="E78" s="38"/>
      <c r="F78" s="29"/>
    </row>
    <row r="79" spans="1:6">
      <c r="A79" s="35"/>
      <c r="B79" s="27" t="s">
        <v>127</v>
      </c>
      <c r="C79" s="30" t="s">
        <v>43</v>
      </c>
      <c r="D79" s="44">
        <f>D69</f>
        <v>1</v>
      </c>
      <c r="E79" s="438">
        <f>10400/1.11-169</f>
        <v>9200.3693693693695</v>
      </c>
      <c r="F79" s="29">
        <f>D79*E79</f>
        <v>9200.3693693693695</v>
      </c>
    </row>
    <row r="80" spans="1:6">
      <c r="A80" s="35"/>
      <c r="B80" s="27" t="s">
        <v>126</v>
      </c>
      <c r="C80" s="30" t="s">
        <v>43</v>
      </c>
      <c r="D80" s="32">
        <f>D70</f>
        <v>0.02</v>
      </c>
      <c r="E80" s="38">
        <f>E75</f>
        <v>15000</v>
      </c>
      <c r="F80" s="29">
        <f>D80*E80</f>
        <v>300</v>
      </c>
    </row>
    <row r="81" spans="1:6" ht="15" thickBot="1">
      <c r="A81" s="35"/>
      <c r="B81" s="27" t="s">
        <v>63</v>
      </c>
      <c r="C81" s="30" t="s">
        <v>43</v>
      </c>
      <c r="D81" s="44">
        <v>1</v>
      </c>
      <c r="E81" s="24">
        <f>E71</f>
        <v>2750</v>
      </c>
      <c r="F81" s="22">
        <f>D81*E81</f>
        <v>2750</v>
      </c>
    </row>
    <row r="82" spans="1:6">
      <c r="A82" s="35"/>
      <c r="B82" s="34" t="s">
        <v>52</v>
      </c>
      <c r="C82" s="43"/>
      <c r="D82" s="32"/>
      <c r="E82" s="24"/>
      <c r="F82" s="21">
        <f>SUM(F79:F81)</f>
        <v>12250.369369369369</v>
      </c>
    </row>
    <row r="83" spans="1:6">
      <c r="A83" s="28">
        <v>14</v>
      </c>
      <c r="B83" s="33" t="s">
        <v>125</v>
      </c>
      <c r="C83" s="26" t="s">
        <v>51</v>
      </c>
      <c r="D83" s="32"/>
      <c r="E83" s="24"/>
      <c r="F83" s="29"/>
    </row>
    <row r="84" spans="1:6">
      <c r="A84" s="35"/>
      <c r="B84" s="27" t="s">
        <v>124</v>
      </c>
      <c r="C84" s="26" t="s">
        <v>51</v>
      </c>
      <c r="D84" s="47">
        <f>1.1/1.1</f>
        <v>1</v>
      </c>
      <c r="E84" s="433">
        <f>140000-10000</f>
        <v>130000</v>
      </c>
      <c r="F84" s="29">
        <f>D84*E84</f>
        <v>130000</v>
      </c>
    </row>
    <row r="85" spans="1:6">
      <c r="A85" s="35"/>
      <c r="B85" s="27" t="s">
        <v>123</v>
      </c>
      <c r="C85" s="26" t="s">
        <v>51</v>
      </c>
      <c r="D85" s="44">
        <v>1</v>
      </c>
      <c r="E85" s="24">
        <f>2500*0</f>
        <v>0</v>
      </c>
      <c r="F85" s="29">
        <f>D85*E85</f>
        <v>0</v>
      </c>
    </row>
    <row r="86" spans="1:6" ht="15" thickBot="1">
      <c r="A86" s="35"/>
      <c r="B86" s="27" t="s">
        <v>59</v>
      </c>
      <c r="C86" s="26" t="s">
        <v>51</v>
      </c>
      <c r="D86" s="44">
        <v>1</v>
      </c>
      <c r="E86" s="24">
        <f>25000-5000</f>
        <v>20000</v>
      </c>
      <c r="F86" s="20">
        <f>D86*E86</f>
        <v>20000</v>
      </c>
    </row>
    <row r="87" spans="1:6">
      <c r="A87" s="35"/>
      <c r="B87" s="34" t="s">
        <v>52</v>
      </c>
      <c r="C87" s="43"/>
      <c r="D87" s="32"/>
      <c r="E87" s="24"/>
      <c r="F87" s="19">
        <f>SUM(F84:F86)</f>
        <v>150000</v>
      </c>
    </row>
    <row r="88" spans="1:6">
      <c r="A88" s="28">
        <v>15</v>
      </c>
      <c r="B88" s="46" t="s">
        <v>122</v>
      </c>
      <c r="C88" s="26" t="s">
        <v>53</v>
      </c>
      <c r="D88" s="32"/>
      <c r="E88" s="24"/>
      <c r="F88" s="29"/>
    </row>
    <row r="89" spans="1:6">
      <c r="A89" s="35"/>
      <c r="B89" s="45" t="s">
        <v>121</v>
      </c>
      <c r="C89" s="26" t="s">
        <v>53</v>
      </c>
      <c r="D89" s="44">
        <v>1.1000000000000001</v>
      </c>
      <c r="E89" s="24">
        <v>1500</v>
      </c>
      <c r="F89" s="29">
        <f>D89*E89</f>
        <v>1650.0000000000002</v>
      </c>
    </row>
    <row r="90" spans="1:6" ht="15" thickBot="1">
      <c r="A90" s="35"/>
      <c r="B90" s="45" t="s">
        <v>47</v>
      </c>
      <c r="C90" s="26" t="s">
        <v>53</v>
      </c>
      <c r="D90" s="44">
        <v>1</v>
      </c>
      <c r="E90" s="24">
        <v>1500</v>
      </c>
      <c r="F90" s="22">
        <f>D90*E90</f>
        <v>1500</v>
      </c>
    </row>
    <row r="91" spans="1:6">
      <c r="A91" s="35"/>
      <c r="B91" s="34" t="s">
        <v>52</v>
      </c>
      <c r="C91" s="43"/>
      <c r="D91" s="32"/>
      <c r="E91" s="24"/>
      <c r="F91" s="19">
        <f>SUM(F89:F90)</f>
        <v>3150</v>
      </c>
    </row>
    <row r="92" spans="1:6">
      <c r="A92" s="28">
        <v>16</v>
      </c>
      <c r="B92" s="42" t="s">
        <v>120</v>
      </c>
      <c r="C92" s="26" t="s">
        <v>53</v>
      </c>
      <c r="D92" s="32"/>
      <c r="E92" s="24"/>
      <c r="F92" s="40"/>
    </row>
    <row r="93" spans="1:6">
      <c r="A93" s="28"/>
      <c r="B93" s="37" t="s">
        <v>821</v>
      </c>
      <c r="C93" s="26" t="s">
        <v>51</v>
      </c>
      <c r="D93" s="39">
        <f>0.125*1.05/1.05</f>
        <v>0.125</v>
      </c>
      <c r="E93" s="24">
        <f>500000</f>
        <v>500000</v>
      </c>
      <c r="F93" s="29">
        <f>D93*E93</f>
        <v>62500</v>
      </c>
    </row>
    <row r="94" spans="1:6">
      <c r="A94" s="28"/>
      <c r="B94" s="37" t="s">
        <v>119</v>
      </c>
      <c r="C94" s="30" t="s">
        <v>43</v>
      </c>
      <c r="D94" s="36">
        <f>4.4*(12.5/10)</f>
        <v>5.5</v>
      </c>
      <c r="E94" s="124">
        <f>49900/40</f>
        <v>1247.5</v>
      </c>
      <c r="F94" s="29">
        <f>D94*E94</f>
        <v>6861.25</v>
      </c>
    </row>
    <row r="95" spans="1:6">
      <c r="A95" s="28"/>
      <c r="B95" s="37" t="s">
        <v>109</v>
      </c>
      <c r="C95" s="30" t="s">
        <v>56</v>
      </c>
      <c r="D95" s="36">
        <v>1</v>
      </c>
      <c r="E95" s="38">
        <v>5000</v>
      </c>
      <c r="F95" s="29">
        <f>D95*E95</f>
        <v>5000</v>
      </c>
    </row>
    <row r="96" spans="1:6" ht="15" thickBot="1">
      <c r="A96" s="28"/>
      <c r="B96" s="37" t="s">
        <v>47</v>
      </c>
      <c r="C96" s="26" t="s">
        <v>53</v>
      </c>
      <c r="D96" s="36">
        <v>1</v>
      </c>
      <c r="E96" s="24">
        <v>32500</v>
      </c>
      <c r="F96" s="41">
        <f>D96*E96</f>
        <v>32500</v>
      </c>
    </row>
    <row r="97" spans="1:6">
      <c r="A97" s="28"/>
      <c r="B97" s="34" t="s">
        <v>52</v>
      </c>
      <c r="C97" s="26"/>
      <c r="D97" s="32"/>
      <c r="E97" s="24"/>
      <c r="F97" s="21">
        <f>SUM(F93:F96)</f>
        <v>106861.25</v>
      </c>
    </row>
    <row r="98" spans="1:6">
      <c r="A98" s="28">
        <v>17</v>
      </c>
      <c r="B98" s="33" t="s">
        <v>118</v>
      </c>
      <c r="C98" s="26" t="s">
        <v>53</v>
      </c>
      <c r="D98" s="32"/>
      <c r="E98" s="24"/>
      <c r="F98" s="40"/>
    </row>
    <row r="99" spans="1:6">
      <c r="A99" s="28"/>
      <c r="B99" s="37" t="s">
        <v>77</v>
      </c>
      <c r="C99" s="30" t="s">
        <v>43</v>
      </c>
      <c r="D99" s="36">
        <f>11.67</f>
        <v>11.67</v>
      </c>
      <c r="E99" s="24">
        <f>E43</f>
        <v>1194.3181818181818</v>
      </c>
      <c r="F99" s="29">
        <f>D99*E99</f>
        <v>13937.69318181818</v>
      </c>
    </row>
    <row r="100" spans="1:6">
      <c r="A100" s="28"/>
      <c r="B100" s="37" t="s">
        <v>117</v>
      </c>
      <c r="C100" s="30" t="s">
        <v>43</v>
      </c>
      <c r="D100" s="25">
        <f>2.25+1.27</f>
        <v>3.52</v>
      </c>
      <c r="E100" s="24">
        <f>E99</f>
        <v>1194.3181818181818</v>
      </c>
      <c r="F100" s="29">
        <f>D100*E100</f>
        <v>4204</v>
      </c>
    </row>
    <row r="101" spans="1:6">
      <c r="A101" s="28"/>
      <c r="B101" s="37" t="s">
        <v>76</v>
      </c>
      <c r="C101" s="26" t="s">
        <v>51</v>
      </c>
      <c r="D101" s="39">
        <f>0.022*1.3*1.1</f>
        <v>3.1460000000000002E-2</v>
      </c>
      <c r="E101" s="38">
        <f>E44</f>
        <v>175000</v>
      </c>
      <c r="F101" s="29">
        <f>D101*E101</f>
        <v>5505.5</v>
      </c>
    </row>
    <row r="102" spans="1:6">
      <c r="A102" s="35"/>
      <c r="B102" s="37" t="s">
        <v>109</v>
      </c>
      <c r="C102" s="30" t="s">
        <v>56</v>
      </c>
      <c r="D102" s="36">
        <v>1</v>
      </c>
      <c r="E102" s="24">
        <v>5000</v>
      </c>
      <c r="F102" s="29">
        <f>D102*E102</f>
        <v>5000</v>
      </c>
    </row>
    <row r="103" spans="1:6" ht="15" thickBot="1">
      <c r="A103" s="35"/>
      <c r="B103" s="27" t="s">
        <v>63</v>
      </c>
      <c r="C103" s="26" t="s">
        <v>53</v>
      </c>
      <c r="D103" s="36">
        <v>1</v>
      </c>
      <c r="E103" s="24">
        <f>35000+2500</f>
        <v>37500</v>
      </c>
      <c r="F103" s="22">
        <f>D103*E103</f>
        <v>37500</v>
      </c>
    </row>
    <row r="104" spans="1:6">
      <c r="A104" s="35"/>
      <c r="B104" s="34" t="s">
        <v>52</v>
      </c>
      <c r="C104" s="26"/>
      <c r="D104" s="32"/>
      <c r="E104" s="24"/>
      <c r="F104" s="21">
        <f>SUM(F99:F103)</f>
        <v>66147.193181818177</v>
      </c>
    </row>
    <row r="105" spans="1:6">
      <c r="A105" s="28">
        <v>18</v>
      </c>
      <c r="B105" s="33" t="s">
        <v>116</v>
      </c>
      <c r="C105" s="26" t="s">
        <v>53</v>
      </c>
      <c r="D105" s="32"/>
      <c r="E105" s="24"/>
      <c r="F105" s="29"/>
    </row>
    <row r="106" spans="1:6">
      <c r="A106" s="28"/>
      <c r="B106" s="27" t="s">
        <v>115</v>
      </c>
      <c r="C106" s="30" t="s">
        <v>43</v>
      </c>
      <c r="D106" s="31">
        <f>(20+2)*1.5+2</f>
        <v>35</v>
      </c>
      <c r="E106" s="124">
        <f>38400/50</f>
        <v>768</v>
      </c>
      <c r="F106" s="29">
        <f>D106*E106</f>
        <v>26880</v>
      </c>
    </row>
    <row r="107" spans="1:6">
      <c r="A107" s="28"/>
      <c r="B107" s="27" t="s">
        <v>109</v>
      </c>
      <c r="C107" s="30" t="s">
        <v>56</v>
      </c>
      <c r="D107" s="25">
        <v>1</v>
      </c>
      <c r="E107" s="24">
        <v>2500</v>
      </c>
      <c r="F107" s="29">
        <f>D107*E107</f>
        <v>2500</v>
      </c>
    </row>
    <row r="108" spans="1:6" ht="15" thickBot="1">
      <c r="A108" s="28"/>
      <c r="B108" s="27" t="s">
        <v>63</v>
      </c>
      <c r="C108" s="26" t="s">
        <v>53</v>
      </c>
      <c r="D108" s="25">
        <v>1</v>
      </c>
      <c r="E108" s="24">
        <v>27500</v>
      </c>
      <c r="F108" s="23">
        <f>D108*E108</f>
        <v>27500</v>
      </c>
    </row>
    <row r="109" spans="1:6">
      <c r="A109" s="28"/>
      <c r="B109" s="34" t="s">
        <v>52</v>
      </c>
      <c r="C109" s="26"/>
      <c r="D109" s="32"/>
      <c r="E109" s="24"/>
      <c r="F109" s="19">
        <f>SUM(F106:F108)</f>
        <v>56880</v>
      </c>
    </row>
    <row r="110" spans="1:6">
      <c r="A110" s="28">
        <v>19</v>
      </c>
      <c r="B110" s="33" t="s">
        <v>114</v>
      </c>
      <c r="C110" s="26" t="s">
        <v>58</v>
      </c>
      <c r="D110" s="32"/>
      <c r="E110" s="24"/>
      <c r="F110" s="29"/>
    </row>
    <row r="111" spans="1:6">
      <c r="A111" s="28"/>
      <c r="B111" s="27" t="s">
        <v>110</v>
      </c>
      <c r="C111" s="30" t="s">
        <v>43</v>
      </c>
      <c r="D111" s="36">
        <f>0.82*1.1</f>
        <v>0.90200000000000002</v>
      </c>
      <c r="E111" s="124">
        <f>78800/40</f>
        <v>1970</v>
      </c>
      <c r="F111" s="29">
        <f>D111*E111</f>
        <v>1776.94</v>
      </c>
    </row>
    <row r="112" spans="1:6" ht="15" thickBot="1">
      <c r="A112" s="28"/>
      <c r="B112" s="27" t="s">
        <v>63</v>
      </c>
      <c r="C112" s="26" t="s">
        <v>58</v>
      </c>
      <c r="D112" s="36">
        <v>1</v>
      </c>
      <c r="E112" s="24">
        <v>20000</v>
      </c>
      <c r="F112" s="22">
        <f>D112*E112</f>
        <v>20000</v>
      </c>
    </row>
    <row r="113" spans="1:6">
      <c r="A113" s="28"/>
      <c r="B113" s="34" t="s">
        <v>52</v>
      </c>
      <c r="C113" s="26"/>
      <c r="D113" s="32"/>
      <c r="E113" s="24"/>
      <c r="F113" s="21">
        <f>SUM(F111:F112)</f>
        <v>21776.94</v>
      </c>
    </row>
    <row r="114" spans="1:6">
      <c r="A114" s="28">
        <v>20</v>
      </c>
      <c r="B114" s="33" t="s">
        <v>113</v>
      </c>
      <c r="C114" s="26" t="s">
        <v>53</v>
      </c>
      <c r="D114" s="32"/>
      <c r="E114" s="24"/>
      <c r="F114" s="40"/>
    </row>
    <row r="115" spans="1:6">
      <c r="A115" s="28"/>
      <c r="B115" s="27" t="s">
        <v>112</v>
      </c>
      <c r="C115" s="30" t="s">
        <v>43</v>
      </c>
      <c r="D115" s="25">
        <f>2.25+1.27</f>
        <v>3.52</v>
      </c>
      <c r="E115" s="124">
        <f>49900/40</f>
        <v>1247.5</v>
      </c>
      <c r="F115" s="29">
        <f>D115*E115</f>
        <v>4391.2</v>
      </c>
    </row>
    <row r="116" spans="1:6">
      <c r="A116" s="28"/>
      <c r="B116" s="27" t="s">
        <v>109</v>
      </c>
      <c r="C116" s="30" t="s">
        <v>56</v>
      </c>
      <c r="D116" s="25">
        <v>1</v>
      </c>
      <c r="E116" s="24">
        <f>2500*0</f>
        <v>0</v>
      </c>
      <c r="F116" s="29">
        <f>D116*E116</f>
        <v>0</v>
      </c>
    </row>
    <row r="117" spans="1:6" ht="15" thickBot="1">
      <c r="A117" s="28"/>
      <c r="B117" s="27" t="s">
        <v>63</v>
      </c>
      <c r="C117" s="26" t="s">
        <v>53</v>
      </c>
      <c r="D117" s="25">
        <v>1</v>
      </c>
      <c r="E117" s="24">
        <v>10000</v>
      </c>
      <c r="F117" s="22">
        <f>D117*E117</f>
        <v>10000</v>
      </c>
    </row>
    <row r="118" spans="1:6">
      <c r="A118" s="28"/>
      <c r="B118" s="34" t="s">
        <v>52</v>
      </c>
      <c r="C118" s="26"/>
      <c r="D118" s="32"/>
      <c r="E118" s="24"/>
      <c r="F118" s="21">
        <f>SUM(F115:F117)</f>
        <v>14391.2</v>
      </c>
    </row>
    <row r="119" spans="1:6">
      <c r="A119" s="28">
        <v>21</v>
      </c>
      <c r="B119" s="33" t="s">
        <v>111</v>
      </c>
      <c r="C119" s="26" t="s">
        <v>53</v>
      </c>
      <c r="D119" s="32"/>
      <c r="E119" s="24"/>
      <c r="F119" s="29"/>
    </row>
    <row r="120" spans="1:6">
      <c r="A120" s="28"/>
      <c r="B120" s="27" t="s">
        <v>110</v>
      </c>
      <c r="C120" s="30" t="s">
        <v>43</v>
      </c>
      <c r="D120" s="36">
        <v>3.52</v>
      </c>
      <c r="E120" s="24">
        <f>E111</f>
        <v>1970</v>
      </c>
      <c r="F120" s="29">
        <f>D120*E120</f>
        <v>6934.4</v>
      </c>
    </row>
    <row r="121" spans="1:6">
      <c r="A121" s="28"/>
      <c r="B121" s="27" t="s">
        <v>109</v>
      </c>
      <c r="C121" s="30" t="s">
        <v>56</v>
      </c>
      <c r="D121" s="36">
        <v>1</v>
      </c>
      <c r="E121" s="24">
        <v>2500</v>
      </c>
      <c r="F121" s="29">
        <f>D121*E121</f>
        <v>2500</v>
      </c>
    </row>
    <row r="122" spans="1:6" ht="15" thickBot="1">
      <c r="A122" s="35"/>
      <c r="B122" s="27" t="s">
        <v>63</v>
      </c>
      <c r="C122" s="26" t="s">
        <v>53</v>
      </c>
      <c r="D122" s="36">
        <v>1</v>
      </c>
      <c r="E122" s="24">
        <v>15000</v>
      </c>
      <c r="F122" s="20">
        <f>D122*E122</f>
        <v>15000</v>
      </c>
    </row>
    <row r="123" spans="1:6">
      <c r="A123" s="35"/>
      <c r="B123" s="34" t="s">
        <v>52</v>
      </c>
      <c r="C123" s="26"/>
      <c r="D123" s="32"/>
      <c r="E123" s="24"/>
      <c r="F123" s="19">
        <f>SUM(F120:F122)</f>
        <v>24434.400000000001</v>
      </c>
    </row>
    <row r="124" spans="1:6">
      <c r="A124" s="28">
        <v>22</v>
      </c>
      <c r="B124" s="33" t="s">
        <v>108</v>
      </c>
      <c r="C124" s="26" t="s">
        <v>53</v>
      </c>
      <c r="D124" s="32"/>
      <c r="E124" s="24"/>
      <c r="F124" s="29"/>
    </row>
    <row r="125" spans="1:6">
      <c r="A125" s="28"/>
      <c r="B125" s="262" t="s">
        <v>101</v>
      </c>
      <c r="C125" s="263" t="s">
        <v>43</v>
      </c>
      <c r="D125" s="264">
        <f>9*1.5</f>
        <v>13.5</v>
      </c>
      <c r="E125" s="124">
        <f>63000/40</f>
        <v>1575</v>
      </c>
      <c r="F125" s="29">
        <f>D125*E125</f>
        <v>21262.5</v>
      </c>
    </row>
    <row r="126" spans="1:6">
      <c r="A126" s="28"/>
      <c r="B126" s="262" t="s">
        <v>100</v>
      </c>
      <c r="C126" s="263" t="s">
        <v>43</v>
      </c>
      <c r="D126" s="264">
        <v>0.2</v>
      </c>
      <c r="E126" s="124">
        <v>15000</v>
      </c>
      <c r="F126" s="29">
        <f>D126*E126</f>
        <v>3000</v>
      </c>
    </row>
    <row r="127" spans="1:6">
      <c r="A127" s="28"/>
      <c r="B127" s="262" t="s">
        <v>74</v>
      </c>
      <c r="C127" s="263" t="s">
        <v>56</v>
      </c>
      <c r="D127" s="264">
        <v>1</v>
      </c>
      <c r="E127" s="124">
        <v>5000</v>
      </c>
      <c r="F127" s="29">
        <f>D127*E127</f>
        <v>5000</v>
      </c>
    </row>
    <row r="128" spans="1:6" ht="15" thickBot="1">
      <c r="A128" s="28"/>
      <c r="B128" s="259" t="s">
        <v>63</v>
      </c>
      <c r="C128" s="206" t="s">
        <v>53</v>
      </c>
      <c r="D128" s="264">
        <v>1</v>
      </c>
      <c r="E128" s="124">
        <v>45000</v>
      </c>
      <c r="F128" s="22">
        <f>D128*E128</f>
        <v>45000</v>
      </c>
    </row>
    <row r="129" spans="1:6">
      <c r="A129" s="28"/>
      <c r="B129" s="34" t="s">
        <v>52</v>
      </c>
      <c r="C129" s="26"/>
      <c r="D129" s="32"/>
      <c r="E129" s="24"/>
      <c r="F129" s="21">
        <f>SUM(F125:F128)</f>
        <v>74262.5</v>
      </c>
    </row>
    <row r="130" spans="1:6">
      <c r="A130" s="28">
        <v>23</v>
      </c>
      <c r="B130" s="33" t="s">
        <v>107</v>
      </c>
      <c r="C130" s="26" t="s">
        <v>53</v>
      </c>
      <c r="D130" s="32"/>
      <c r="E130" s="24"/>
      <c r="F130" s="29"/>
    </row>
    <row r="131" spans="1:6">
      <c r="A131" s="28"/>
      <c r="B131" s="27" t="s">
        <v>104</v>
      </c>
      <c r="C131" s="26" t="s">
        <v>53</v>
      </c>
      <c r="D131" s="36">
        <v>1</v>
      </c>
      <c r="E131" s="24">
        <v>50000</v>
      </c>
      <c r="F131" s="29">
        <f>D131*E131</f>
        <v>50000</v>
      </c>
    </row>
    <row r="132" spans="1:6" ht="15" thickBot="1">
      <c r="A132" s="35"/>
      <c r="B132" s="27" t="s">
        <v>106</v>
      </c>
      <c r="C132" s="26" t="s">
        <v>53</v>
      </c>
      <c r="D132" s="36">
        <v>1</v>
      </c>
      <c r="E132" s="24">
        <v>25000</v>
      </c>
      <c r="F132" s="20">
        <f>D132*E132</f>
        <v>25000</v>
      </c>
    </row>
    <row r="133" spans="1:6">
      <c r="A133" s="35"/>
      <c r="B133" s="34" t="s">
        <v>52</v>
      </c>
      <c r="C133" s="26"/>
      <c r="D133" s="36"/>
      <c r="E133" s="24"/>
      <c r="F133" s="439">
        <f>(SUM(F131:F132)-5000)-2500</f>
        <v>67500</v>
      </c>
    </row>
    <row r="134" spans="1:6">
      <c r="A134" s="123">
        <v>24</v>
      </c>
      <c r="B134" s="266" t="s">
        <v>310</v>
      </c>
      <c r="C134" s="206" t="s">
        <v>53</v>
      </c>
      <c r="D134" s="264"/>
      <c r="E134" s="124"/>
      <c r="F134" s="29"/>
    </row>
    <row r="135" spans="1:6">
      <c r="A135" s="123"/>
      <c r="B135" s="259" t="s">
        <v>104</v>
      </c>
      <c r="C135" s="206" t="s">
        <v>53</v>
      </c>
      <c r="D135" s="264">
        <v>1</v>
      </c>
      <c r="E135" s="124">
        <f>E131</f>
        <v>50000</v>
      </c>
      <c r="F135" s="29">
        <f>D135*E135</f>
        <v>50000</v>
      </c>
    </row>
    <row r="136" spans="1:6" ht="15" thickBot="1">
      <c r="A136" s="123"/>
      <c r="B136" s="259" t="s">
        <v>311</v>
      </c>
      <c r="C136" s="206" t="s">
        <v>53</v>
      </c>
      <c r="D136" s="264">
        <v>1</v>
      </c>
      <c r="E136" s="124">
        <v>25000</v>
      </c>
      <c r="F136" s="267">
        <f>D136*E136</f>
        <v>25000</v>
      </c>
    </row>
    <row r="137" spans="1:6">
      <c r="A137" s="123"/>
      <c r="B137" s="205" t="s">
        <v>52</v>
      </c>
      <c r="C137" s="206"/>
      <c r="D137" s="264"/>
      <c r="E137" s="124"/>
      <c r="F137" s="440">
        <f>(SUM(F135:F136)-5000)-2500</f>
        <v>67500</v>
      </c>
    </row>
    <row r="138" spans="1:6">
      <c r="A138" s="28">
        <v>25</v>
      </c>
      <c r="B138" s="33" t="s">
        <v>105</v>
      </c>
      <c r="C138" s="26" t="s">
        <v>53</v>
      </c>
      <c r="D138" s="36"/>
      <c r="E138" s="24"/>
      <c r="F138" s="40"/>
    </row>
    <row r="139" spans="1:6">
      <c r="A139" s="35"/>
      <c r="B139" s="27" t="s">
        <v>104</v>
      </c>
      <c r="C139" s="26" t="s">
        <v>53</v>
      </c>
      <c r="D139" s="36">
        <v>1</v>
      </c>
      <c r="E139" s="24">
        <f>E131</f>
        <v>50000</v>
      </c>
      <c r="F139" s="29">
        <f>D139*E139</f>
        <v>50000</v>
      </c>
    </row>
    <row r="140" spans="1:6" ht="15" thickBot="1">
      <c r="A140" s="35"/>
      <c r="B140" s="27" t="s">
        <v>103</v>
      </c>
      <c r="C140" s="26" t="s">
        <v>53</v>
      </c>
      <c r="D140" s="36">
        <v>1</v>
      </c>
      <c r="E140" s="24">
        <v>45000</v>
      </c>
      <c r="F140" s="41">
        <f>D140*E140</f>
        <v>45000</v>
      </c>
    </row>
    <row r="141" spans="1:6">
      <c r="A141" s="35"/>
      <c r="B141" s="34" t="s">
        <v>52</v>
      </c>
      <c r="C141" s="26"/>
      <c r="D141" s="36"/>
      <c r="E141" s="24"/>
      <c r="F141" s="441">
        <f>SUM(F139:F140)-10000</f>
        <v>85000</v>
      </c>
    </row>
    <row r="142" spans="1:6">
      <c r="A142" s="28">
        <v>26</v>
      </c>
      <c r="B142" s="33" t="s">
        <v>102</v>
      </c>
      <c r="C142" s="26" t="s">
        <v>53</v>
      </c>
      <c r="D142" s="36"/>
      <c r="E142" s="24"/>
      <c r="F142" s="29"/>
    </row>
    <row r="143" spans="1:6">
      <c r="A143" s="28"/>
      <c r="B143" s="80" t="s">
        <v>101</v>
      </c>
      <c r="C143" s="30" t="s">
        <v>43</v>
      </c>
      <c r="D143" s="36">
        <f>7.5*1.2</f>
        <v>9</v>
      </c>
      <c r="E143" s="24">
        <f>E125</f>
        <v>1575</v>
      </c>
      <c r="F143" s="29">
        <f>D143*E143</f>
        <v>14175</v>
      </c>
    </row>
    <row r="144" spans="1:6">
      <c r="A144" s="28"/>
      <c r="B144" s="80" t="s">
        <v>100</v>
      </c>
      <c r="C144" s="81" t="s">
        <v>43</v>
      </c>
      <c r="D144" s="36">
        <v>0.2</v>
      </c>
      <c r="E144" s="24">
        <f>E126</f>
        <v>15000</v>
      </c>
      <c r="F144" s="29">
        <f>D144*E144</f>
        <v>3000</v>
      </c>
    </row>
    <row r="145" spans="1:6">
      <c r="A145" s="28"/>
      <c r="B145" s="80" t="s">
        <v>74</v>
      </c>
      <c r="C145" s="81" t="s">
        <v>56</v>
      </c>
      <c r="D145" s="36">
        <v>1</v>
      </c>
      <c r="E145" s="24">
        <f>E127</f>
        <v>5000</v>
      </c>
      <c r="F145" s="29">
        <f>D145*E145</f>
        <v>5000</v>
      </c>
    </row>
    <row r="146" spans="1:6" ht="15" thickBot="1">
      <c r="A146" s="28"/>
      <c r="B146" s="27" t="s">
        <v>63</v>
      </c>
      <c r="C146" s="26" t="s">
        <v>53</v>
      </c>
      <c r="D146" s="36">
        <v>1</v>
      </c>
      <c r="E146" s="24">
        <v>50000</v>
      </c>
      <c r="F146" s="20">
        <f>D146*E146</f>
        <v>50000</v>
      </c>
    </row>
    <row r="147" spans="1:6">
      <c r="A147" s="28"/>
      <c r="B147" s="34" t="s">
        <v>52</v>
      </c>
      <c r="C147" s="26"/>
      <c r="D147" s="32"/>
      <c r="E147" s="24"/>
      <c r="F147" s="19">
        <f>SUM(F143:F146)</f>
        <v>72175</v>
      </c>
    </row>
    <row r="148" spans="1:6">
      <c r="A148" s="28">
        <v>27</v>
      </c>
      <c r="B148" s="33" t="s">
        <v>99</v>
      </c>
      <c r="C148" s="26" t="s">
        <v>53</v>
      </c>
      <c r="D148" s="32"/>
      <c r="E148" s="24"/>
      <c r="F148" s="29"/>
    </row>
    <row r="149" spans="1:6">
      <c r="A149" s="28"/>
      <c r="B149" s="80" t="s">
        <v>98</v>
      </c>
      <c r="C149" s="30" t="s">
        <v>43</v>
      </c>
      <c r="D149" s="44">
        <f>12.05*1.2</f>
        <v>14.46</v>
      </c>
      <c r="E149" s="24">
        <f>84000/25</f>
        <v>3360</v>
      </c>
      <c r="F149" s="29">
        <f>D149*E149</f>
        <v>48585.600000000006</v>
      </c>
    </row>
    <row r="150" spans="1:6">
      <c r="A150" s="28"/>
      <c r="B150" s="27" t="s">
        <v>74</v>
      </c>
      <c r="C150" s="30" t="s">
        <v>56</v>
      </c>
      <c r="D150" s="44">
        <v>1</v>
      </c>
      <c r="E150" s="24">
        <v>35000</v>
      </c>
      <c r="F150" s="29">
        <f>D150*E150</f>
        <v>35000</v>
      </c>
    </row>
    <row r="151" spans="1:6" ht="15" thickBot="1">
      <c r="A151" s="28"/>
      <c r="B151" s="27" t="s">
        <v>47</v>
      </c>
      <c r="C151" s="26" t="s">
        <v>53</v>
      </c>
      <c r="D151" s="44">
        <v>1</v>
      </c>
      <c r="E151" s="24">
        <v>0</v>
      </c>
      <c r="F151" s="22">
        <f>D151*E151</f>
        <v>0</v>
      </c>
    </row>
    <row r="152" spans="1:6">
      <c r="A152" s="28"/>
      <c r="B152" s="34" t="s">
        <v>52</v>
      </c>
      <c r="C152" s="26"/>
      <c r="D152" s="32"/>
      <c r="E152" s="24"/>
      <c r="F152" s="21">
        <f>SUM(F149:F151)</f>
        <v>83585.600000000006</v>
      </c>
    </row>
    <row r="153" spans="1:6">
      <c r="A153" s="28">
        <v>28</v>
      </c>
      <c r="B153" s="33" t="s">
        <v>97</v>
      </c>
      <c r="C153" s="26" t="s">
        <v>53</v>
      </c>
      <c r="D153" s="32"/>
      <c r="E153" s="24"/>
      <c r="F153" s="29"/>
    </row>
    <row r="154" spans="1:6">
      <c r="A154" s="28"/>
      <c r="B154" s="27" t="s">
        <v>96</v>
      </c>
      <c r="C154" s="30" t="s">
        <v>43</v>
      </c>
      <c r="D154" s="44">
        <f>1.5*2+0.5</f>
        <v>3.5</v>
      </c>
      <c r="E154" s="24">
        <f>300000/20</f>
        <v>15000</v>
      </c>
      <c r="F154" s="29">
        <f>D154*E154</f>
        <v>52500</v>
      </c>
    </row>
    <row r="155" spans="1:6" ht="15" thickBot="1">
      <c r="A155" s="35"/>
      <c r="B155" s="27" t="s">
        <v>63</v>
      </c>
      <c r="C155" s="26" t="s">
        <v>53</v>
      </c>
      <c r="D155" s="44">
        <v>1</v>
      </c>
      <c r="E155" s="24">
        <v>12500</v>
      </c>
      <c r="F155" s="20">
        <f>D155*E155</f>
        <v>12500</v>
      </c>
    </row>
    <row r="156" spans="1:6">
      <c r="A156" s="35"/>
      <c r="B156" s="34" t="s">
        <v>52</v>
      </c>
      <c r="C156" s="26"/>
      <c r="D156" s="32"/>
      <c r="E156" s="24"/>
      <c r="F156" s="19">
        <f>SUM(F154:F155)</f>
        <v>65000</v>
      </c>
    </row>
    <row r="157" spans="1:6">
      <c r="A157" s="28">
        <v>29</v>
      </c>
      <c r="B157" s="33" t="s">
        <v>95</v>
      </c>
      <c r="C157" s="82" t="s">
        <v>53</v>
      </c>
      <c r="D157" s="32"/>
      <c r="E157" s="24"/>
      <c r="F157" s="29"/>
    </row>
    <row r="158" spans="1:6">
      <c r="A158" s="28"/>
      <c r="B158" s="27" t="s">
        <v>89</v>
      </c>
      <c r="C158" s="30" t="s">
        <v>50</v>
      </c>
      <c r="D158" s="260">
        <f>0.4-0.15</f>
        <v>0.25</v>
      </c>
      <c r="E158" s="124">
        <v>3000</v>
      </c>
      <c r="F158" s="29">
        <f t="shared" ref="F158:F163" si="0">D158*E158</f>
        <v>750</v>
      </c>
    </row>
    <row r="159" spans="1:6">
      <c r="A159" s="28"/>
      <c r="B159" s="27" t="s">
        <v>94</v>
      </c>
      <c r="C159" s="30" t="s">
        <v>57</v>
      </c>
      <c r="D159" s="204">
        <v>0.125</v>
      </c>
      <c r="E159" s="124">
        <f>700000/20</f>
        <v>35000</v>
      </c>
      <c r="F159" s="29">
        <f t="shared" si="0"/>
        <v>4375</v>
      </c>
    </row>
    <row r="160" spans="1:6">
      <c r="A160" s="28"/>
      <c r="B160" s="27" t="s">
        <v>93</v>
      </c>
      <c r="C160" s="30" t="s">
        <v>56</v>
      </c>
      <c r="D160" s="204">
        <v>1</v>
      </c>
      <c r="E160" s="124">
        <f>5000/2</f>
        <v>2500</v>
      </c>
      <c r="F160" s="29">
        <f t="shared" si="0"/>
        <v>2500</v>
      </c>
    </row>
    <row r="161" spans="1:6">
      <c r="A161" s="28"/>
      <c r="B161" s="27" t="s">
        <v>86</v>
      </c>
      <c r="C161" s="30" t="s">
        <v>49</v>
      </c>
      <c r="D161" s="260">
        <v>0.02</v>
      </c>
      <c r="E161" s="124">
        <v>40000</v>
      </c>
      <c r="F161" s="29">
        <f t="shared" si="0"/>
        <v>800</v>
      </c>
    </row>
    <row r="162" spans="1:6">
      <c r="A162" s="28"/>
      <c r="B162" s="27" t="s">
        <v>92</v>
      </c>
      <c r="C162" s="82" t="s">
        <v>53</v>
      </c>
      <c r="D162" s="204">
        <f>1/3.5</f>
        <v>0.2857142857142857</v>
      </c>
      <c r="E162" s="124">
        <f>1250000/20</f>
        <v>62500</v>
      </c>
      <c r="F162" s="29">
        <f t="shared" si="0"/>
        <v>17857.142857142855</v>
      </c>
    </row>
    <row r="163" spans="1:6" ht="15" thickBot="1">
      <c r="A163" s="28"/>
      <c r="B163" s="37" t="s">
        <v>63</v>
      </c>
      <c r="C163" s="82" t="s">
        <v>53</v>
      </c>
      <c r="D163" s="83">
        <v>1</v>
      </c>
      <c r="E163" s="84">
        <v>15000</v>
      </c>
      <c r="F163" s="22">
        <f t="shared" si="0"/>
        <v>15000</v>
      </c>
    </row>
    <row r="164" spans="1:6">
      <c r="A164" s="28"/>
      <c r="B164" s="34" t="s">
        <v>52</v>
      </c>
      <c r="C164" s="82"/>
      <c r="D164" s="85"/>
      <c r="E164" s="84"/>
      <c r="F164" s="21">
        <f>SUM(F158:F163)</f>
        <v>41282.142857142855</v>
      </c>
    </row>
    <row r="165" spans="1:6">
      <c r="A165" s="28">
        <v>30</v>
      </c>
      <c r="B165" s="33" t="s">
        <v>91</v>
      </c>
      <c r="C165" s="26" t="s">
        <v>53</v>
      </c>
      <c r="D165" s="32"/>
      <c r="E165" s="24"/>
      <c r="F165" s="40"/>
    </row>
    <row r="166" spans="1:6">
      <c r="A166" s="28"/>
      <c r="B166" s="27" t="s">
        <v>89</v>
      </c>
      <c r="C166" s="30" t="s">
        <v>50</v>
      </c>
      <c r="D166" s="260">
        <f>0.4-0.15</f>
        <v>0.25</v>
      </c>
      <c r="E166" s="124">
        <f>E158</f>
        <v>3000</v>
      </c>
      <c r="F166" s="29">
        <f t="shared" ref="F166:F171" si="1">D166*E166</f>
        <v>750</v>
      </c>
    </row>
    <row r="167" spans="1:6">
      <c r="A167" s="28"/>
      <c r="B167" s="27" t="s">
        <v>88</v>
      </c>
      <c r="C167" s="30" t="s">
        <v>57</v>
      </c>
      <c r="D167" s="260">
        <v>0.125</v>
      </c>
      <c r="E167" s="124">
        <f>310000/18</f>
        <v>17222.222222222223</v>
      </c>
      <c r="F167" s="29">
        <f t="shared" si="1"/>
        <v>2152.7777777777778</v>
      </c>
    </row>
    <row r="168" spans="1:6">
      <c r="A168" s="28"/>
      <c r="B168" s="27" t="s">
        <v>87</v>
      </c>
      <c r="C168" s="30" t="s">
        <v>56</v>
      </c>
      <c r="D168" s="260">
        <v>1</v>
      </c>
      <c r="E168" s="124">
        <f>E160</f>
        <v>2500</v>
      </c>
      <c r="F168" s="29">
        <f t="shared" si="1"/>
        <v>2500</v>
      </c>
    </row>
    <row r="169" spans="1:6">
      <c r="A169" s="28"/>
      <c r="B169" s="27" t="s">
        <v>86</v>
      </c>
      <c r="C169" s="30" t="s">
        <v>49</v>
      </c>
      <c r="D169" s="260">
        <v>0.02</v>
      </c>
      <c r="E169" s="124">
        <f>E161</f>
        <v>40000</v>
      </c>
      <c r="F169" s="29">
        <f t="shared" si="1"/>
        <v>800</v>
      </c>
    </row>
    <row r="170" spans="1:6">
      <c r="A170" s="28"/>
      <c r="B170" s="27" t="s">
        <v>48</v>
      </c>
      <c r="C170" s="26" t="s">
        <v>53</v>
      </c>
      <c r="D170" s="204">
        <f>1/3.5</f>
        <v>0.2857142857142857</v>
      </c>
      <c r="E170" s="124">
        <f>405000/18</f>
        <v>22500</v>
      </c>
      <c r="F170" s="29">
        <f t="shared" si="1"/>
        <v>6428.5714285714284</v>
      </c>
    </row>
    <row r="171" spans="1:6" ht="15" thickBot="1">
      <c r="A171" s="28"/>
      <c r="B171" s="27" t="s">
        <v>63</v>
      </c>
      <c r="C171" s="26" t="s">
        <v>53</v>
      </c>
      <c r="D171" s="260">
        <v>1</v>
      </c>
      <c r="E171" s="124">
        <v>15000</v>
      </c>
      <c r="F171" s="41">
        <f t="shared" si="1"/>
        <v>15000</v>
      </c>
    </row>
    <row r="172" spans="1:6">
      <c r="A172" s="28"/>
      <c r="B172" s="34" t="s">
        <v>52</v>
      </c>
      <c r="C172" s="26"/>
      <c r="D172" s="32"/>
      <c r="E172" s="24"/>
      <c r="F172" s="21">
        <f>SUM(F166:F171)</f>
        <v>27631.349206349205</v>
      </c>
    </row>
    <row r="173" spans="1:6">
      <c r="A173" s="28">
        <v>31</v>
      </c>
      <c r="B173" s="33" t="s">
        <v>90</v>
      </c>
      <c r="C173" s="26" t="s">
        <v>53</v>
      </c>
      <c r="D173" s="32"/>
      <c r="E173" s="24"/>
      <c r="F173" s="29"/>
    </row>
    <row r="174" spans="1:6">
      <c r="A174" s="28"/>
      <c r="B174" s="27" t="s">
        <v>89</v>
      </c>
      <c r="C174" s="30" t="s">
        <v>50</v>
      </c>
      <c r="D174" s="260">
        <f>0.4-0.15</f>
        <v>0.25</v>
      </c>
      <c r="E174" s="124">
        <f>E158</f>
        <v>3000</v>
      </c>
      <c r="F174" s="29">
        <f t="shared" ref="F174:F179" si="2">D174*E174</f>
        <v>750</v>
      </c>
    </row>
    <row r="175" spans="1:6">
      <c r="A175" s="35"/>
      <c r="B175" s="27" t="s">
        <v>88</v>
      </c>
      <c r="C175" s="30" t="s">
        <v>57</v>
      </c>
      <c r="D175" s="260">
        <v>0.125</v>
      </c>
      <c r="E175" s="124">
        <f>E167</f>
        <v>17222.222222222223</v>
      </c>
      <c r="F175" s="29">
        <f t="shared" si="2"/>
        <v>2152.7777777777778</v>
      </c>
    </row>
    <row r="176" spans="1:6">
      <c r="A176" s="35"/>
      <c r="B176" s="27" t="s">
        <v>87</v>
      </c>
      <c r="C176" s="30" t="s">
        <v>56</v>
      </c>
      <c r="D176" s="260">
        <v>1</v>
      </c>
      <c r="E176" s="203">
        <f>2500*2/2</f>
        <v>2500</v>
      </c>
      <c r="F176" s="29">
        <f t="shared" si="2"/>
        <v>2500</v>
      </c>
    </row>
    <row r="177" spans="1:6">
      <c r="A177" s="35"/>
      <c r="B177" s="27" t="s">
        <v>86</v>
      </c>
      <c r="C177" s="30" t="s">
        <v>49</v>
      </c>
      <c r="D177" s="260">
        <f>D161</f>
        <v>0.02</v>
      </c>
      <c r="E177" s="124">
        <f>E161</f>
        <v>40000</v>
      </c>
      <c r="F177" s="29">
        <f t="shared" si="2"/>
        <v>800</v>
      </c>
    </row>
    <row r="178" spans="1:6">
      <c r="A178" s="35"/>
      <c r="B178" s="27" t="s">
        <v>48</v>
      </c>
      <c r="C178" s="26" t="s">
        <v>53</v>
      </c>
      <c r="D178" s="204">
        <f>1/3.5</f>
        <v>0.2857142857142857</v>
      </c>
      <c r="E178" s="124">
        <f>E170</f>
        <v>22500</v>
      </c>
      <c r="F178" s="29">
        <f t="shared" si="2"/>
        <v>6428.5714285714284</v>
      </c>
    </row>
    <row r="179" spans="1:6" ht="15" thickBot="1">
      <c r="A179" s="35"/>
      <c r="B179" s="27" t="s">
        <v>63</v>
      </c>
      <c r="C179" s="26" t="s">
        <v>53</v>
      </c>
      <c r="D179" s="260">
        <v>1</v>
      </c>
      <c r="E179" s="124">
        <v>15000</v>
      </c>
      <c r="F179" s="20">
        <f t="shared" si="2"/>
        <v>15000</v>
      </c>
    </row>
    <row r="180" spans="1:6">
      <c r="A180" s="35"/>
      <c r="B180" s="34" t="s">
        <v>52</v>
      </c>
      <c r="C180" s="26"/>
      <c r="D180" s="32"/>
      <c r="E180" s="24"/>
      <c r="F180" s="19">
        <f>SUM(F174:F179)</f>
        <v>27631.349206349205</v>
      </c>
    </row>
    <row r="181" spans="1:6">
      <c r="A181" s="28">
        <v>32</v>
      </c>
      <c r="B181" s="33" t="s">
        <v>85</v>
      </c>
      <c r="C181" s="26" t="s">
        <v>58</v>
      </c>
      <c r="D181" s="32"/>
      <c r="E181" s="24"/>
      <c r="F181" s="29"/>
    </row>
    <row r="182" spans="1:6">
      <c r="A182" s="28"/>
      <c r="B182" s="27" t="s">
        <v>84</v>
      </c>
      <c r="C182" s="26" t="s">
        <v>58</v>
      </c>
      <c r="D182" s="44">
        <f>1*1.1</f>
        <v>1.1000000000000001</v>
      </c>
      <c r="E182" s="24">
        <v>10000</v>
      </c>
      <c r="F182" s="29">
        <f>D182*E182</f>
        <v>11000</v>
      </c>
    </row>
    <row r="183" spans="1:6">
      <c r="A183" s="28"/>
      <c r="B183" s="27" t="s">
        <v>83</v>
      </c>
      <c r="C183" s="26" t="s">
        <v>58</v>
      </c>
      <c r="D183" s="44">
        <v>2</v>
      </c>
      <c r="E183" s="24">
        <v>7500</v>
      </c>
      <c r="F183" s="29">
        <f>D183*E183</f>
        <v>15000</v>
      </c>
    </row>
    <row r="184" spans="1:6" ht="15" thickBot="1">
      <c r="A184" s="28"/>
      <c r="B184" s="27" t="s">
        <v>63</v>
      </c>
      <c r="C184" s="26" t="s">
        <v>58</v>
      </c>
      <c r="D184" s="44">
        <v>1</v>
      </c>
      <c r="E184" s="24">
        <f>E112</f>
        <v>20000</v>
      </c>
      <c r="F184" s="22">
        <f>D184*E184</f>
        <v>20000</v>
      </c>
    </row>
    <row r="185" spans="1:6">
      <c r="A185" s="28"/>
      <c r="B185" s="34" t="s">
        <v>52</v>
      </c>
      <c r="C185" s="26"/>
      <c r="D185" s="32"/>
      <c r="E185" s="24"/>
      <c r="F185" s="21">
        <f>SUM(F182:F184)</f>
        <v>46000</v>
      </c>
    </row>
    <row r="186" spans="1:6">
      <c r="A186" s="365">
        <v>32</v>
      </c>
      <c r="B186" s="266" t="s">
        <v>82</v>
      </c>
      <c r="C186" s="206" t="s">
        <v>58</v>
      </c>
      <c r="D186" s="204"/>
      <c r="E186" s="124"/>
      <c r="F186" s="29"/>
    </row>
    <row r="187" spans="1:6">
      <c r="A187" s="365"/>
      <c r="B187" s="259" t="s">
        <v>788</v>
      </c>
      <c r="C187" s="206" t="s">
        <v>58</v>
      </c>
      <c r="D187" s="260">
        <f>1*1.1</f>
        <v>1.1000000000000001</v>
      </c>
      <c r="E187" s="124">
        <v>12500</v>
      </c>
      <c r="F187" s="29">
        <f>D187*E187</f>
        <v>13750.000000000002</v>
      </c>
    </row>
    <row r="188" spans="1:6" ht="15" thickBot="1">
      <c r="A188" s="365"/>
      <c r="B188" s="259" t="s">
        <v>63</v>
      </c>
      <c r="C188" s="206" t="s">
        <v>58</v>
      </c>
      <c r="D188" s="260">
        <v>1</v>
      </c>
      <c r="E188" s="124">
        <v>20000</v>
      </c>
      <c r="F188" s="20">
        <f>D188*E188</f>
        <v>20000</v>
      </c>
    </row>
    <row r="189" spans="1:6">
      <c r="A189" s="365"/>
      <c r="B189" s="205" t="s">
        <v>52</v>
      </c>
      <c r="C189" s="206"/>
      <c r="D189" s="204"/>
      <c r="E189" s="124"/>
      <c r="F189" s="19">
        <f>SUM(F187:F188)</f>
        <v>33750</v>
      </c>
    </row>
    <row r="190" spans="1:6">
      <c r="A190" s="28">
        <v>33</v>
      </c>
      <c r="B190" s="33" t="s">
        <v>82</v>
      </c>
      <c r="C190" s="26" t="s">
        <v>58</v>
      </c>
      <c r="D190" s="32"/>
      <c r="E190" s="24"/>
      <c r="F190" s="29"/>
    </row>
    <row r="191" spans="1:6">
      <c r="A191" s="28"/>
      <c r="B191" s="27" t="s">
        <v>81</v>
      </c>
      <c r="C191" s="26" t="s">
        <v>58</v>
      </c>
      <c r="D191" s="44">
        <f>1*1.1</f>
        <v>1.1000000000000001</v>
      </c>
      <c r="E191" s="24">
        <v>6500</v>
      </c>
      <c r="F191" s="29">
        <f>D191*E191</f>
        <v>7150.0000000000009</v>
      </c>
    </row>
    <row r="192" spans="1:6" ht="15" thickBot="1">
      <c r="A192" s="28"/>
      <c r="B192" s="27" t="s">
        <v>63</v>
      </c>
      <c r="C192" s="26" t="s">
        <v>58</v>
      </c>
      <c r="D192" s="44">
        <v>1</v>
      </c>
      <c r="E192" s="24">
        <f>E184</f>
        <v>20000</v>
      </c>
      <c r="F192" s="20">
        <f>D192*E192</f>
        <v>20000</v>
      </c>
    </row>
    <row r="193" spans="1:6">
      <c r="A193" s="28"/>
      <c r="B193" s="34" t="s">
        <v>52</v>
      </c>
      <c r="C193" s="26"/>
      <c r="D193" s="32"/>
      <c r="E193" s="24"/>
      <c r="F193" s="19">
        <f>SUM(F191:F192)</f>
        <v>27150</v>
      </c>
    </row>
    <row r="194" spans="1:6">
      <c r="A194" s="28">
        <v>34</v>
      </c>
      <c r="B194" s="33" t="s">
        <v>80</v>
      </c>
      <c r="C194" s="26" t="s">
        <v>58</v>
      </c>
      <c r="D194" s="32"/>
      <c r="E194" s="24"/>
      <c r="F194" s="29"/>
    </row>
    <row r="195" spans="1:6">
      <c r="A195" s="28"/>
      <c r="B195" s="27" t="s">
        <v>79</v>
      </c>
      <c r="C195" s="26" t="s">
        <v>58</v>
      </c>
      <c r="D195" s="44">
        <f>1*1.1</f>
        <v>1.1000000000000001</v>
      </c>
      <c r="E195" s="24">
        <v>9500</v>
      </c>
      <c r="F195" s="29">
        <f>D195*E195</f>
        <v>10450</v>
      </c>
    </row>
    <row r="196" spans="1:6" ht="15" thickBot="1">
      <c r="A196" s="28"/>
      <c r="B196" s="27" t="s">
        <v>63</v>
      </c>
      <c r="C196" s="26" t="s">
        <v>58</v>
      </c>
      <c r="D196" s="44">
        <v>1</v>
      </c>
      <c r="E196" s="24">
        <v>10000</v>
      </c>
      <c r="F196" s="22">
        <f>D196*E196</f>
        <v>10000</v>
      </c>
    </row>
    <row r="197" spans="1:6">
      <c r="A197" s="28"/>
      <c r="B197" s="34" t="s">
        <v>52</v>
      </c>
      <c r="C197" s="26"/>
      <c r="D197" s="32"/>
      <c r="E197" s="24"/>
      <c r="F197" s="440">
        <f>SUM(F195:F196)-4450-500</f>
        <v>15500</v>
      </c>
    </row>
    <row r="198" spans="1:6">
      <c r="A198" s="28">
        <v>35</v>
      </c>
      <c r="B198" s="86" t="s">
        <v>78</v>
      </c>
      <c r="C198" s="87" t="s">
        <v>53</v>
      </c>
      <c r="D198" s="32"/>
      <c r="E198" s="24"/>
      <c r="F198" s="29"/>
    </row>
    <row r="199" spans="1:6">
      <c r="A199" s="35"/>
      <c r="B199" s="262" t="s">
        <v>307</v>
      </c>
      <c r="C199" s="263" t="s">
        <v>43</v>
      </c>
      <c r="D199" s="260">
        <f>12.05*1.2</f>
        <v>14.46</v>
      </c>
      <c r="E199" s="124">
        <f>68300/40</f>
        <v>1707.5</v>
      </c>
      <c r="F199" s="29">
        <f>D199*E199</f>
        <v>24690.45</v>
      </c>
    </row>
    <row r="200" spans="1:6">
      <c r="A200" s="35"/>
      <c r="B200" s="262" t="s">
        <v>75</v>
      </c>
      <c r="C200" s="265" t="s">
        <v>53</v>
      </c>
      <c r="D200" s="204">
        <f>1/15.57</f>
        <v>6.4226075786769421E-2</v>
      </c>
      <c r="E200" s="124">
        <v>15000</v>
      </c>
      <c r="F200" s="29">
        <f>D200*E200</f>
        <v>963.39113680154128</v>
      </c>
    </row>
    <row r="201" spans="1:6">
      <c r="A201" s="35"/>
      <c r="B201" s="262" t="s">
        <v>74</v>
      </c>
      <c r="C201" s="263" t="s">
        <v>56</v>
      </c>
      <c r="D201" s="260">
        <v>1</v>
      </c>
      <c r="E201" s="124">
        <v>5000</v>
      </c>
      <c r="F201" s="29">
        <f>D201*E201</f>
        <v>5000</v>
      </c>
    </row>
    <row r="202" spans="1:6" ht="15" thickBot="1">
      <c r="A202" s="35"/>
      <c r="B202" s="262" t="s">
        <v>63</v>
      </c>
      <c r="C202" s="265" t="s">
        <v>53</v>
      </c>
      <c r="D202" s="260">
        <v>1</v>
      </c>
      <c r="E202" s="124">
        <v>50000</v>
      </c>
      <c r="F202" s="20">
        <f>D202*E202</f>
        <v>50000</v>
      </c>
    </row>
    <row r="203" spans="1:6">
      <c r="A203" s="35"/>
      <c r="B203" s="34" t="s">
        <v>52</v>
      </c>
      <c r="C203" s="44"/>
      <c r="D203" s="32"/>
      <c r="E203" s="24"/>
      <c r="F203" s="19">
        <f>SUM(F199:F202)</f>
        <v>80653.841136801537</v>
      </c>
    </row>
    <row r="204" spans="1:6">
      <c r="A204" s="28">
        <v>36</v>
      </c>
      <c r="B204" s="33" t="s">
        <v>73</v>
      </c>
      <c r="C204" s="26" t="s">
        <v>58</v>
      </c>
      <c r="D204" s="32"/>
      <c r="E204" s="24"/>
      <c r="F204" s="29"/>
    </row>
    <row r="205" spans="1:6">
      <c r="A205" s="28"/>
      <c r="B205" s="27" t="s">
        <v>303</v>
      </c>
      <c r="C205" s="26" t="s">
        <v>58</v>
      </c>
      <c r="D205" s="44">
        <f>1*1.1</f>
        <v>1.1000000000000001</v>
      </c>
      <c r="E205" s="24">
        <v>9500</v>
      </c>
      <c r="F205" s="29">
        <f>D205*E205</f>
        <v>10450</v>
      </c>
    </row>
    <row r="206" spans="1:6" ht="15" thickBot="1">
      <c r="A206" s="28"/>
      <c r="B206" s="27" t="s">
        <v>63</v>
      </c>
      <c r="C206" s="26" t="s">
        <v>58</v>
      </c>
      <c r="D206" s="44">
        <v>1</v>
      </c>
      <c r="E206" s="24">
        <f>E192</f>
        <v>20000</v>
      </c>
      <c r="F206" s="22">
        <f>D206*E206</f>
        <v>20000</v>
      </c>
    </row>
    <row r="207" spans="1:6">
      <c r="A207" s="28"/>
      <c r="B207" s="34" t="s">
        <v>52</v>
      </c>
      <c r="C207" s="43"/>
      <c r="D207" s="32"/>
      <c r="E207" s="24"/>
      <c r="F207" s="21">
        <f>SUM(F205:F206)</f>
        <v>30450</v>
      </c>
    </row>
    <row r="208" spans="1:6">
      <c r="A208" s="28">
        <v>37</v>
      </c>
      <c r="B208" s="42" t="s">
        <v>304</v>
      </c>
      <c r="C208" s="26" t="s">
        <v>53</v>
      </c>
      <c r="D208" s="32"/>
      <c r="E208" s="24"/>
      <c r="F208" s="50"/>
    </row>
    <row r="209" spans="1:6">
      <c r="A209" s="28"/>
      <c r="B209" s="37" t="s">
        <v>71</v>
      </c>
      <c r="C209" s="30" t="s">
        <v>49</v>
      </c>
      <c r="D209" s="44">
        <v>10.5</v>
      </c>
      <c r="E209" s="124">
        <f>9125/1.11</f>
        <v>8220.7207207207193</v>
      </c>
      <c r="F209" s="50">
        <f>D209*E209</f>
        <v>86317.567567567559</v>
      </c>
    </row>
    <row r="210" spans="1:6" ht="15" thickBot="1">
      <c r="A210" s="28"/>
      <c r="B210" s="37" t="s">
        <v>47</v>
      </c>
      <c r="C210" s="26" t="s">
        <v>53</v>
      </c>
      <c r="D210" s="44">
        <v>1</v>
      </c>
      <c r="E210" s="24">
        <v>30000</v>
      </c>
      <c r="F210" s="15">
        <f>D210*E210</f>
        <v>30000</v>
      </c>
    </row>
    <row r="211" spans="1:6">
      <c r="A211" s="28"/>
      <c r="B211" s="34" t="s">
        <v>52</v>
      </c>
      <c r="C211" s="27"/>
      <c r="D211" s="32"/>
      <c r="E211" s="24"/>
      <c r="F211" s="16">
        <f>SUM(F209:F210)</f>
        <v>116317.56756756756</v>
      </c>
    </row>
    <row r="212" spans="1:6">
      <c r="A212" s="88">
        <v>38</v>
      </c>
      <c r="B212" s="33" t="s">
        <v>70</v>
      </c>
      <c r="C212" s="26" t="s">
        <v>58</v>
      </c>
      <c r="D212" s="32"/>
      <c r="E212" s="24"/>
      <c r="F212" s="50"/>
    </row>
    <row r="213" spans="1:6">
      <c r="A213" s="28"/>
      <c r="B213" s="27" t="s">
        <v>69</v>
      </c>
      <c r="C213" s="26" t="s">
        <v>58</v>
      </c>
      <c r="D213" s="32">
        <f>3.5*1.1</f>
        <v>3.8500000000000005</v>
      </c>
      <c r="E213" s="24">
        <f>11100/1.11</f>
        <v>10000</v>
      </c>
      <c r="F213" s="50">
        <f t="shared" ref="F213:F218" si="3">D213*E213</f>
        <v>38500.000000000007</v>
      </c>
    </row>
    <row r="214" spans="1:6">
      <c r="A214" s="28"/>
      <c r="B214" s="27" t="s">
        <v>68</v>
      </c>
      <c r="C214" s="26" t="s">
        <v>49</v>
      </c>
      <c r="D214" s="44">
        <v>3</v>
      </c>
      <c r="E214" s="24">
        <f>17900/1.11+5000</f>
        <v>21126.126126126124</v>
      </c>
      <c r="F214" s="50">
        <f t="shared" si="3"/>
        <v>63378.378378378373</v>
      </c>
    </row>
    <row r="215" spans="1:6">
      <c r="A215" s="28"/>
      <c r="B215" s="27" t="s">
        <v>67</v>
      </c>
      <c r="C215" s="26" t="s">
        <v>66</v>
      </c>
      <c r="D215" s="44">
        <f>1/5</f>
        <v>0.2</v>
      </c>
      <c r="E215" s="124">
        <f>392000/1.11*1.1</f>
        <v>388468.46846846846</v>
      </c>
      <c r="F215" s="50">
        <f t="shared" si="3"/>
        <v>77693.693693693698</v>
      </c>
    </row>
    <row r="216" spans="1:6">
      <c r="A216" s="28"/>
      <c r="B216" s="27" t="s">
        <v>65</v>
      </c>
      <c r="C216" s="26" t="s">
        <v>49</v>
      </c>
      <c r="D216" s="44">
        <v>6</v>
      </c>
      <c r="E216" s="24">
        <v>500</v>
      </c>
      <c r="F216" s="50">
        <f t="shared" si="3"/>
        <v>3000</v>
      </c>
    </row>
    <row r="217" spans="1:6">
      <c r="A217" s="28"/>
      <c r="B217" s="27" t="s">
        <v>64</v>
      </c>
      <c r="C217" s="26" t="s">
        <v>58</v>
      </c>
      <c r="D217" s="44">
        <v>1</v>
      </c>
      <c r="E217" s="24">
        <v>15000</v>
      </c>
      <c r="F217" s="50">
        <f t="shared" si="3"/>
        <v>15000</v>
      </c>
    </row>
    <row r="218" spans="1:6" ht="15" thickBot="1">
      <c r="A218" s="28"/>
      <c r="B218" s="27" t="s">
        <v>63</v>
      </c>
      <c r="C218" s="26" t="s">
        <v>58</v>
      </c>
      <c r="D218" s="44">
        <v>1</v>
      </c>
      <c r="E218" s="24">
        <f>35000+5000</f>
        <v>40000</v>
      </c>
      <c r="F218" s="18">
        <f t="shared" si="3"/>
        <v>40000</v>
      </c>
    </row>
    <row r="219" spans="1:6">
      <c r="A219" s="89"/>
      <c r="B219" s="34" t="s">
        <v>52</v>
      </c>
      <c r="C219" s="27"/>
      <c r="D219" s="32"/>
      <c r="E219" s="24"/>
      <c r="F219" s="17">
        <f>SUM(F213:F218)</f>
        <v>237572.07207207207</v>
      </c>
    </row>
    <row r="220" spans="1:6">
      <c r="A220" s="88">
        <v>39</v>
      </c>
      <c r="B220" s="33" t="s">
        <v>62</v>
      </c>
      <c r="C220" s="26" t="s">
        <v>58</v>
      </c>
      <c r="D220" s="32"/>
      <c r="E220" s="24"/>
      <c r="F220" s="50"/>
    </row>
    <row r="221" spans="1:6">
      <c r="A221" s="88"/>
      <c r="B221" s="27" t="s">
        <v>61</v>
      </c>
      <c r="C221" s="26" t="s">
        <v>50</v>
      </c>
      <c r="D221" s="32">
        <f>1/4*2*1.1</f>
        <v>0.55000000000000004</v>
      </c>
      <c r="E221" s="24">
        <f>88700*0.4+20</f>
        <v>35500</v>
      </c>
      <c r="F221" s="90">
        <f>D221*E221</f>
        <v>19525</v>
      </c>
    </row>
    <row r="222" spans="1:6">
      <c r="A222" s="88"/>
      <c r="B222" s="27" t="s">
        <v>60</v>
      </c>
      <c r="C222" s="26" t="s">
        <v>58</v>
      </c>
      <c r="D222" s="449">
        <v>1</v>
      </c>
      <c r="E222" s="451">
        <f>50000</f>
        <v>50000</v>
      </c>
      <c r="F222" s="453">
        <f>D222*E222</f>
        <v>50000</v>
      </c>
    </row>
    <row r="223" spans="1:6" ht="15" thickBot="1">
      <c r="A223" s="88"/>
      <c r="B223" s="27" t="s">
        <v>59</v>
      </c>
      <c r="C223" s="26" t="s">
        <v>58</v>
      </c>
      <c r="D223" s="450"/>
      <c r="E223" s="452"/>
      <c r="F223" s="454"/>
    </row>
    <row r="224" spans="1:6">
      <c r="A224" s="88"/>
      <c r="B224" s="34" t="s">
        <v>52</v>
      </c>
      <c r="C224" s="43"/>
      <c r="D224" s="32"/>
      <c r="E224" s="24"/>
      <c r="F224" s="442">
        <f>SUM(F221:F223)-9525-4000</f>
        <v>56000</v>
      </c>
    </row>
    <row r="225" spans="1:7">
      <c r="A225" s="88">
        <v>40</v>
      </c>
      <c r="B225" s="91" t="s">
        <v>55</v>
      </c>
      <c r="C225" s="30" t="s">
        <v>46</v>
      </c>
      <c r="D225" s="83"/>
      <c r="E225" s="84"/>
      <c r="F225" s="92"/>
    </row>
    <row r="226" spans="1:7">
      <c r="A226" s="88"/>
      <c r="B226" s="27" t="s">
        <v>54</v>
      </c>
      <c r="C226" s="26" t="s">
        <v>53</v>
      </c>
      <c r="D226" s="44">
        <v>0.5</v>
      </c>
      <c r="E226" s="24">
        <f>F158+F160+F161+F162</f>
        <v>21907.142857142855</v>
      </c>
      <c r="F226" s="50">
        <f>D226*E226</f>
        <v>10953.571428571428</v>
      </c>
    </row>
    <row r="227" spans="1:7" ht="15" thickBot="1">
      <c r="A227" s="88"/>
      <c r="B227" s="27" t="s">
        <v>47</v>
      </c>
      <c r="C227" s="30" t="s">
        <v>46</v>
      </c>
      <c r="D227" s="44">
        <v>1</v>
      </c>
      <c r="E227" s="24">
        <v>20000</v>
      </c>
      <c r="F227" s="15">
        <f>D227*E227</f>
        <v>20000</v>
      </c>
    </row>
    <row r="228" spans="1:7">
      <c r="A228" s="88"/>
      <c r="B228" s="34" t="s">
        <v>52</v>
      </c>
      <c r="C228" s="26"/>
      <c r="D228" s="43"/>
      <c r="E228" s="24"/>
      <c r="F228" s="14">
        <f>SUM(F226:F227)</f>
        <v>30953.571428571428</v>
      </c>
    </row>
    <row r="229" spans="1:7">
      <c r="A229" s="257">
        <v>41</v>
      </c>
      <c r="B229" s="261" t="s">
        <v>301</v>
      </c>
      <c r="C229" s="206" t="s">
        <v>302</v>
      </c>
      <c r="D229" s="258"/>
      <c r="E229" s="124"/>
      <c r="F229" s="48"/>
    </row>
    <row r="230" spans="1:7">
      <c r="A230" s="257"/>
      <c r="B230" s="259" t="s">
        <v>296</v>
      </c>
      <c r="C230" s="206" t="s">
        <v>297</v>
      </c>
      <c r="D230" s="260">
        <v>2</v>
      </c>
      <c r="E230" s="124">
        <v>30000</v>
      </c>
      <c r="F230" s="50">
        <f t="shared" ref="F230:F234" si="4">D230*E230</f>
        <v>60000</v>
      </c>
    </row>
    <row r="231" spans="1:7">
      <c r="A231" s="257"/>
      <c r="B231" s="259" t="s">
        <v>72</v>
      </c>
      <c r="C231" s="206" t="s">
        <v>51</v>
      </c>
      <c r="D231" s="204">
        <v>4.4999999999999998E-2</v>
      </c>
      <c r="E231" s="124">
        <f>E17</f>
        <v>220000</v>
      </c>
      <c r="F231" s="50">
        <f t="shared" si="4"/>
        <v>9900</v>
      </c>
    </row>
    <row r="232" spans="1:7">
      <c r="A232" s="257"/>
      <c r="B232" s="259" t="s">
        <v>298</v>
      </c>
      <c r="C232" s="206" t="s">
        <v>297</v>
      </c>
      <c r="D232" s="260">
        <v>2</v>
      </c>
      <c r="E232" s="124">
        <v>20000</v>
      </c>
      <c r="F232" s="50">
        <f t="shared" si="4"/>
        <v>40000</v>
      </c>
    </row>
    <row r="233" spans="1:7">
      <c r="A233" s="257"/>
      <c r="B233" s="259" t="s">
        <v>299</v>
      </c>
      <c r="C233" s="206" t="s">
        <v>53</v>
      </c>
      <c r="D233" s="260">
        <v>0.04</v>
      </c>
      <c r="E233" s="124">
        <v>150000</v>
      </c>
      <c r="F233" s="50">
        <f t="shared" si="4"/>
        <v>6000</v>
      </c>
    </row>
    <row r="234" spans="1:7" ht="15" thickBot="1">
      <c r="A234" s="257"/>
      <c r="B234" s="259" t="s">
        <v>300</v>
      </c>
      <c r="C234" s="206" t="s">
        <v>56</v>
      </c>
      <c r="D234" s="260">
        <v>1</v>
      </c>
      <c r="E234" s="124">
        <f>75000</f>
        <v>75000</v>
      </c>
      <c r="F234" s="49">
        <f t="shared" si="4"/>
        <v>75000</v>
      </c>
    </row>
    <row r="235" spans="1:7">
      <c r="A235" s="257"/>
      <c r="B235" s="205" t="s">
        <v>52</v>
      </c>
      <c r="C235" s="258"/>
      <c r="D235" s="204"/>
      <c r="E235" s="124"/>
      <c r="F235" s="48">
        <f>SUM(F230:F234)</f>
        <v>190900</v>
      </c>
    </row>
    <row r="236" spans="1:7" customFormat="1">
      <c r="A236" s="377">
        <v>41</v>
      </c>
      <c r="B236" s="378" t="s">
        <v>799</v>
      </c>
      <c r="C236" s="206" t="s">
        <v>53</v>
      </c>
      <c r="D236" s="379"/>
      <c r="E236" s="124"/>
      <c r="F236" s="29"/>
    </row>
    <row r="237" spans="1:7" customFormat="1">
      <c r="A237" s="377"/>
      <c r="B237" s="380" t="s">
        <v>800</v>
      </c>
      <c r="C237" s="206" t="s">
        <v>49</v>
      </c>
      <c r="D237" s="260">
        <f>(1/0.15/0.3+0.78)*1.15+0.55</f>
        <v>27.00255555555556</v>
      </c>
      <c r="E237" s="203">
        <v>12500</v>
      </c>
      <c r="F237" s="29">
        <f t="shared" ref="F237:F241" si="5">D237*E237</f>
        <v>337531.9444444445</v>
      </c>
    </row>
    <row r="238" spans="1:7" customFormat="1">
      <c r="A238" s="377"/>
      <c r="B238" s="381" t="s">
        <v>77</v>
      </c>
      <c r="C238" s="382" t="s">
        <v>43</v>
      </c>
      <c r="D238" s="260">
        <v>15</v>
      </c>
      <c r="E238" s="124">
        <f>E43</f>
        <v>1194.3181818181818</v>
      </c>
      <c r="F238" s="29">
        <f t="shared" si="5"/>
        <v>17914.772727272728</v>
      </c>
    </row>
    <row r="239" spans="1:7" customFormat="1">
      <c r="A239" s="377"/>
      <c r="B239" s="380" t="s">
        <v>76</v>
      </c>
      <c r="C239" s="206" t="s">
        <v>51</v>
      </c>
      <c r="D239" s="260">
        <v>4.224E-2</v>
      </c>
      <c r="E239" s="124">
        <f>E16</f>
        <v>175000</v>
      </c>
      <c r="F239" s="29">
        <f t="shared" si="5"/>
        <v>7392</v>
      </c>
      <c r="G239" s="383"/>
    </row>
    <row r="240" spans="1:7" customFormat="1">
      <c r="A240" s="377"/>
      <c r="B240" s="380" t="s">
        <v>109</v>
      </c>
      <c r="C240" s="382" t="s">
        <v>56</v>
      </c>
      <c r="D240" s="384">
        <v>1</v>
      </c>
      <c r="E240" s="124">
        <v>5000</v>
      </c>
      <c r="F240" s="29">
        <f t="shared" si="5"/>
        <v>5000</v>
      </c>
    </row>
    <row r="241" spans="1:6" customFormat="1" ht="15" thickBot="1">
      <c r="A241" s="377"/>
      <c r="B241" s="385" t="s">
        <v>47</v>
      </c>
      <c r="C241" s="386" t="s">
        <v>53</v>
      </c>
      <c r="D241" s="387">
        <v>1</v>
      </c>
      <c r="E241" s="124">
        <f>75000-25000</f>
        <v>50000</v>
      </c>
      <c r="F241" s="267">
        <f t="shared" si="5"/>
        <v>50000</v>
      </c>
    </row>
    <row r="242" spans="1:6" customFormat="1">
      <c r="A242" s="377"/>
      <c r="B242" s="388" t="s">
        <v>52</v>
      </c>
      <c r="C242" s="82"/>
      <c r="D242" s="85"/>
      <c r="E242" s="84"/>
      <c r="F242" s="389">
        <f>SUM(F236:F241)</f>
        <v>417838.7171717172</v>
      </c>
    </row>
    <row r="243" spans="1:6" ht="15" thickBot="1">
      <c r="A243" s="13"/>
      <c r="B243" s="93"/>
      <c r="C243" s="94"/>
      <c r="D243" s="95"/>
      <c r="E243" s="96"/>
      <c r="F243" s="97"/>
    </row>
    <row r="244" spans="1:6" ht="15.6">
      <c r="A244" s="5"/>
      <c r="B244" s="12"/>
      <c r="C244" s="11"/>
      <c r="D244" s="10"/>
      <c r="E244" s="9"/>
      <c r="F244" s="9"/>
    </row>
    <row r="245" spans="1:6" ht="15.6">
      <c r="A245" s="5"/>
      <c r="B245" s="12"/>
      <c r="C245" s="11"/>
      <c r="D245" s="10"/>
      <c r="E245" s="9"/>
      <c r="F245" s="9"/>
    </row>
    <row r="246" spans="1:6" ht="15.6">
      <c r="A246" s="5"/>
      <c r="B246" s="12"/>
      <c r="C246" s="11"/>
      <c r="D246" s="10"/>
      <c r="E246" s="9"/>
      <c r="F246" s="9"/>
    </row>
    <row r="247" spans="1:6" ht="15.6">
      <c r="A247" s="5"/>
      <c r="B247" s="4"/>
      <c r="C247" s="5"/>
      <c r="D247" s="6" t="s">
        <v>782</v>
      </c>
      <c r="E247" s="6"/>
      <c r="F247" s="6"/>
    </row>
    <row r="248" spans="1:6" ht="15.6">
      <c r="A248" s="4"/>
      <c r="B248" s="4"/>
      <c r="C248" s="4"/>
      <c r="D248" s="200" t="s">
        <v>45</v>
      </c>
      <c r="E248" s="200"/>
      <c r="F248" s="8"/>
    </row>
    <row r="249" spans="1:6" ht="15.6">
      <c r="A249" s="4"/>
      <c r="B249" s="4"/>
      <c r="C249" s="4"/>
      <c r="D249" s="201"/>
      <c r="E249" s="201"/>
      <c r="F249" s="3"/>
    </row>
    <row r="250" spans="1:6" ht="15.6">
      <c r="A250" s="4"/>
      <c r="B250" s="4"/>
      <c r="C250" s="4"/>
      <c r="D250" s="201"/>
      <c r="E250" s="201"/>
      <c r="F250" s="3"/>
    </row>
    <row r="251" spans="1:6" ht="15.6">
      <c r="A251" s="4"/>
      <c r="B251" s="4"/>
      <c r="C251" s="4"/>
      <c r="D251" s="201"/>
      <c r="E251" s="201"/>
      <c r="F251" s="3"/>
    </row>
    <row r="252" spans="1:6" ht="15.6">
      <c r="A252" s="4"/>
      <c r="B252" s="4"/>
      <c r="C252" s="4"/>
      <c r="D252" s="199"/>
      <c r="E252" s="199"/>
      <c r="F252" s="3"/>
    </row>
    <row r="253" spans="1:6" ht="15.6">
      <c r="A253" s="4"/>
      <c r="B253" s="4"/>
      <c r="C253" s="4"/>
      <c r="D253" s="199"/>
      <c r="E253" s="199"/>
      <c r="F253" s="6"/>
    </row>
    <row r="254" spans="1:6" ht="15.6">
      <c r="A254" s="4"/>
      <c r="B254" s="5"/>
      <c r="C254" s="4"/>
      <c r="D254" s="202" t="s">
        <v>44</v>
      </c>
      <c r="E254" s="202"/>
      <c r="F254" s="6"/>
    </row>
    <row r="255" spans="1:6" ht="15.6">
      <c r="A255" s="5"/>
      <c r="B255" s="4"/>
      <c r="C255" s="3"/>
      <c r="D255" s="3"/>
      <c r="E255" s="3"/>
      <c r="F255" s="3"/>
    </row>
    <row r="256" spans="1:6" ht="15.6">
      <c r="C256" s="3"/>
      <c r="D256" s="3"/>
      <c r="E256" s="3"/>
      <c r="F256" s="3"/>
    </row>
  </sheetData>
  <mergeCells count="9">
    <mergeCell ref="D222:D223"/>
    <mergeCell ref="E222:E223"/>
    <mergeCell ref="F222:F223"/>
    <mergeCell ref="E1:F1"/>
    <mergeCell ref="A2:B2"/>
    <mergeCell ref="A5:A6"/>
    <mergeCell ref="B5:B6"/>
    <mergeCell ref="C5:C6"/>
    <mergeCell ref="D5:D6"/>
  </mergeCells>
  <pageMargins left="0.7" right="0.7" top="0.75" bottom="0.75" header="0.3" footer="0.3"/>
  <pageSetup paperSize="9" orientation="portrait" horizontalDpi="4294967293" verticalDpi="4294967293" r:id="rId1"/>
  <ignoredErrors>
    <ignoredError sqref="F97" formula="1"/>
    <ignoredError sqref="A8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465"/>
  <sheetViews>
    <sheetView topLeftCell="B80" workbookViewId="0">
      <selection activeCell="E94" sqref="E94"/>
    </sheetView>
  </sheetViews>
  <sheetFormatPr defaultColWidth="9" defaultRowHeight="14.4"/>
  <cols>
    <col min="1" max="1" width="7.21875" style="1" customWidth="1"/>
    <col min="2" max="2" width="46.109375" style="1" bestFit="1" customWidth="1"/>
    <col min="3" max="3" width="8.5546875" style="2" customWidth="1"/>
    <col min="4" max="4" width="11.6640625" style="1" customWidth="1"/>
    <col min="5" max="5" width="18.6640625" style="1" customWidth="1"/>
    <col min="6" max="6" width="22.77734375" style="1" customWidth="1"/>
    <col min="7" max="7" width="9" style="1"/>
    <col min="8" max="8" width="14" style="1" bestFit="1" customWidth="1"/>
    <col min="9" max="16384" width="9" style="1"/>
  </cols>
  <sheetData>
    <row r="2" spans="1:8" ht="16.5" customHeight="1">
      <c r="A2" s="128" t="s">
        <v>164</v>
      </c>
      <c r="B2" s="129"/>
      <c r="C2" s="130"/>
      <c r="D2" s="131"/>
      <c r="E2" s="132"/>
      <c r="F2" s="132"/>
    </row>
    <row r="3" spans="1:8" ht="15.75" customHeight="1">
      <c r="A3" s="73" t="s">
        <v>372</v>
      </c>
      <c r="B3" s="221"/>
      <c r="C3" s="133"/>
      <c r="D3" s="131"/>
      <c r="E3" s="134"/>
      <c r="F3" s="135"/>
    </row>
    <row r="4" spans="1:8" ht="12.75" customHeight="1">
      <c r="A4" s="220" t="s">
        <v>315</v>
      </c>
      <c r="B4" s="221"/>
      <c r="C4" s="136"/>
      <c r="D4" s="131"/>
      <c r="E4" s="135"/>
      <c r="F4" s="135"/>
    </row>
    <row r="5" spans="1:8" ht="6" customHeight="1" thickBot="1">
      <c r="A5" s="222"/>
      <c r="B5" s="223"/>
      <c r="C5" s="224"/>
      <c r="D5" s="225"/>
      <c r="E5" s="464"/>
      <c r="F5" s="465"/>
    </row>
    <row r="6" spans="1:8" ht="24" customHeight="1">
      <c r="A6" s="466" t="s">
        <v>151</v>
      </c>
      <c r="B6" s="468" t="s">
        <v>150</v>
      </c>
      <c r="C6" s="470" t="s">
        <v>40</v>
      </c>
      <c r="D6" s="468" t="s">
        <v>2</v>
      </c>
      <c r="E6" s="178" t="s">
        <v>149</v>
      </c>
      <c r="F6" s="179" t="s">
        <v>41</v>
      </c>
    </row>
    <row r="7" spans="1:8" ht="16.5" customHeight="1" thickBot="1">
      <c r="A7" s="467"/>
      <c r="B7" s="469"/>
      <c r="C7" s="471"/>
      <c r="D7" s="469"/>
      <c r="E7" s="180" t="s">
        <v>147</v>
      </c>
      <c r="F7" s="181" t="s">
        <v>147</v>
      </c>
      <c r="H7" s="273"/>
    </row>
    <row r="8" spans="1:8" ht="12.75" customHeight="1" thickTop="1">
      <c r="A8" s="226"/>
      <c r="B8" s="137"/>
      <c r="C8" s="138"/>
      <c r="D8" s="139"/>
      <c r="E8" s="140"/>
      <c r="F8" s="141"/>
      <c r="H8" s="273"/>
    </row>
    <row r="9" spans="1:8" ht="12.75" customHeight="1">
      <c r="A9" s="227">
        <v>1</v>
      </c>
      <c r="B9" s="142" t="s">
        <v>320</v>
      </c>
      <c r="C9" s="143" t="s">
        <v>51</v>
      </c>
      <c r="D9" s="269"/>
      <c r="E9" s="276"/>
      <c r="F9" s="144"/>
      <c r="H9" s="273"/>
    </row>
    <row r="10" spans="1:8" ht="12.75" customHeight="1">
      <c r="A10" s="227"/>
      <c r="B10" s="145" t="s">
        <v>165</v>
      </c>
      <c r="C10" s="143" t="s">
        <v>51</v>
      </c>
      <c r="D10" s="271">
        <v>1</v>
      </c>
      <c r="E10" s="276">
        <f>Analisa!F41</f>
        <v>878750</v>
      </c>
      <c r="F10" s="146">
        <f>D10*E10</f>
        <v>878750</v>
      </c>
    </row>
    <row r="11" spans="1:8" ht="12.75" customHeight="1">
      <c r="A11" s="227"/>
      <c r="B11" s="145" t="s">
        <v>169</v>
      </c>
      <c r="C11" s="143" t="s">
        <v>43</v>
      </c>
      <c r="D11" s="269">
        <f>1/0.045*4*0.617*1.1</f>
        <v>60.328888888888891</v>
      </c>
      <c r="E11" s="276">
        <f>Analisa!F82</f>
        <v>12250.369369369369</v>
      </c>
      <c r="F11" s="146">
        <f>D11*E11</f>
        <v>739051.1725325326</v>
      </c>
    </row>
    <row r="12" spans="1:8" ht="12.75" customHeight="1">
      <c r="A12" s="227"/>
      <c r="B12" s="145" t="s">
        <v>167</v>
      </c>
      <c r="C12" s="143" t="s">
        <v>43</v>
      </c>
      <c r="D12" s="269">
        <f>1/0.045*0.8*5.5*0.395*1.1</f>
        <v>42.484444444444456</v>
      </c>
      <c r="E12" s="276">
        <f>Analisa!F72</f>
        <v>11450</v>
      </c>
      <c r="F12" s="146">
        <f>D12*E12</f>
        <v>486446.88888888905</v>
      </c>
    </row>
    <row r="13" spans="1:8" ht="12.75" customHeight="1" thickBot="1">
      <c r="A13" s="227"/>
      <c r="B13" s="145" t="s">
        <v>168</v>
      </c>
      <c r="C13" s="143" t="s">
        <v>53</v>
      </c>
      <c r="D13" s="269">
        <f>1/0.045*0.6</f>
        <v>13.333333333333332</v>
      </c>
      <c r="E13" s="276">
        <f>Analisa!F54</f>
        <v>72689.090909090912</v>
      </c>
      <c r="F13" s="147">
        <f>D13*E13</f>
        <v>969187.87878787878</v>
      </c>
    </row>
    <row r="14" spans="1:8" ht="12.75" customHeight="1">
      <c r="A14" s="227"/>
      <c r="B14" s="148" t="s">
        <v>42</v>
      </c>
      <c r="C14" s="143"/>
      <c r="D14" s="272"/>
      <c r="E14" s="276"/>
      <c r="F14" s="149">
        <f>SUM(F10:F13)</f>
        <v>3073435.9402093007</v>
      </c>
    </row>
    <row r="15" spans="1:8" ht="12.75" customHeight="1">
      <c r="A15" s="227">
        <v>2</v>
      </c>
      <c r="B15" s="142" t="s">
        <v>321</v>
      </c>
      <c r="C15" s="143" t="s">
        <v>51</v>
      </c>
      <c r="D15" s="269"/>
      <c r="E15" s="276"/>
      <c r="F15" s="144"/>
    </row>
    <row r="16" spans="1:8" ht="12.75" customHeight="1">
      <c r="A16" s="227"/>
      <c r="B16" s="145" t="s">
        <v>165</v>
      </c>
      <c r="C16" s="143" t="s">
        <v>51</v>
      </c>
      <c r="D16" s="271">
        <v>1</v>
      </c>
      <c r="E16" s="276">
        <f>E10</f>
        <v>878750</v>
      </c>
      <c r="F16" s="146">
        <f>D16*E16</f>
        <v>878750</v>
      </c>
    </row>
    <row r="17" spans="1:9" ht="12.75" customHeight="1">
      <c r="A17" s="227"/>
      <c r="B17" s="145" t="s">
        <v>166</v>
      </c>
      <c r="C17" s="143" t="s">
        <v>43</v>
      </c>
      <c r="D17" s="269">
        <f>1/0.045*4*1.04*1.1</f>
        <v>101.6888888888889</v>
      </c>
      <c r="E17" s="276">
        <f t="shared" ref="E17:E19" si="0">E11</f>
        <v>12250.369369369369</v>
      </c>
      <c r="F17" s="146">
        <f>D17*E17</f>
        <v>1245726.4496496497</v>
      </c>
    </row>
    <row r="18" spans="1:9" ht="12.75" customHeight="1">
      <c r="A18" s="227"/>
      <c r="B18" s="145" t="s">
        <v>167</v>
      </c>
      <c r="C18" s="143" t="s">
        <v>43</v>
      </c>
      <c r="D18" s="269">
        <f>1/0.045*0.8*5.5*0.395*1.1</f>
        <v>42.484444444444456</v>
      </c>
      <c r="E18" s="276">
        <f t="shared" si="0"/>
        <v>11450</v>
      </c>
      <c r="F18" s="146">
        <f>D18*E18</f>
        <v>486446.88888888905</v>
      </c>
    </row>
    <row r="19" spans="1:9" ht="12.75" customHeight="1" thickBot="1">
      <c r="A19" s="227"/>
      <c r="B19" s="145" t="s">
        <v>168</v>
      </c>
      <c r="C19" s="143" t="s">
        <v>53</v>
      </c>
      <c r="D19" s="269">
        <f>1/0.045*0.6</f>
        <v>13.333333333333332</v>
      </c>
      <c r="E19" s="276">
        <f t="shared" si="0"/>
        <v>72689.090909090912</v>
      </c>
      <c r="F19" s="147">
        <f>D19*E19</f>
        <v>969187.87878787878</v>
      </c>
    </row>
    <row r="20" spans="1:9" ht="12.75" customHeight="1">
      <c r="A20" s="227"/>
      <c r="B20" s="148" t="s">
        <v>42</v>
      </c>
      <c r="C20" s="143"/>
      <c r="D20" s="272"/>
      <c r="E20" s="276"/>
      <c r="F20" s="149">
        <f>SUM(F16:F19)</f>
        <v>3580111.2173264176</v>
      </c>
    </row>
    <row r="21" spans="1:9" ht="12.75" customHeight="1">
      <c r="A21" s="227">
        <v>3</v>
      </c>
      <c r="B21" s="142" t="s">
        <v>322</v>
      </c>
      <c r="C21" s="143" t="s">
        <v>51</v>
      </c>
      <c r="D21" s="272"/>
      <c r="E21" s="276"/>
      <c r="F21" s="146"/>
      <c r="I21"/>
    </row>
    <row r="22" spans="1:9" ht="12.75" customHeight="1">
      <c r="A22" s="227"/>
      <c r="B22" s="145" t="s">
        <v>165</v>
      </c>
      <c r="C22" s="143" t="s">
        <v>51</v>
      </c>
      <c r="D22" s="269">
        <v>1</v>
      </c>
      <c r="E22" s="276">
        <f>E10</f>
        <v>878750</v>
      </c>
      <c r="F22" s="146">
        <f>D22*E22</f>
        <v>878750</v>
      </c>
      <c r="I22"/>
    </row>
    <row r="23" spans="1:9" ht="12.75" customHeight="1">
      <c r="A23" s="227"/>
      <c r="B23" s="145" t="s">
        <v>169</v>
      </c>
      <c r="C23" s="143" t="s">
        <v>43</v>
      </c>
      <c r="D23" s="269">
        <f>1/0.06*4*0.617*1.1</f>
        <v>45.24666666666667</v>
      </c>
      <c r="E23" s="276">
        <f>E11</f>
        <v>12250.369369369369</v>
      </c>
      <c r="F23" s="146">
        <f>D23*E23</f>
        <v>554288.37939939939</v>
      </c>
      <c r="I23"/>
    </row>
    <row r="24" spans="1:9" ht="12.75" customHeight="1">
      <c r="A24" s="227"/>
      <c r="B24" s="145" t="s">
        <v>167</v>
      </c>
      <c r="C24" s="143" t="s">
        <v>43</v>
      </c>
      <c r="D24" s="269">
        <f>1/0.06*1*5.5*0.395*1.1</f>
        <v>39.829166666666673</v>
      </c>
      <c r="E24" s="276">
        <f>E12</f>
        <v>11450</v>
      </c>
      <c r="F24" s="146">
        <f>D24*E24</f>
        <v>456043.95833333343</v>
      </c>
      <c r="I24"/>
    </row>
    <row r="25" spans="1:9" ht="12.75" customHeight="1" thickBot="1">
      <c r="A25" s="227"/>
      <c r="B25" s="145" t="s">
        <v>168</v>
      </c>
      <c r="C25" s="143" t="s">
        <v>53</v>
      </c>
      <c r="D25" s="269">
        <f>1/0.06*0.8</f>
        <v>13.333333333333336</v>
      </c>
      <c r="E25" s="276">
        <f>E13</f>
        <v>72689.090909090912</v>
      </c>
      <c r="F25" s="147">
        <f>D25*E25</f>
        <v>969187.87878787902</v>
      </c>
    </row>
    <row r="26" spans="1:9" ht="12.75" customHeight="1">
      <c r="A26" s="227"/>
      <c r="B26" s="148" t="s">
        <v>42</v>
      </c>
      <c r="C26" s="150"/>
      <c r="D26" s="151"/>
      <c r="E26" s="276"/>
      <c r="F26" s="149">
        <f>SUM(F22:F25)</f>
        <v>2858270.2165206117</v>
      </c>
    </row>
    <row r="27" spans="1:9" ht="12.75" customHeight="1">
      <c r="A27" s="227">
        <v>4</v>
      </c>
      <c r="B27" s="142" t="s">
        <v>323</v>
      </c>
      <c r="C27" s="143"/>
      <c r="D27" s="269"/>
      <c r="E27" s="276"/>
      <c r="F27" s="153"/>
    </row>
    <row r="28" spans="1:9" ht="12.75" customHeight="1">
      <c r="A28" s="227"/>
      <c r="B28" s="145" t="s">
        <v>165</v>
      </c>
      <c r="C28" s="143" t="s">
        <v>51</v>
      </c>
      <c r="D28" s="269">
        <v>1</v>
      </c>
      <c r="E28" s="276">
        <f>E22</f>
        <v>878750</v>
      </c>
      <c r="F28" s="153">
        <f>D28*E28</f>
        <v>878750</v>
      </c>
    </row>
    <row r="29" spans="1:9" ht="12.75" customHeight="1">
      <c r="A29" s="227"/>
      <c r="B29" s="145" t="s">
        <v>166</v>
      </c>
      <c r="C29" s="143" t="s">
        <v>43</v>
      </c>
      <c r="D29" s="269">
        <f>1/0.06*4*1.04*1.1</f>
        <v>76.26666666666668</v>
      </c>
      <c r="E29" s="276">
        <f t="shared" ref="E29:E31" si="1">E23</f>
        <v>12250.369369369369</v>
      </c>
      <c r="F29" s="153">
        <f>D29*E29</f>
        <v>934294.83723723737</v>
      </c>
    </row>
    <row r="30" spans="1:9" ht="12.75" customHeight="1">
      <c r="A30" s="227"/>
      <c r="B30" s="145" t="s">
        <v>167</v>
      </c>
      <c r="C30" s="143" t="s">
        <v>43</v>
      </c>
      <c r="D30" s="269">
        <f>1/0.06*1*5.5*0.395*1.1</f>
        <v>39.829166666666673</v>
      </c>
      <c r="E30" s="276">
        <f t="shared" si="1"/>
        <v>11450</v>
      </c>
      <c r="F30" s="153">
        <f>D30*E30</f>
        <v>456043.95833333343</v>
      </c>
    </row>
    <row r="31" spans="1:9" ht="12.75" customHeight="1" thickBot="1">
      <c r="A31" s="227"/>
      <c r="B31" s="145" t="s">
        <v>168</v>
      </c>
      <c r="C31" s="143" t="s">
        <v>53</v>
      </c>
      <c r="D31" s="269">
        <f>1/0.06*0.8</f>
        <v>13.333333333333336</v>
      </c>
      <c r="E31" s="276">
        <f t="shared" si="1"/>
        <v>72689.090909090912</v>
      </c>
      <c r="F31" s="154">
        <f>D31*E31</f>
        <v>969187.87878787902</v>
      </c>
    </row>
    <row r="32" spans="1:9" ht="12.75" customHeight="1">
      <c r="A32" s="227"/>
      <c r="B32" s="148" t="s">
        <v>42</v>
      </c>
      <c r="C32" s="143"/>
      <c r="D32" s="269"/>
      <c r="E32" s="276"/>
      <c r="F32" s="149">
        <f>SUM(F28:F31)</f>
        <v>3238276.6743584499</v>
      </c>
    </row>
    <row r="33" spans="1:6" ht="12.75" customHeight="1">
      <c r="A33" s="227">
        <v>5</v>
      </c>
      <c r="B33" s="142" t="s">
        <v>324</v>
      </c>
      <c r="C33" s="143"/>
      <c r="D33" s="269"/>
      <c r="E33" s="276"/>
      <c r="F33" s="153"/>
    </row>
    <row r="34" spans="1:6" ht="12.75" customHeight="1">
      <c r="A34" s="227"/>
      <c r="B34" s="145" t="s">
        <v>165</v>
      </c>
      <c r="C34" s="143" t="s">
        <v>51</v>
      </c>
      <c r="D34" s="269">
        <v>1</v>
      </c>
      <c r="E34" s="276">
        <f>E28</f>
        <v>878750</v>
      </c>
      <c r="F34" s="153">
        <f>D34*E34</f>
        <v>878750</v>
      </c>
    </row>
    <row r="35" spans="1:6" ht="12.75" customHeight="1">
      <c r="A35" s="227"/>
      <c r="B35" s="145" t="s">
        <v>166</v>
      </c>
      <c r="C35" s="143" t="s">
        <v>43</v>
      </c>
      <c r="D35" s="269">
        <f>1/0.06*4.5*1.04*1.1</f>
        <v>85.800000000000011</v>
      </c>
      <c r="E35" s="276">
        <f t="shared" ref="E35:E37" si="2">E29</f>
        <v>12250.369369369369</v>
      </c>
      <c r="F35" s="153">
        <f>D35*E35</f>
        <v>1051081.6918918921</v>
      </c>
    </row>
    <row r="36" spans="1:6" ht="12.75" customHeight="1">
      <c r="A36" s="227"/>
      <c r="B36" s="145" t="s">
        <v>167</v>
      </c>
      <c r="C36" s="143" t="s">
        <v>43</v>
      </c>
      <c r="D36" s="269">
        <f>1/0.06*1*6*0.395*1.1</f>
        <v>43.45</v>
      </c>
      <c r="E36" s="276">
        <f t="shared" si="2"/>
        <v>11450</v>
      </c>
      <c r="F36" s="153">
        <f>D36*E36</f>
        <v>497502.50000000006</v>
      </c>
    </row>
    <row r="37" spans="1:6" ht="12.75" customHeight="1" thickBot="1">
      <c r="A37" s="227"/>
      <c r="B37" s="145" t="s">
        <v>168</v>
      </c>
      <c r="C37" s="143" t="s">
        <v>53</v>
      </c>
      <c r="D37" s="269">
        <f>1/0.06*0.8</f>
        <v>13.333333333333336</v>
      </c>
      <c r="E37" s="276">
        <f t="shared" si="2"/>
        <v>72689.090909090912</v>
      </c>
      <c r="F37" s="154">
        <f>D37*E37</f>
        <v>969187.87878787902</v>
      </c>
    </row>
    <row r="38" spans="1:6" ht="12.75" customHeight="1">
      <c r="A38" s="227"/>
      <c r="B38" s="148" t="s">
        <v>42</v>
      </c>
      <c r="C38" s="143"/>
      <c r="D38" s="269"/>
      <c r="E38" s="276"/>
      <c r="F38" s="149">
        <f>SUM(F34:F37)</f>
        <v>3396522.0706797712</v>
      </c>
    </row>
    <row r="39" spans="1:6" ht="12.75" customHeight="1">
      <c r="A39" s="227">
        <v>6</v>
      </c>
      <c r="B39" s="142" t="s">
        <v>325</v>
      </c>
      <c r="C39" s="143"/>
      <c r="D39" s="269"/>
      <c r="E39" s="276"/>
      <c r="F39" s="153"/>
    </row>
    <row r="40" spans="1:6" ht="12.75" customHeight="1">
      <c r="A40" s="227"/>
      <c r="B40" s="145" t="s">
        <v>165</v>
      </c>
      <c r="C40" s="143" t="s">
        <v>51</v>
      </c>
      <c r="D40" s="269">
        <v>1</v>
      </c>
      <c r="E40" s="276">
        <f>E34</f>
        <v>878750</v>
      </c>
      <c r="F40" s="153">
        <f>D40*E40</f>
        <v>878750</v>
      </c>
    </row>
    <row r="41" spans="1:6" ht="12.75" customHeight="1">
      <c r="A41" s="227"/>
      <c r="B41" s="145" t="s">
        <v>166</v>
      </c>
      <c r="C41" s="143" t="s">
        <v>43</v>
      </c>
      <c r="D41" s="269">
        <f>1/0.06*5.5*1.04*1.1</f>
        <v>104.86666666666669</v>
      </c>
      <c r="E41" s="276">
        <f t="shared" ref="E41:E43" si="3">E35</f>
        <v>12250.369369369369</v>
      </c>
      <c r="F41" s="153">
        <f>D41*E41</f>
        <v>1284655.4012012014</v>
      </c>
    </row>
    <row r="42" spans="1:6" ht="12.75" customHeight="1">
      <c r="A42" s="227"/>
      <c r="B42" s="145" t="s">
        <v>167</v>
      </c>
      <c r="C42" s="143" t="s">
        <v>43</v>
      </c>
      <c r="D42" s="269">
        <f>1/0.06*1*5.5*0.395*1.1</f>
        <v>39.829166666666673</v>
      </c>
      <c r="E42" s="276">
        <f t="shared" si="3"/>
        <v>11450</v>
      </c>
      <c r="F42" s="153">
        <f>D42*E42</f>
        <v>456043.95833333343</v>
      </c>
    </row>
    <row r="43" spans="1:6" ht="12.75" customHeight="1" thickBot="1">
      <c r="A43" s="227"/>
      <c r="B43" s="145" t="s">
        <v>168</v>
      </c>
      <c r="C43" s="143" t="s">
        <v>53</v>
      </c>
      <c r="D43" s="269">
        <f>1/0.06*0.8</f>
        <v>13.333333333333336</v>
      </c>
      <c r="E43" s="276">
        <f t="shared" si="3"/>
        <v>72689.090909090912</v>
      </c>
      <c r="F43" s="154">
        <f>D43*E43</f>
        <v>969187.87878787902</v>
      </c>
    </row>
    <row r="44" spans="1:6" ht="12.75" customHeight="1">
      <c r="A44" s="227"/>
      <c r="B44" s="148" t="s">
        <v>42</v>
      </c>
      <c r="C44" s="143"/>
      <c r="D44" s="269"/>
      <c r="E44" s="276"/>
      <c r="F44" s="149">
        <f>SUM(F40:F43)</f>
        <v>3588637.238322414</v>
      </c>
    </row>
    <row r="45" spans="1:6" ht="12.75" customHeight="1">
      <c r="A45" s="227">
        <v>7</v>
      </c>
      <c r="B45" s="142" t="s">
        <v>326</v>
      </c>
      <c r="C45" s="143"/>
      <c r="D45" s="269"/>
      <c r="E45" s="276"/>
      <c r="F45" s="153"/>
    </row>
    <row r="46" spans="1:6" ht="12.75" customHeight="1">
      <c r="A46" s="227"/>
      <c r="B46" s="145" t="s">
        <v>165</v>
      </c>
      <c r="C46" s="143" t="s">
        <v>51</v>
      </c>
      <c r="D46" s="269">
        <v>1</v>
      </c>
      <c r="E46" s="276">
        <f>E40</f>
        <v>878750</v>
      </c>
      <c r="F46" s="153">
        <f>D46*E46</f>
        <v>878750</v>
      </c>
    </row>
    <row r="47" spans="1:6" ht="12.75" customHeight="1">
      <c r="A47" s="227"/>
      <c r="B47" s="145" t="s">
        <v>166</v>
      </c>
      <c r="C47" s="143" t="s">
        <v>43</v>
      </c>
      <c r="D47" s="269">
        <f>1/0.06*4.5*1.04*1.1</f>
        <v>85.800000000000011</v>
      </c>
      <c r="E47" s="276">
        <f t="shared" ref="E47:E49" si="4">E41</f>
        <v>12250.369369369369</v>
      </c>
      <c r="F47" s="153">
        <f>D47*E47</f>
        <v>1051081.6918918921</v>
      </c>
    </row>
    <row r="48" spans="1:6" ht="12.75" customHeight="1">
      <c r="A48" s="227"/>
      <c r="B48" s="145" t="s">
        <v>167</v>
      </c>
      <c r="C48" s="143" t="s">
        <v>43</v>
      </c>
      <c r="D48" s="269">
        <f>1/0.06*1*5.5*0.395*1.1</f>
        <v>39.829166666666673</v>
      </c>
      <c r="E48" s="276">
        <f t="shared" si="4"/>
        <v>11450</v>
      </c>
      <c r="F48" s="153">
        <f>D48*E48</f>
        <v>456043.95833333343</v>
      </c>
    </row>
    <row r="49" spans="1:6" ht="12.75" customHeight="1" thickBot="1">
      <c r="A49" s="227"/>
      <c r="B49" s="145" t="s">
        <v>168</v>
      </c>
      <c r="C49" s="143" t="s">
        <v>53</v>
      </c>
      <c r="D49" s="269">
        <f>1/0.06*0.8</f>
        <v>13.333333333333336</v>
      </c>
      <c r="E49" s="276">
        <f t="shared" si="4"/>
        <v>72689.090909090912</v>
      </c>
      <c r="F49" s="154">
        <f>D49*E49</f>
        <v>969187.87878787902</v>
      </c>
    </row>
    <row r="50" spans="1:6" ht="12.75" customHeight="1">
      <c r="A50" s="227"/>
      <c r="B50" s="148" t="s">
        <v>42</v>
      </c>
      <c r="C50" s="143"/>
      <c r="D50" s="269"/>
      <c r="E50" s="276"/>
      <c r="F50" s="149">
        <f>SUM(F46:F49)</f>
        <v>3355063.5290131043</v>
      </c>
    </row>
    <row r="51" spans="1:6" ht="12.75" customHeight="1">
      <c r="A51" s="227">
        <v>8</v>
      </c>
      <c r="B51" s="142" t="s">
        <v>801</v>
      </c>
      <c r="C51" s="143"/>
      <c r="D51" s="269"/>
      <c r="E51" s="276"/>
      <c r="F51" s="153"/>
    </row>
    <row r="52" spans="1:6" ht="12.75" customHeight="1">
      <c r="A52" s="227"/>
      <c r="B52" s="145" t="s">
        <v>165</v>
      </c>
      <c r="C52" s="143" t="s">
        <v>51</v>
      </c>
      <c r="D52" s="269">
        <v>1</v>
      </c>
      <c r="E52" s="276">
        <f>Analisa!F30</f>
        <v>890000</v>
      </c>
      <c r="F52" s="153">
        <f>D52*E52</f>
        <v>890000</v>
      </c>
    </row>
    <row r="53" spans="1:6" ht="12.75" customHeight="1">
      <c r="A53" s="227"/>
      <c r="B53" s="145" t="s">
        <v>166</v>
      </c>
      <c r="C53" s="143" t="s">
        <v>43</v>
      </c>
      <c r="D53" s="269">
        <f>1/0.08*4*1.04*1.1</f>
        <v>57.2</v>
      </c>
      <c r="E53" s="276">
        <f t="shared" ref="E53:E55" si="5">E47</f>
        <v>12250.369369369369</v>
      </c>
      <c r="F53" s="153">
        <f>D53*E53</f>
        <v>700721.127927928</v>
      </c>
    </row>
    <row r="54" spans="1:6" ht="12.75" customHeight="1">
      <c r="A54" s="227"/>
      <c r="B54" s="145" t="s">
        <v>167</v>
      </c>
      <c r="C54" s="143" t="s">
        <v>43</v>
      </c>
      <c r="D54" s="269">
        <f>1/0.08*1.1*5.5*0.395*1.1</f>
        <v>32.859062500000007</v>
      </c>
      <c r="E54" s="276">
        <f t="shared" si="5"/>
        <v>11450</v>
      </c>
      <c r="F54" s="153">
        <f>D54*E54</f>
        <v>376236.26562500006</v>
      </c>
    </row>
    <row r="55" spans="1:6" ht="12.75" customHeight="1" thickBot="1">
      <c r="A55" s="227"/>
      <c r="B55" s="145" t="s">
        <v>168</v>
      </c>
      <c r="C55" s="143" t="s">
        <v>53</v>
      </c>
      <c r="D55" s="269">
        <f>1/0.08*0.8</f>
        <v>10</v>
      </c>
      <c r="E55" s="276">
        <f t="shared" si="5"/>
        <v>72689.090909090912</v>
      </c>
      <c r="F55" s="154">
        <f>D55*E55</f>
        <v>726890.90909090918</v>
      </c>
    </row>
    <row r="56" spans="1:6" ht="12.75" customHeight="1">
      <c r="A56" s="227"/>
      <c r="B56" s="148" t="s">
        <v>42</v>
      </c>
      <c r="C56" s="143"/>
      <c r="D56" s="269"/>
      <c r="E56" s="276"/>
      <c r="F56" s="149">
        <f>SUM(F52:F55)</f>
        <v>2693848.3026438374</v>
      </c>
    </row>
    <row r="57" spans="1:6" ht="12.75" customHeight="1">
      <c r="A57" s="227">
        <v>9</v>
      </c>
      <c r="B57" s="142" t="s">
        <v>785</v>
      </c>
      <c r="C57" s="143"/>
      <c r="D57" s="269"/>
      <c r="E57" s="276"/>
      <c r="F57" s="153"/>
    </row>
    <row r="58" spans="1:6" ht="12.75" customHeight="1">
      <c r="A58" s="227"/>
      <c r="B58" s="145" t="s">
        <v>165</v>
      </c>
      <c r="C58" s="143" t="s">
        <v>51</v>
      </c>
      <c r="D58" s="269">
        <v>1</v>
      </c>
      <c r="E58" s="276">
        <f>E52</f>
        <v>890000</v>
      </c>
      <c r="F58" s="153">
        <f>D58*E58</f>
        <v>890000</v>
      </c>
    </row>
    <row r="59" spans="1:6" ht="12.75" customHeight="1">
      <c r="A59" s="227"/>
      <c r="B59" s="145" t="s">
        <v>166</v>
      </c>
      <c r="C59" s="143" t="s">
        <v>43</v>
      </c>
      <c r="D59" s="269">
        <f>1/0.08*4*1.04*1.1</f>
        <v>57.2</v>
      </c>
      <c r="E59" s="276">
        <f t="shared" ref="E59:E61" si="6">E53</f>
        <v>12250.369369369369</v>
      </c>
      <c r="F59" s="153">
        <f>D59*E59</f>
        <v>700721.127927928</v>
      </c>
    </row>
    <row r="60" spans="1:6" ht="12.75" customHeight="1">
      <c r="A60" s="227"/>
      <c r="B60" s="145" t="s">
        <v>167</v>
      </c>
      <c r="C60" s="143" t="s">
        <v>43</v>
      </c>
      <c r="D60" s="269">
        <f>1/0.08*1.1*6*0.395*1.1</f>
        <v>35.846250000000012</v>
      </c>
      <c r="E60" s="276">
        <f t="shared" si="6"/>
        <v>11450</v>
      </c>
      <c r="F60" s="153">
        <f>D60*E60</f>
        <v>410439.56250000012</v>
      </c>
    </row>
    <row r="61" spans="1:6" ht="12.75" customHeight="1" thickBot="1">
      <c r="A61" s="227"/>
      <c r="B61" s="145" t="s">
        <v>168</v>
      </c>
      <c r="C61" s="143" t="s">
        <v>53</v>
      </c>
      <c r="D61" s="269">
        <f>1/0.08*0.8</f>
        <v>10</v>
      </c>
      <c r="E61" s="276">
        <f t="shared" si="6"/>
        <v>72689.090909090912</v>
      </c>
      <c r="F61" s="154">
        <f>D61*E61</f>
        <v>726890.90909090918</v>
      </c>
    </row>
    <row r="62" spans="1:6" ht="12.75" customHeight="1">
      <c r="A62" s="227"/>
      <c r="B62" s="148" t="s">
        <v>42</v>
      </c>
      <c r="C62" s="143"/>
      <c r="D62" s="269"/>
      <c r="E62" s="276"/>
      <c r="F62" s="149">
        <f>SUM(F58:F61)</f>
        <v>2728051.5995188374</v>
      </c>
    </row>
    <row r="63" spans="1:6" ht="12.75" customHeight="1">
      <c r="A63" s="227">
        <v>10</v>
      </c>
      <c r="B63" s="142" t="s">
        <v>786</v>
      </c>
      <c r="C63" s="143"/>
      <c r="D63" s="269"/>
      <c r="E63" s="276"/>
      <c r="F63" s="153"/>
    </row>
    <row r="64" spans="1:6" ht="12.75" customHeight="1">
      <c r="A64" s="227"/>
      <c r="B64" s="145" t="s">
        <v>165</v>
      </c>
      <c r="C64" s="143" t="s">
        <v>51</v>
      </c>
      <c r="D64" s="269">
        <v>1</v>
      </c>
      <c r="E64" s="276">
        <f>E58</f>
        <v>890000</v>
      </c>
      <c r="F64" s="153">
        <f>D64*E64</f>
        <v>890000</v>
      </c>
    </row>
    <row r="65" spans="1:8" ht="12.75" customHeight="1">
      <c r="A65" s="227"/>
      <c r="B65" s="145" t="s">
        <v>166</v>
      </c>
      <c r="C65" s="143" t="s">
        <v>43</v>
      </c>
      <c r="D65" s="269">
        <f>1/0.08*4.5*1.04*1.1</f>
        <v>64.350000000000009</v>
      </c>
      <c r="E65" s="276">
        <f t="shared" ref="E65:E67" si="7">E59</f>
        <v>12250.369369369369</v>
      </c>
      <c r="F65" s="153">
        <f>D65*E65</f>
        <v>788311.26891891903</v>
      </c>
    </row>
    <row r="66" spans="1:8" ht="12.75" customHeight="1">
      <c r="A66" s="227"/>
      <c r="B66" s="145" t="s">
        <v>167</v>
      </c>
      <c r="C66" s="143" t="s">
        <v>43</v>
      </c>
      <c r="D66" s="269">
        <f>1/0.08*1.1*6*0.395*1.1</f>
        <v>35.846250000000012</v>
      </c>
      <c r="E66" s="276">
        <f>E60</f>
        <v>11450</v>
      </c>
      <c r="F66" s="153">
        <f>D66*E66</f>
        <v>410439.56250000012</v>
      </c>
    </row>
    <row r="67" spans="1:8" ht="12.75" customHeight="1" thickBot="1">
      <c r="A67" s="227"/>
      <c r="B67" s="145" t="s">
        <v>168</v>
      </c>
      <c r="C67" s="143" t="s">
        <v>53</v>
      </c>
      <c r="D67" s="269">
        <f>1/0.08*0.8</f>
        <v>10</v>
      </c>
      <c r="E67" s="276">
        <f t="shared" si="7"/>
        <v>72689.090909090912</v>
      </c>
      <c r="F67" s="154">
        <f>D67*E67</f>
        <v>726890.90909090918</v>
      </c>
    </row>
    <row r="68" spans="1:8" ht="12.75" customHeight="1">
      <c r="A68" s="227"/>
      <c r="B68" s="148" t="s">
        <v>42</v>
      </c>
      <c r="C68" s="143"/>
      <c r="D68" s="269"/>
      <c r="E68" s="276"/>
      <c r="F68" s="149">
        <f>SUM(F64:F67)</f>
        <v>2815641.7405098281</v>
      </c>
    </row>
    <row r="69" spans="1:8" ht="12.75" customHeight="1">
      <c r="A69" s="227">
        <v>11</v>
      </c>
      <c r="B69" s="142" t="s">
        <v>787</v>
      </c>
      <c r="C69" s="143"/>
      <c r="D69" s="269"/>
      <c r="E69" s="276"/>
      <c r="F69" s="153"/>
    </row>
    <row r="70" spans="1:8" ht="12.75" customHeight="1">
      <c r="A70" s="227"/>
      <c r="B70" s="145" t="s">
        <v>165</v>
      </c>
      <c r="C70" s="143" t="s">
        <v>51</v>
      </c>
      <c r="D70" s="269">
        <v>1</v>
      </c>
      <c r="E70" s="276">
        <f>E64</f>
        <v>890000</v>
      </c>
      <c r="F70" s="153">
        <f>D70*E70</f>
        <v>890000</v>
      </c>
    </row>
    <row r="71" spans="1:8" ht="12.75" customHeight="1">
      <c r="A71" s="227"/>
      <c r="B71" s="145" t="s">
        <v>166</v>
      </c>
      <c r="C71" s="143" t="s">
        <v>43</v>
      </c>
      <c r="D71" s="269">
        <f>1/0.12*7.5*1.04*1.1</f>
        <v>71.500000000000028</v>
      </c>
      <c r="E71" s="276">
        <f t="shared" ref="E71:E73" si="8">E65</f>
        <v>12250.369369369369</v>
      </c>
      <c r="F71" s="153">
        <f>D71*E71</f>
        <v>875901.40990991029</v>
      </c>
    </row>
    <row r="72" spans="1:8" ht="12.75" customHeight="1">
      <c r="A72" s="227"/>
      <c r="B72" s="145" t="s">
        <v>167</v>
      </c>
      <c r="C72" s="143" t="s">
        <v>43</v>
      </c>
      <c r="D72" s="269">
        <f>1/0.12*1.3*6*0.395*1.1</f>
        <v>28.242500000000003</v>
      </c>
      <c r="E72" s="276">
        <f>E66</f>
        <v>11450</v>
      </c>
      <c r="F72" s="153">
        <f>D72*E72</f>
        <v>323376.62500000006</v>
      </c>
    </row>
    <row r="73" spans="1:8" ht="12.75" customHeight="1" thickBot="1">
      <c r="A73" s="227"/>
      <c r="B73" s="145" t="s">
        <v>168</v>
      </c>
      <c r="C73" s="143" t="s">
        <v>53</v>
      </c>
      <c r="D73" s="269">
        <f>1/0.12*0.9</f>
        <v>7.5000000000000009</v>
      </c>
      <c r="E73" s="276">
        <f t="shared" si="8"/>
        <v>72689.090909090912</v>
      </c>
      <c r="F73" s="154">
        <f>D73*E73</f>
        <v>545168.18181818188</v>
      </c>
    </row>
    <row r="74" spans="1:8" ht="12.75" customHeight="1">
      <c r="A74" s="227"/>
      <c r="B74" s="148" t="s">
        <v>42</v>
      </c>
      <c r="C74" s="143"/>
      <c r="D74" s="269"/>
      <c r="E74" s="276"/>
      <c r="F74" s="149">
        <f>SUM(F70:F73)</f>
        <v>2634446.2167280922</v>
      </c>
    </row>
    <row r="75" spans="1:8" ht="12.75" customHeight="1">
      <c r="A75" s="227">
        <v>12</v>
      </c>
      <c r="B75" s="142" t="s">
        <v>316</v>
      </c>
      <c r="C75" s="143"/>
      <c r="D75" s="269"/>
      <c r="E75" s="276"/>
      <c r="F75" s="158"/>
    </row>
    <row r="76" spans="1:8" ht="12.75" customHeight="1">
      <c r="A76" s="227"/>
      <c r="B76" s="145" t="s">
        <v>165</v>
      </c>
      <c r="C76" s="143" t="s">
        <v>51</v>
      </c>
      <c r="D76" s="269">
        <v>1</v>
      </c>
      <c r="E76" s="276">
        <f>E46</f>
        <v>878750</v>
      </c>
      <c r="F76" s="153">
        <f>D76*E76</f>
        <v>878750</v>
      </c>
      <c r="H76" s="268"/>
    </row>
    <row r="77" spans="1:8" ht="12.75" customHeight="1">
      <c r="A77" s="227"/>
      <c r="B77" s="145" t="s">
        <v>166</v>
      </c>
      <c r="C77" s="143" t="s">
        <v>43</v>
      </c>
      <c r="D77" s="269">
        <f>1/0.1*1.8*8*1.04*1.1</f>
        <v>164.73599999999999</v>
      </c>
      <c r="E77" s="276">
        <f>E65</f>
        <v>12250.369369369369</v>
      </c>
      <c r="F77" s="153">
        <f>D77*E77</f>
        <v>2018076.8484324324</v>
      </c>
    </row>
    <row r="78" spans="1:8" ht="12.75" customHeight="1">
      <c r="A78" s="227"/>
      <c r="B78" s="145" t="s">
        <v>169</v>
      </c>
      <c r="C78" s="143" t="s">
        <v>43</v>
      </c>
      <c r="D78" s="269">
        <f>1/0.1*1.5*3*0.617*1.1</f>
        <v>30.541500000000003</v>
      </c>
      <c r="E78" s="276">
        <f>E77</f>
        <v>12250.369369369369</v>
      </c>
      <c r="F78" s="153">
        <f>D78*E78</f>
        <v>374144.65609459463</v>
      </c>
    </row>
    <row r="79" spans="1:8" ht="12.75" customHeight="1" thickBot="1">
      <c r="A79" s="227"/>
      <c r="B79" s="145" t="s">
        <v>170</v>
      </c>
      <c r="C79" s="143" t="s">
        <v>53</v>
      </c>
      <c r="D79" s="269">
        <f>1/0.1*2*0.4</f>
        <v>8</v>
      </c>
      <c r="E79" s="276">
        <f>E67</f>
        <v>72689.090909090912</v>
      </c>
      <c r="F79" s="154">
        <f>D79*E79</f>
        <v>581512.72727272729</v>
      </c>
    </row>
    <row r="80" spans="1:8" ht="12.75" customHeight="1">
      <c r="A80" s="227"/>
      <c r="B80" s="159" t="s">
        <v>42</v>
      </c>
      <c r="C80" s="270"/>
      <c r="D80" s="269"/>
      <c r="E80" s="276"/>
      <c r="F80" s="149">
        <f>SUM(F76:F79)</f>
        <v>3852484.2317997543</v>
      </c>
    </row>
    <row r="81" spans="1:6" ht="12.75" customHeight="1">
      <c r="A81" s="227">
        <v>13</v>
      </c>
      <c r="B81" s="142" t="s">
        <v>317</v>
      </c>
      <c r="C81" s="143"/>
      <c r="D81" s="269"/>
      <c r="E81" s="276"/>
      <c r="F81" s="158"/>
    </row>
    <row r="82" spans="1:6" ht="12.75" customHeight="1">
      <c r="A82" s="227"/>
      <c r="B82" s="145" t="s">
        <v>165</v>
      </c>
      <c r="C82" s="143" t="s">
        <v>51</v>
      </c>
      <c r="D82" s="269">
        <v>1</v>
      </c>
      <c r="E82" s="276">
        <f>E76</f>
        <v>878750</v>
      </c>
      <c r="F82" s="153">
        <f>D82*E82</f>
        <v>878750</v>
      </c>
    </row>
    <row r="83" spans="1:6" ht="12.75" customHeight="1">
      <c r="A83" s="227"/>
      <c r="B83" s="145" t="s">
        <v>166</v>
      </c>
      <c r="C83" s="143" t="s">
        <v>43</v>
      </c>
      <c r="D83" s="269">
        <f>1/0.1*1.8*8*1.04*1.1</f>
        <v>164.73599999999999</v>
      </c>
      <c r="E83" s="276">
        <f t="shared" ref="E83:E85" si="9">E77</f>
        <v>12250.369369369369</v>
      </c>
      <c r="F83" s="153">
        <f>D83*E83</f>
        <v>2018076.8484324324</v>
      </c>
    </row>
    <row r="84" spans="1:6" ht="12.75" customHeight="1">
      <c r="A84" s="227"/>
      <c r="B84" s="145" t="s">
        <v>169</v>
      </c>
      <c r="C84" s="143" t="s">
        <v>43</v>
      </c>
      <c r="D84" s="269">
        <f>1/0.1*1.5*3*0.617*1.1</f>
        <v>30.541500000000003</v>
      </c>
      <c r="E84" s="276">
        <f t="shared" si="9"/>
        <v>12250.369369369369</v>
      </c>
      <c r="F84" s="153">
        <f>D84*E84</f>
        <v>374144.65609459463</v>
      </c>
    </row>
    <row r="85" spans="1:6" ht="12.75" customHeight="1" thickBot="1">
      <c r="A85" s="227"/>
      <c r="B85" s="145" t="s">
        <v>170</v>
      </c>
      <c r="C85" s="143" t="s">
        <v>53</v>
      </c>
      <c r="D85" s="269">
        <f>1/0.1*2*0.4</f>
        <v>8</v>
      </c>
      <c r="E85" s="276">
        <f t="shared" si="9"/>
        <v>72689.090909090912</v>
      </c>
      <c r="F85" s="154">
        <f>D85*E85</f>
        <v>581512.72727272729</v>
      </c>
    </row>
    <row r="86" spans="1:6" ht="12.75" customHeight="1">
      <c r="A86" s="227"/>
      <c r="B86" s="159" t="s">
        <v>42</v>
      </c>
      <c r="C86" s="270"/>
      <c r="D86" s="269"/>
      <c r="E86" s="276"/>
      <c r="F86" s="149">
        <f>SUM(F82:F85)</f>
        <v>3852484.2317997543</v>
      </c>
    </row>
    <row r="87" spans="1:6" ht="12.75" customHeight="1">
      <c r="A87" s="227">
        <v>14</v>
      </c>
      <c r="B87" s="142" t="s">
        <v>318</v>
      </c>
      <c r="C87" s="143"/>
      <c r="D87" s="269"/>
      <c r="E87" s="276"/>
      <c r="F87" s="158"/>
    </row>
    <row r="88" spans="1:6" ht="12.75" customHeight="1">
      <c r="A88" s="227"/>
      <c r="B88" s="145" t="s">
        <v>165</v>
      </c>
      <c r="C88" s="143" t="s">
        <v>51</v>
      </c>
      <c r="D88" s="269">
        <v>1</v>
      </c>
      <c r="E88" s="276">
        <f>E82</f>
        <v>878750</v>
      </c>
      <c r="F88" s="153">
        <f>D88*E88</f>
        <v>878750</v>
      </c>
    </row>
    <row r="89" spans="1:6" ht="12.75" customHeight="1">
      <c r="A89" s="227"/>
      <c r="B89" s="145" t="s">
        <v>166</v>
      </c>
      <c r="C89" s="143" t="s">
        <v>43</v>
      </c>
      <c r="D89" s="269">
        <f>1/0.12*(1.8*4+2*4)*1.04*1.1</f>
        <v>144.90666666666669</v>
      </c>
      <c r="E89" s="276">
        <f t="shared" ref="E89:E91" si="10">E83</f>
        <v>12250.369369369369</v>
      </c>
      <c r="F89" s="153">
        <f>D89*E89</f>
        <v>1775160.1907507512</v>
      </c>
    </row>
    <row r="90" spans="1:6" ht="12.75" customHeight="1">
      <c r="A90" s="227"/>
      <c r="B90" s="145" t="s">
        <v>169</v>
      </c>
      <c r="C90" s="143" t="s">
        <v>43</v>
      </c>
      <c r="D90" s="269">
        <f>1/0.12*1.5*3*0.617*1.1</f>
        <v>25.451250000000002</v>
      </c>
      <c r="E90" s="276">
        <f t="shared" si="10"/>
        <v>12250.369369369369</v>
      </c>
      <c r="F90" s="153">
        <f>D90*E90</f>
        <v>311787.21341216221</v>
      </c>
    </row>
    <row r="91" spans="1:6" ht="12.75" customHeight="1" thickBot="1">
      <c r="A91" s="227"/>
      <c r="B91" s="145" t="s">
        <v>170</v>
      </c>
      <c r="C91" s="143" t="s">
        <v>53</v>
      </c>
      <c r="D91" s="269">
        <f>1/0.12*2.2*0.4</f>
        <v>7.3333333333333348</v>
      </c>
      <c r="E91" s="276">
        <f t="shared" si="10"/>
        <v>72689.090909090912</v>
      </c>
      <c r="F91" s="154">
        <f>D91*E91</f>
        <v>533053.33333333349</v>
      </c>
    </row>
    <row r="92" spans="1:6" ht="12.75" customHeight="1">
      <c r="A92" s="227"/>
      <c r="B92" s="159" t="s">
        <v>42</v>
      </c>
      <c r="C92" s="270"/>
      <c r="D92" s="269"/>
      <c r="E92" s="276"/>
      <c r="F92" s="149">
        <f>SUM(F88:F91)</f>
        <v>3498750.737496247</v>
      </c>
    </row>
    <row r="93" spans="1:6" ht="12.75" customHeight="1">
      <c r="A93" s="227">
        <v>14</v>
      </c>
      <c r="B93" s="142" t="s">
        <v>798</v>
      </c>
      <c r="C93" s="143"/>
      <c r="D93" s="269"/>
      <c r="E93" s="276"/>
      <c r="F93" s="158"/>
    </row>
    <row r="94" spans="1:6" ht="12.75" customHeight="1">
      <c r="A94" s="227"/>
      <c r="B94" s="145" t="s">
        <v>165</v>
      </c>
      <c r="C94" s="143" t="s">
        <v>51</v>
      </c>
      <c r="D94" s="269">
        <v>1</v>
      </c>
      <c r="E94" s="276">
        <f>Analisa!F30</f>
        <v>890000</v>
      </c>
      <c r="F94" s="153">
        <f>D94*E94</f>
        <v>890000</v>
      </c>
    </row>
    <row r="95" spans="1:6" ht="12.75" customHeight="1">
      <c r="A95" s="227"/>
      <c r="B95" s="145" t="s">
        <v>166</v>
      </c>
      <c r="C95" s="143" t="s">
        <v>43</v>
      </c>
      <c r="D95" s="269">
        <f>1/0.13*(1.8*4+2.1*4)*1.04*1.1</f>
        <v>137.28000000000003</v>
      </c>
      <c r="E95" s="276">
        <f t="shared" ref="E95:E97" si="11">E89</f>
        <v>12250.369369369369</v>
      </c>
      <c r="F95" s="153">
        <f>D95*E95</f>
        <v>1681730.7070270274</v>
      </c>
    </row>
    <row r="96" spans="1:6" ht="12.75" customHeight="1">
      <c r="A96" s="227"/>
      <c r="B96" s="145" t="s">
        <v>169</v>
      </c>
      <c r="C96" s="143" t="s">
        <v>43</v>
      </c>
      <c r="D96" s="269">
        <f>1/0.13*1.5*3*0.617*1.1</f>
        <v>23.493461538461538</v>
      </c>
      <c r="E96" s="276">
        <f t="shared" si="11"/>
        <v>12250.369369369369</v>
      </c>
      <c r="F96" s="153">
        <f>D96*E96</f>
        <v>287803.5816112266</v>
      </c>
    </row>
    <row r="97" spans="1:6" ht="12.75" customHeight="1" thickBot="1">
      <c r="A97" s="227"/>
      <c r="B97" s="145" t="s">
        <v>170</v>
      </c>
      <c r="C97" s="143" t="s">
        <v>53</v>
      </c>
      <c r="D97" s="269">
        <f>1/0.13*2.2*0.4</f>
        <v>6.7692307692307701</v>
      </c>
      <c r="E97" s="276">
        <f t="shared" si="11"/>
        <v>72689.090909090912</v>
      </c>
      <c r="F97" s="154">
        <f>D97*E97</f>
        <v>492049.23076923087</v>
      </c>
    </row>
    <row r="98" spans="1:6" ht="12.75" customHeight="1">
      <c r="A98" s="227"/>
      <c r="B98" s="159" t="s">
        <v>42</v>
      </c>
      <c r="C98" s="270"/>
      <c r="D98" s="269"/>
      <c r="E98" s="276"/>
      <c r="F98" s="149">
        <f>SUM(F94:F97)</f>
        <v>3351583.5194074851</v>
      </c>
    </row>
    <row r="99" spans="1:6" ht="12.75" customHeight="1">
      <c r="A99" s="227">
        <v>15</v>
      </c>
      <c r="B99" s="142" t="s">
        <v>287</v>
      </c>
      <c r="C99" s="143"/>
      <c r="D99" s="269"/>
      <c r="E99" s="276"/>
      <c r="F99" s="153"/>
    </row>
    <row r="100" spans="1:6" ht="12.75" customHeight="1">
      <c r="A100" s="228"/>
      <c r="B100" s="145" t="s">
        <v>165</v>
      </c>
      <c r="C100" s="143" t="s">
        <v>51</v>
      </c>
      <c r="D100" s="269">
        <v>1</v>
      </c>
      <c r="E100" s="276">
        <f>E88</f>
        <v>878750</v>
      </c>
      <c r="F100" s="153">
        <f>D100*E100</f>
        <v>878750</v>
      </c>
    </row>
    <row r="101" spans="1:6" ht="12.75" customHeight="1">
      <c r="A101" s="228"/>
      <c r="B101" s="145" t="s">
        <v>166</v>
      </c>
      <c r="C101" s="143" t="s">
        <v>43</v>
      </c>
      <c r="D101" s="269">
        <f>1/0.25*(2.05*4+1.8*7)*1.04*1.1</f>
        <v>95.180800000000005</v>
      </c>
      <c r="E101" s="276">
        <f>E89</f>
        <v>12250.369369369369</v>
      </c>
      <c r="F101" s="153">
        <f>D101*E101</f>
        <v>1165999.9568720721</v>
      </c>
    </row>
    <row r="102" spans="1:6" ht="12.75" customHeight="1">
      <c r="A102" s="228"/>
      <c r="B102" s="145" t="s">
        <v>169</v>
      </c>
      <c r="C102" s="143" t="s">
        <v>43</v>
      </c>
      <c r="D102" s="269">
        <f>1/0.25*1.25*4*0.617*1.1</f>
        <v>13.574000000000002</v>
      </c>
      <c r="E102" s="276">
        <f>E90</f>
        <v>12250.369369369369</v>
      </c>
      <c r="F102" s="153">
        <f>D102*E102</f>
        <v>166286.51381981984</v>
      </c>
    </row>
    <row r="103" spans="1:6" ht="12.75" customHeight="1" thickBot="1">
      <c r="A103" s="228"/>
      <c r="B103" s="145" t="s">
        <v>170</v>
      </c>
      <c r="C103" s="143" t="s">
        <v>53</v>
      </c>
      <c r="D103" s="269">
        <f>1/0.25*3*0.5</f>
        <v>6</v>
      </c>
      <c r="E103" s="276">
        <f>E91</f>
        <v>72689.090909090912</v>
      </c>
      <c r="F103" s="154">
        <f>D103*E103</f>
        <v>436134.54545454547</v>
      </c>
    </row>
    <row r="104" spans="1:6" ht="12.75" customHeight="1">
      <c r="A104" s="227"/>
      <c r="B104" s="159" t="s">
        <v>42</v>
      </c>
      <c r="C104" s="143"/>
      <c r="D104" s="269"/>
      <c r="E104" s="276"/>
      <c r="F104" s="149">
        <f>SUM(F100:F103)</f>
        <v>2647171.0161464373</v>
      </c>
    </row>
    <row r="105" spans="1:6" ht="12.75" customHeight="1">
      <c r="A105" s="227">
        <v>16</v>
      </c>
      <c r="B105" s="142" t="s">
        <v>319</v>
      </c>
      <c r="C105" s="143"/>
      <c r="D105" s="269"/>
      <c r="E105" s="276"/>
      <c r="F105" s="153"/>
    </row>
    <row r="106" spans="1:6" ht="12.75" customHeight="1">
      <c r="A106" s="228"/>
      <c r="B106" s="145" t="s">
        <v>165</v>
      </c>
      <c r="C106" s="143" t="s">
        <v>51</v>
      </c>
      <c r="D106" s="269">
        <v>1</v>
      </c>
      <c r="E106" s="276">
        <f>E100</f>
        <v>878750</v>
      </c>
      <c r="F106" s="153">
        <f>D106*E106</f>
        <v>878750</v>
      </c>
    </row>
    <row r="107" spans="1:6" ht="12.75" customHeight="1">
      <c r="A107" s="228"/>
      <c r="B107" s="145" t="s">
        <v>166</v>
      </c>
      <c r="C107" s="143" t="s">
        <v>43</v>
      </c>
      <c r="D107" s="269">
        <f>1/0.375*(4.28*4+1.8*10)*1.04*1.1</f>
        <v>107.13941333333335</v>
      </c>
      <c r="E107" s="276">
        <f>E101</f>
        <v>12250.369369369369</v>
      </c>
      <c r="F107" s="153">
        <f>D107*E107</f>
        <v>1312497.387350871</v>
      </c>
    </row>
    <row r="108" spans="1:6" ht="12.75" customHeight="1" thickBot="1">
      <c r="A108" s="228"/>
      <c r="B108" s="145" t="s">
        <v>170</v>
      </c>
      <c r="C108" s="143" t="s">
        <v>53</v>
      </c>
      <c r="D108" s="269">
        <f>1/0.375*4*0.5</f>
        <v>5.333333333333333</v>
      </c>
      <c r="E108" s="276">
        <f>E103</f>
        <v>72689.090909090912</v>
      </c>
      <c r="F108" s="154">
        <f>D108*E108</f>
        <v>387675.15151515149</v>
      </c>
    </row>
    <row r="109" spans="1:6" ht="12.75" customHeight="1">
      <c r="A109" s="227"/>
      <c r="B109" s="159" t="s">
        <v>42</v>
      </c>
      <c r="C109" s="143"/>
      <c r="D109" s="269"/>
      <c r="E109" s="276"/>
      <c r="F109" s="149">
        <f>SUM(F106:F108)</f>
        <v>2578922.5388660226</v>
      </c>
    </row>
    <row r="110" spans="1:6" s="160" customFormat="1" ht="12.75" customHeight="1">
      <c r="A110" s="227">
        <v>17</v>
      </c>
      <c r="B110" s="142" t="s">
        <v>288</v>
      </c>
      <c r="C110" s="143" t="s">
        <v>51</v>
      </c>
      <c r="D110" s="269"/>
      <c r="E110" s="276"/>
      <c r="F110" s="153"/>
    </row>
    <row r="111" spans="1:6" ht="12.75" customHeight="1">
      <c r="A111" s="227"/>
      <c r="B111" s="145" t="s">
        <v>171</v>
      </c>
      <c r="C111" s="143" t="s">
        <v>51</v>
      </c>
      <c r="D111" s="269">
        <v>1</v>
      </c>
      <c r="E111" s="276">
        <f>Analisa!F20</f>
        <v>951288.40909090906</v>
      </c>
      <c r="F111" s="153">
        <f>D111*E111</f>
        <v>951288.40909090906</v>
      </c>
    </row>
    <row r="112" spans="1:6" ht="12.75" customHeight="1">
      <c r="A112" s="227"/>
      <c r="B112" s="145" t="s">
        <v>169</v>
      </c>
      <c r="C112" s="150" t="s">
        <v>43</v>
      </c>
      <c r="D112" s="269">
        <f>1/0.0169*4*0.617*1.1</f>
        <v>160.63905325443793</v>
      </c>
      <c r="E112" s="276">
        <f>E107</f>
        <v>12250.369369369369</v>
      </c>
      <c r="F112" s="153">
        <f>D112*E112</f>
        <v>1967887.7375126614</v>
      </c>
    </row>
    <row r="113" spans="1:6" ht="12.75" customHeight="1">
      <c r="A113" s="227"/>
      <c r="B113" s="145" t="s">
        <v>167</v>
      </c>
      <c r="C113" s="143" t="s">
        <v>43</v>
      </c>
      <c r="D113" s="269">
        <f>1/0.0169*0.4*6.5*0.395*1.1</f>
        <v>66.846153846153868</v>
      </c>
      <c r="E113" s="276">
        <f>Analisa!F72</f>
        <v>11450</v>
      </c>
      <c r="F113" s="153">
        <f>D113*E113</f>
        <v>765388.46153846174</v>
      </c>
    </row>
    <row r="114" spans="1:6" ht="12.75" customHeight="1" thickBot="1">
      <c r="A114" s="227"/>
      <c r="B114" s="145" t="s">
        <v>168</v>
      </c>
      <c r="C114" s="143" t="s">
        <v>53</v>
      </c>
      <c r="D114" s="269">
        <f>1/0.0169*0.52</f>
        <v>30.769230769230774</v>
      </c>
      <c r="E114" s="276">
        <f>E108</f>
        <v>72689.090909090912</v>
      </c>
      <c r="F114" s="154">
        <f>D114*E114</f>
        <v>2236587.4125874131</v>
      </c>
    </row>
    <row r="115" spans="1:6" ht="12.75" customHeight="1">
      <c r="A115" s="227"/>
      <c r="B115" s="159" t="s">
        <v>42</v>
      </c>
      <c r="C115" s="161"/>
      <c r="D115" s="269"/>
      <c r="E115" s="276"/>
      <c r="F115" s="149">
        <f>SUM(F111:F114)</f>
        <v>5921152.0207294449</v>
      </c>
    </row>
    <row r="116" spans="1:6" s="160" customFormat="1" ht="12.75" customHeight="1">
      <c r="A116" s="227">
        <v>18</v>
      </c>
      <c r="B116" s="142" t="s">
        <v>368</v>
      </c>
      <c r="C116" s="143" t="s">
        <v>51</v>
      </c>
      <c r="D116" s="269"/>
      <c r="E116" s="276"/>
      <c r="F116" s="153"/>
    </row>
    <row r="117" spans="1:6" ht="12.75" customHeight="1">
      <c r="A117" s="227"/>
      <c r="B117" s="145" t="s">
        <v>171</v>
      </c>
      <c r="C117" s="143" t="s">
        <v>51</v>
      </c>
      <c r="D117" s="269">
        <v>1</v>
      </c>
      <c r="E117" s="276">
        <f>E111</f>
        <v>951288.40909090906</v>
      </c>
      <c r="F117" s="153">
        <f>D117*E117</f>
        <v>951288.40909090906</v>
      </c>
    </row>
    <row r="118" spans="1:6" ht="12.75" customHeight="1">
      <c r="A118" s="227"/>
      <c r="B118" s="145" t="s">
        <v>167</v>
      </c>
      <c r="C118" s="150" t="s">
        <v>43</v>
      </c>
      <c r="D118" s="269">
        <f>1/0.0225*6*0.395*1.1</f>
        <v>115.86666666666667</v>
      </c>
      <c r="E118" s="276">
        <f>Analisa!F72</f>
        <v>11450</v>
      </c>
      <c r="F118" s="153">
        <f>D118*E118</f>
        <v>1326673.3333333335</v>
      </c>
    </row>
    <row r="119" spans="1:6" ht="12.75" customHeight="1">
      <c r="A119" s="227"/>
      <c r="B119" s="145" t="s">
        <v>172</v>
      </c>
      <c r="C119" s="143" t="s">
        <v>43</v>
      </c>
      <c r="D119" s="269">
        <f>1/0.0225*0.9*6.5*0.395*1.1</f>
        <v>112.97000000000001</v>
      </c>
      <c r="E119" s="276">
        <f>Analisa!F77</f>
        <v>12200.450450450449</v>
      </c>
      <c r="F119" s="153">
        <f>D119*E119</f>
        <v>1378284.8873873875</v>
      </c>
    </row>
    <row r="120" spans="1:6" ht="12.75" customHeight="1" thickBot="1">
      <c r="A120" s="227"/>
      <c r="B120" s="145" t="s">
        <v>168</v>
      </c>
      <c r="C120" s="143" t="s">
        <v>53</v>
      </c>
      <c r="D120" s="269">
        <f>1/0.0225*0.85</f>
        <v>37.777777777777779</v>
      </c>
      <c r="E120" s="276">
        <f>E114</f>
        <v>72689.090909090912</v>
      </c>
      <c r="F120" s="154">
        <f>D120*E120</f>
        <v>2746032.3232323234</v>
      </c>
    </row>
    <row r="121" spans="1:6" ht="12.75" customHeight="1">
      <c r="A121" s="227"/>
      <c r="B121" s="159" t="s">
        <v>42</v>
      </c>
      <c r="C121" s="161"/>
      <c r="D121" s="269"/>
      <c r="E121" s="276"/>
      <c r="F121" s="149">
        <f>SUM(F117:F120)</f>
        <v>6402278.9530439535</v>
      </c>
    </row>
    <row r="122" spans="1:6" ht="12.75" customHeight="1">
      <c r="A122" s="227">
        <v>19</v>
      </c>
      <c r="B122" s="142" t="s">
        <v>327</v>
      </c>
      <c r="C122" s="161" t="s">
        <v>51</v>
      </c>
      <c r="D122" s="269"/>
      <c r="E122" s="276"/>
      <c r="F122" s="153"/>
    </row>
    <row r="123" spans="1:6" ht="12.75" customHeight="1">
      <c r="A123" s="227"/>
      <c r="B123" s="145" t="s">
        <v>165</v>
      </c>
      <c r="C123" s="161" t="s">
        <v>51</v>
      </c>
      <c r="D123" s="269">
        <v>1</v>
      </c>
      <c r="E123" s="276">
        <f>Analisa!F35</f>
        <v>840000</v>
      </c>
      <c r="F123" s="153">
        <f>D123*E123</f>
        <v>840000</v>
      </c>
    </row>
    <row r="124" spans="1:6" ht="12.75" customHeight="1">
      <c r="A124" s="227"/>
      <c r="B124" s="145" t="s">
        <v>169</v>
      </c>
      <c r="C124" s="155" t="s">
        <v>43</v>
      </c>
      <c r="D124" s="269">
        <f>1/0.0169*4*0.617*1.1</f>
        <v>160.63905325443793</v>
      </c>
      <c r="E124" s="276">
        <f>E112</f>
        <v>12250.369369369369</v>
      </c>
      <c r="F124" s="153">
        <f>D124*E124</f>
        <v>1967887.7375126614</v>
      </c>
    </row>
    <row r="125" spans="1:6" ht="12.75" customHeight="1">
      <c r="A125" s="227"/>
      <c r="B125" s="145" t="s">
        <v>167</v>
      </c>
      <c r="C125" s="161" t="s">
        <v>43</v>
      </c>
      <c r="D125" s="269">
        <f>1/0.0169*0.4*10*0.395*1.1</f>
        <v>102.84023668639057</v>
      </c>
      <c r="E125" s="276">
        <f>E118</f>
        <v>11450</v>
      </c>
      <c r="F125" s="153">
        <f>D125*E125</f>
        <v>1177520.710059172</v>
      </c>
    </row>
    <row r="126" spans="1:6" ht="12.75" customHeight="1" thickBot="1">
      <c r="A126" s="227"/>
      <c r="B126" s="145" t="s">
        <v>168</v>
      </c>
      <c r="C126" s="161" t="s">
        <v>53</v>
      </c>
      <c r="D126" s="269">
        <f>1/0.0169*0.52</f>
        <v>30.769230769230774</v>
      </c>
      <c r="E126" s="276">
        <f>Analisa!F60</f>
        <v>105081.59090909091</v>
      </c>
      <c r="F126" s="154">
        <f>D126*E126</f>
        <v>3233279.7202797206</v>
      </c>
    </row>
    <row r="127" spans="1:6" ht="12.75" customHeight="1">
      <c r="A127" s="227"/>
      <c r="B127" s="159" t="s">
        <v>42</v>
      </c>
      <c r="C127" s="161"/>
      <c r="D127" s="269"/>
      <c r="E127" s="276"/>
      <c r="F127" s="149">
        <f>SUM(F123:F126)</f>
        <v>7218688.1678515542</v>
      </c>
    </row>
    <row r="128" spans="1:6" ht="13.5" customHeight="1">
      <c r="A128" s="227">
        <v>20</v>
      </c>
      <c r="B128" s="142" t="s">
        <v>328</v>
      </c>
      <c r="C128" s="161" t="s">
        <v>51</v>
      </c>
      <c r="D128" s="151"/>
      <c r="E128" s="276"/>
      <c r="F128" s="153"/>
    </row>
    <row r="129" spans="1:6" ht="12.75" customHeight="1">
      <c r="A129" s="227"/>
      <c r="B129" s="145" t="s">
        <v>165</v>
      </c>
      <c r="C129" s="161" t="s">
        <v>51</v>
      </c>
      <c r="D129" s="269">
        <v>1</v>
      </c>
      <c r="E129" s="276">
        <f>E123</f>
        <v>840000</v>
      </c>
      <c r="F129" s="153">
        <f>D129*E129</f>
        <v>840000</v>
      </c>
    </row>
    <row r="130" spans="1:6" ht="12.75" customHeight="1">
      <c r="A130" s="227"/>
      <c r="B130" s="145" t="s">
        <v>166</v>
      </c>
      <c r="C130" s="155" t="s">
        <v>43</v>
      </c>
      <c r="D130" s="269">
        <f>1/0.026*4*1.04*1.1</f>
        <v>176</v>
      </c>
      <c r="E130" s="276">
        <f t="shared" ref="E130:E132" si="12">E124</f>
        <v>12250.369369369369</v>
      </c>
      <c r="F130" s="153">
        <f>D130*E130</f>
        <v>2156065.0090090092</v>
      </c>
    </row>
    <row r="131" spans="1:6" ht="12.75" customHeight="1">
      <c r="A131" s="227"/>
      <c r="B131" s="145" t="s">
        <v>167</v>
      </c>
      <c r="C131" s="161" t="s">
        <v>43</v>
      </c>
      <c r="D131" s="269">
        <f>1/0.026*0.5*10*0.395*1.1</f>
        <v>83.557692307692307</v>
      </c>
      <c r="E131" s="276">
        <f t="shared" si="12"/>
        <v>11450</v>
      </c>
      <c r="F131" s="153">
        <f>D131*E131</f>
        <v>956735.57692307688</v>
      </c>
    </row>
    <row r="132" spans="1:6" ht="12.75" customHeight="1" thickBot="1">
      <c r="A132" s="227"/>
      <c r="B132" s="145" t="s">
        <v>168</v>
      </c>
      <c r="C132" s="161" t="s">
        <v>53</v>
      </c>
      <c r="D132" s="269">
        <f>1/0.026*0.66</f>
        <v>25.384615384615383</v>
      </c>
      <c r="E132" s="276">
        <f t="shared" si="12"/>
        <v>105081.59090909091</v>
      </c>
      <c r="F132" s="154">
        <f>D132*E132</f>
        <v>2667455.769230769</v>
      </c>
    </row>
    <row r="133" spans="1:6" ht="12.6" customHeight="1">
      <c r="A133" s="227"/>
      <c r="B133" s="159" t="s">
        <v>42</v>
      </c>
      <c r="C133" s="143"/>
      <c r="D133" s="269"/>
      <c r="E133" s="276"/>
      <c r="F133" s="149">
        <f>SUM(F129:F132)</f>
        <v>6620256.3551628552</v>
      </c>
    </row>
    <row r="134" spans="1:6" ht="13.5" customHeight="1">
      <c r="A134" s="227">
        <v>21</v>
      </c>
      <c r="B134" s="142" t="s">
        <v>329</v>
      </c>
      <c r="C134" s="161" t="s">
        <v>51</v>
      </c>
      <c r="D134" s="151"/>
      <c r="E134" s="276"/>
      <c r="F134" s="153"/>
    </row>
    <row r="135" spans="1:6" ht="12.75" customHeight="1">
      <c r="A135" s="227"/>
      <c r="B135" s="145" t="s">
        <v>165</v>
      </c>
      <c r="C135" s="161" t="s">
        <v>51</v>
      </c>
      <c r="D135" s="269">
        <v>1</v>
      </c>
      <c r="E135" s="276">
        <f>E129</f>
        <v>840000</v>
      </c>
      <c r="F135" s="153">
        <f>D135*E135</f>
        <v>840000</v>
      </c>
    </row>
    <row r="136" spans="1:6" ht="12.75" customHeight="1">
      <c r="A136" s="227"/>
      <c r="B136" s="145" t="s">
        <v>166</v>
      </c>
      <c r="C136" s="155" t="s">
        <v>43</v>
      </c>
      <c r="D136" s="269">
        <f>1/0.039*4*1.04*1.15</f>
        <v>122.66666666666666</v>
      </c>
      <c r="E136" s="276">
        <f>E130</f>
        <v>12250.369369369369</v>
      </c>
      <c r="F136" s="153">
        <f>D136*E136</f>
        <v>1502711.9759759759</v>
      </c>
    </row>
    <row r="137" spans="1:6" ht="12.75" customHeight="1">
      <c r="A137" s="227"/>
      <c r="B137" s="145" t="s">
        <v>167</v>
      </c>
      <c r="C137" s="161" t="s">
        <v>43</v>
      </c>
      <c r="D137" s="269">
        <f>1/0.039*0.7*10*0.395*1.1</f>
        <v>77.987179487179503</v>
      </c>
      <c r="E137" s="276">
        <f>E72</f>
        <v>11450</v>
      </c>
      <c r="F137" s="153">
        <f>D137*E137</f>
        <v>892953.20512820536</v>
      </c>
    </row>
    <row r="138" spans="1:6" ht="12.75" customHeight="1" thickBot="1">
      <c r="A138" s="227"/>
      <c r="B138" s="145" t="s">
        <v>168</v>
      </c>
      <c r="C138" s="161" t="s">
        <v>53</v>
      </c>
      <c r="D138" s="269">
        <f>1/0.039*0.86</f>
        <v>22.051282051282051</v>
      </c>
      <c r="E138" s="276">
        <f>E132</f>
        <v>105081.59090909091</v>
      </c>
      <c r="F138" s="154">
        <f>D138*E138</f>
        <v>2317183.7995337998</v>
      </c>
    </row>
    <row r="139" spans="1:6" ht="12.6" customHeight="1">
      <c r="A139" s="227"/>
      <c r="B139" s="159" t="s">
        <v>42</v>
      </c>
      <c r="C139" s="143"/>
      <c r="D139" s="269"/>
      <c r="E139" s="276"/>
      <c r="F139" s="149">
        <f>SUM(F135:F138)</f>
        <v>5552848.9806379806</v>
      </c>
    </row>
    <row r="140" spans="1:6" ht="12.75" customHeight="1">
      <c r="A140" s="227">
        <v>22</v>
      </c>
      <c r="B140" s="142" t="s">
        <v>330</v>
      </c>
      <c r="C140" s="161" t="s">
        <v>51</v>
      </c>
      <c r="D140" s="269"/>
      <c r="E140" s="276"/>
      <c r="F140" s="153"/>
    </row>
    <row r="141" spans="1:6" ht="12.75" customHeight="1">
      <c r="A141" s="227"/>
      <c r="B141" s="145" t="s">
        <v>165</v>
      </c>
      <c r="C141" s="161" t="s">
        <v>51</v>
      </c>
      <c r="D141" s="269">
        <v>1</v>
      </c>
      <c r="E141" s="276">
        <f>E135</f>
        <v>840000</v>
      </c>
      <c r="F141" s="153">
        <f>D141*E141</f>
        <v>840000</v>
      </c>
    </row>
    <row r="142" spans="1:6" ht="12.75" customHeight="1">
      <c r="A142" s="227"/>
      <c r="B142" s="145" t="s">
        <v>166</v>
      </c>
      <c r="C142" s="155" t="s">
        <v>43</v>
      </c>
      <c r="D142" s="269">
        <f>1/0.052*6*1.04*1.15</f>
        <v>138</v>
      </c>
      <c r="E142" s="276">
        <f t="shared" ref="E142:E144" si="13">E136</f>
        <v>12250.369369369369</v>
      </c>
      <c r="F142" s="153">
        <f>D142*E142</f>
        <v>1690550.972972973</v>
      </c>
    </row>
    <row r="143" spans="1:6" ht="12.75" customHeight="1">
      <c r="A143" s="227"/>
      <c r="B143" s="145" t="s">
        <v>167</v>
      </c>
      <c r="C143" s="161" t="s">
        <v>43</v>
      </c>
      <c r="D143" s="269">
        <f>1/0.052*0.9*10*0.395*1.1</f>
        <v>75.20192307692308</v>
      </c>
      <c r="E143" s="276">
        <f t="shared" si="13"/>
        <v>11450</v>
      </c>
      <c r="F143" s="153">
        <f>D143*E143</f>
        <v>861062.01923076925</v>
      </c>
    </row>
    <row r="144" spans="1:6" ht="12.75" customHeight="1" thickBot="1">
      <c r="A144" s="228"/>
      <c r="B144" s="145" t="s">
        <v>168</v>
      </c>
      <c r="C144" s="161" t="s">
        <v>53</v>
      </c>
      <c r="D144" s="269">
        <f>1/0.052*1.06</f>
        <v>20.384615384615383</v>
      </c>
      <c r="E144" s="276">
        <f t="shared" si="13"/>
        <v>105081.59090909091</v>
      </c>
      <c r="F144" s="154">
        <f>D144*E144</f>
        <v>2142047.8146853144</v>
      </c>
    </row>
    <row r="145" spans="1:6" ht="12.75" customHeight="1">
      <c r="A145" s="227"/>
      <c r="B145" s="159" t="s">
        <v>42</v>
      </c>
      <c r="C145" s="143"/>
      <c r="D145" s="269"/>
      <c r="E145" s="276"/>
      <c r="F145" s="149">
        <f>SUM(F141:F144)</f>
        <v>5533660.8068890572</v>
      </c>
    </row>
    <row r="146" spans="1:6" ht="12.75" customHeight="1">
      <c r="A146" s="227">
        <v>23</v>
      </c>
      <c r="B146" s="142" t="s">
        <v>331</v>
      </c>
      <c r="C146" s="161" t="s">
        <v>51</v>
      </c>
      <c r="D146" s="269"/>
      <c r="E146" s="276"/>
      <c r="F146" s="153"/>
    </row>
    <row r="147" spans="1:6" ht="12.75" customHeight="1">
      <c r="A147" s="227"/>
      <c r="B147" s="145" t="s">
        <v>165</v>
      </c>
      <c r="C147" s="161" t="s">
        <v>51</v>
      </c>
      <c r="D147" s="269">
        <v>1</v>
      </c>
      <c r="E147" s="276">
        <f>E141</f>
        <v>840000</v>
      </c>
      <c r="F147" s="153">
        <f>D147*E147</f>
        <v>840000</v>
      </c>
    </row>
    <row r="148" spans="1:6" ht="12.75" customHeight="1">
      <c r="A148" s="227"/>
      <c r="B148" s="145" t="s">
        <v>166</v>
      </c>
      <c r="C148" s="155" t="s">
        <v>43</v>
      </c>
      <c r="D148" s="269">
        <f>1/0.065*6*1.04*1.15</f>
        <v>110.39999999999998</v>
      </c>
      <c r="E148" s="276">
        <f t="shared" ref="E148:E150" si="14">E142</f>
        <v>12250.369369369369</v>
      </c>
      <c r="F148" s="153">
        <f>D148*E148</f>
        <v>1352440.7783783781</v>
      </c>
    </row>
    <row r="149" spans="1:6" ht="12.75" customHeight="1">
      <c r="A149" s="227"/>
      <c r="B149" s="145" t="s">
        <v>167</v>
      </c>
      <c r="C149" s="161" t="s">
        <v>43</v>
      </c>
      <c r="D149" s="269">
        <f>1/0.065*1.1*10*0.395*1.1</f>
        <v>73.530769230769252</v>
      </c>
      <c r="E149" s="276">
        <f t="shared" si="14"/>
        <v>11450</v>
      </c>
      <c r="F149" s="153">
        <f>D149*E149</f>
        <v>841927.30769230798</v>
      </c>
    </row>
    <row r="150" spans="1:6" ht="12.75" customHeight="1" thickBot="1">
      <c r="A150" s="228"/>
      <c r="B150" s="145" t="s">
        <v>168</v>
      </c>
      <c r="C150" s="161" t="s">
        <v>53</v>
      </c>
      <c r="D150" s="269">
        <f>1/0.065*1.26</f>
        <v>19.384615384615383</v>
      </c>
      <c r="E150" s="276">
        <f t="shared" si="14"/>
        <v>105081.59090909091</v>
      </c>
      <c r="F150" s="154">
        <f>D150*E150</f>
        <v>2036966.2237762236</v>
      </c>
    </row>
    <row r="151" spans="1:6" ht="12.75" customHeight="1">
      <c r="A151" s="227"/>
      <c r="B151" s="159" t="s">
        <v>42</v>
      </c>
      <c r="C151" s="143"/>
      <c r="D151" s="269"/>
      <c r="E151" s="276"/>
      <c r="F151" s="149">
        <f>SUM(F147:F150)</f>
        <v>5071334.3098469097</v>
      </c>
    </row>
    <row r="152" spans="1:6" ht="12.75" customHeight="1">
      <c r="A152" s="227">
        <v>24</v>
      </c>
      <c r="B152" s="142" t="s">
        <v>332</v>
      </c>
      <c r="C152" s="161" t="s">
        <v>51</v>
      </c>
      <c r="D152" s="269"/>
      <c r="E152" s="276"/>
      <c r="F152" s="153"/>
    </row>
    <row r="153" spans="1:6" ht="12.75" customHeight="1">
      <c r="A153" s="227"/>
      <c r="B153" s="145" t="s">
        <v>165</v>
      </c>
      <c r="C153" s="161" t="s">
        <v>51</v>
      </c>
      <c r="D153" s="269">
        <v>1</v>
      </c>
      <c r="E153" s="276">
        <f>E147</f>
        <v>840000</v>
      </c>
      <c r="F153" s="153">
        <f>D153*E153</f>
        <v>840000</v>
      </c>
    </row>
    <row r="154" spans="1:6" ht="12.75" customHeight="1">
      <c r="A154" s="227"/>
      <c r="B154" s="145" t="s">
        <v>166</v>
      </c>
      <c r="C154" s="155" t="s">
        <v>43</v>
      </c>
      <c r="D154" s="269">
        <f>1/0.078*8*1.04*1.15</f>
        <v>122.66666666666666</v>
      </c>
      <c r="E154" s="276">
        <f t="shared" ref="E154:E156" si="15">E148</f>
        <v>12250.369369369369</v>
      </c>
      <c r="F154" s="153">
        <f>D154*E154</f>
        <v>1502711.9759759759</v>
      </c>
    </row>
    <row r="155" spans="1:6" ht="12.75" customHeight="1">
      <c r="A155" s="227"/>
      <c r="B155" s="145" t="s">
        <v>167</v>
      </c>
      <c r="C155" s="161" t="s">
        <v>43</v>
      </c>
      <c r="D155" s="269">
        <f>1/0.078*1.3*10*0.395*1.1</f>
        <v>72.416666666666686</v>
      </c>
      <c r="E155" s="276">
        <f t="shared" si="15"/>
        <v>11450</v>
      </c>
      <c r="F155" s="153">
        <f>D155*E155</f>
        <v>829170.8333333336</v>
      </c>
    </row>
    <row r="156" spans="1:6" ht="12.75" customHeight="1" thickBot="1">
      <c r="A156" s="228"/>
      <c r="B156" s="145" t="s">
        <v>168</v>
      </c>
      <c r="C156" s="161" t="s">
        <v>53</v>
      </c>
      <c r="D156" s="269">
        <f>1/0.078*1.46</f>
        <v>18.717948717948719</v>
      </c>
      <c r="E156" s="276">
        <f t="shared" si="15"/>
        <v>105081.59090909091</v>
      </c>
      <c r="F156" s="154">
        <f>D156*E156</f>
        <v>1966911.82983683</v>
      </c>
    </row>
    <row r="157" spans="1:6" ht="12.75" customHeight="1">
      <c r="A157" s="227"/>
      <c r="B157" s="159" t="s">
        <v>42</v>
      </c>
      <c r="C157" s="143"/>
      <c r="D157" s="269"/>
      <c r="E157" s="276"/>
      <c r="F157" s="149">
        <f>SUM(F153:F156)</f>
        <v>5138794.6391461398</v>
      </c>
    </row>
    <row r="158" spans="1:6" ht="12.75" customHeight="1">
      <c r="A158" s="227">
        <v>25</v>
      </c>
      <c r="B158" s="142" t="s">
        <v>336</v>
      </c>
      <c r="C158" s="161" t="s">
        <v>51</v>
      </c>
      <c r="D158" s="269"/>
      <c r="E158" s="276"/>
      <c r="F158" s="153"/>
    </row>
    <row r="159" spans="1:6" ht="12.75" customHeight="1">
      <c r="A159" s="227"/>
      <c r="B159" s="145" t="s">
        <v>165</v>
      </c>
      <c r="C159" s="161" t="s">
        <v>51</v>
      </c>
      <c r="D159" s="269">
        <v>1</v>
      </c>
      <c r="E159" s="276">
        <f>E153</f>
        <v>840000</v>
      </c>
      <c r="F159" s="153">
        <f>D159*E159</f>
        <v>840000</v>
      </c>
    </row>
    <row r="160" spans="1:6" ht="12.75" customHeight="1">
      <c r="A160" s="227"/>
      <c r="B160" s="145" t="s">
        <v>166</v>
      </c>
      <c r="C160" s="155" t="s">
        <v>43</v>
      </c>
      <c r="D160" s="269">
        <f>1/0.091*8*1.04*1.15</f>
        <v>105.14285714285714</v>
      </c>
      <c r="E160" s="276">
        <f t="shared" ref="E160:E162" si="16">E154</f>
        <v>12250.369369369369</v>
      </c>
      <c r="F160" s="153">
        <f>D160*E160</f>
        <v>1288038.8365508365</v>
      </c>
    </row>
    <row r="161" spans="1:6" ht="12.75" customHeight="1">
      <c r="A161" s="227"/>
      <c r="B161" s="145" t="s">
        <v>167</v>
      </c>
      <c r="C161" s="161" t="s">
        <v>43</v>
      </c>
      <c r="D161" s="269">
        <f>1/0.091*1.5*10*0.395*1.1</f>
        <v>71.620879120879124</v>
      </c>
      <c r="E161" s="276">
        <f t="shared" si="16"/>
        <v>11450</v>
      </c>
      <c r="F161" s="153">
        <f>D161*E161</f>
        <v>820059.06593406596</v>
      </c>
    </row>
    <row r="162" spans="1:6" ht="12.75" customHeight="1" thickBot="1">
      <c r="A162" s="228"/>
      <c r="B162" s="145" t="s">
        <v>168</v>
      </c>
      <c r="C162" s="161" t="s">
        <v>53</v>
      </c>
      <c r="D162" s="269">
        <f>1/0.091*1.66</f>
        <v>18.241758241758241</v>
      </c>
      <c r="E162" s="276">
        <f t="shared" si="16"/>
        <v>105081.59090909091</v>
      </c>
      <c r="F162" s="154">
        <f>D162*E162</f>
        <v>1916872.9770229771</v>
      </c>
    </row>
    <row r="163" spans="1:6" ht="12.75" customHeight="1">
      <c r="A163" s="227"/>
      <c r="B163" s="159" t="s">
        <v>42</v>
      </c>
      <c r="C163" s="143"/>
      <c r="D163" s="269"/>
      <c r="E163" s="276"/>
      <c r="F163" s="149">
        <f>SUM(F159:F162)</f>
        <v>4864970.8795078788</v>
      </c>
    </row>
    <row r="164" spans="1:6" ht="12.75" customHeight="1">
      <c r="A164" s="227">
        <v>26</v>
      </c>
      <c r="B164" s="142" t="s">
        <v>335</v>
      </c>
      <c r="C164" s="161" t="s">
        <v>51</v>
      </c>
      <c r="D164" s="269"/>
      <c r="E164" s="276"/>
      <c r="F164" s="153"/>
    </row>
    <row r="165" spans="1:6" ht="12.75" customHeight="1">
      <c r="A165" s="227"/>
      <c r="B165" s="145" t="s">
        <v>165</v>
      </c>
      <c r="C165" s="161" t="s">
        <v>51</v>
      </c>
      <c r="D165" s="269">
        <v>1</v>
      </c>
      <c r="E165" s="276">
        <f>E159</f>
        <v>840000</v>
      </c>
      <c r="F165" s="153">
        <f>D165*E165</f>
        <v>840000</v>
      </c>
    </row>
    <row r="166" spans="1:6" ht="12.75" customHeight="1">
      <c r="A166" s="227"/>
      <c r="B166" s="145" t="s">
        <v>166</v>
      </c>
      <c r="C166" s="155" t="s">
        <v>43</v>
      </c>
      <c r="D166" s="269">
        <f>1/0.104*10*1.04*1.2</f>
        <v>120</v>
      </c>
      <c r="E166" s="276">
        <f t="shared" ref="E166:E168" si="17">E160</f>
        <v>12250.369369369369</v>
      </c>
      <c r="F166" s="153">
        <f>D166*E166</f>
        <v>1470044.3243243243</v>
      </c>
    </row>
    <row r="167" spans="1:6" ht="12.75" customHeight="1">
      <c r="A167" s="227"/>
      <c r="B167" s="145" t="s">
        <v>167</v>
      </c>
      <c r="C167" s="161" t="s">
        <v>43</v>
      </c>
      <c r="D167" s="269">
        <f>1/0.104*1.7*10*0.395*1.1</f>
        <v>71.024038461538467</v>
      </c>
      <c r="E167" s="276">
        <f t="shared" si="17"/>
        <v>11450</v>
      </c>
      <c r="F167" s="153">
        <f>D167*E167</f>
        <v>813225.24038461549</v>
      </c>
    </row>
    <row r="168" spans="1:6" ht="12.75" customHeight="1" thickBot="1">
      <c r="A168" s="228"/>
      <c r="B168" s="145" t="s">
        <v>168</v>
      </c>
      <c r="C168" s="161" t="s">
        <v>53</v>
      </c>
      <c r="D168" s="269">
        <f>1/0.104*1.86</f>
        <v>17.884615384615383</v>
      </c>
      <c r="E168" s="276">
        <f t="shared" si="17"/>
        <v>105081.59090909091</v>
      </c>
      <c r="F168" s="154">
        <f>D168*E168</f>
        <v>1879343.8374125874</v>
      </c>
    </row>
    <row r="169" spans="1:6" ht="12.75" customHeight="1">
      <c r="A169" s="227"/>
      <c r="B169" s="159" t="s">
        <v>42</v>
      </c>
      <c r="C169" s="143"/>
      <c r="D169" s="269"/>
      <c r="E169" s="276"/>
      <c r="F169" s="149">
        <f>SUM(F165:F168)</f>
        <v>5002613.4021215271</v>
      </c>
    </row>
    <row r="170" spans="1:6" ht="12.75" customHeight="1">
      <c r="A170" s="227">
        <v>27</v>
      </c>
      <c r="B170" s="142" t="s">
        <v>334</v>
      </c>
      <c r="C170" s="161" t="s">
        <v>51</v>
      </c>
      <c r="D170" s="269"/>
      <c r="E170" s="276"/>
      <c r="F170" s="153"/>
    </row>
    <row r="171" spans="1:6" ht="12.75" customHeight="1">
      <c r="A171" s="227"/>
      <c r="B171" s="145" t="s">
        <v>165</v>
      </c>
      <c r="C171" s="161" t="s">
        <v>51</v>
      </c>
      <c r="D171" s="269">
        <v>1</v>
      </c>
      <c r="E171" s="276">
        <f>E165</f>
        <v>840000</v>
      </c>
      <c r="F171" s="153">
        <f>D171*E171</f>
        <v>840000</v>
      </c>
    </row>
    <row r="172" spans="1:6" ht="12.75" customHeight="1">
      <c r="A172" s="227"/>
      <c r="B172" s="145" t="s">
        <v>166</v>
      </c>
      <c r="C172" s="155" t="s">
        <v>43</v>
      </c>
      <c r="D172" s="269">
        <f>1/0.117*12*1.04*1.2</f>
        <v>128</v>
      </c>
      <c r="E172" s="276">
        <f t="shared" ref="E172:E174" si="18">E166</f>
        <v>12250.369369369369</v>
      </c>
      <c r="F172" s="153">
        <f>D172*E172</f>
        <v>1568047.2792792793</v>
      </c>
    </row>
    <row r="173" spans="1:6" ht="12.75" customHeight="1">
      <c r="A173" s="227"/>
      <c r="B173" s="145" t="s">
        <v>167</v>
      </c>
      <c r="C173" s="161" t="s">
        <v>43</v>
      </c>
      <c r="D173" s="269">
        <f>1/0.117*2.05*10*0.395*1.1</f>
        <v>76.130341880341874</v>
      </c>
      <c r="E173" s="276">
        <f t="shared" si="18"/>
        <v>11450</v>
      </c>
      <c r="F173" s="153">
        <f>D173*E173</f>
        <v>871692.4145299145</v>
      </c>
    </row>
    <row r="174" spans="1:6" ht="12.75" customHeight="1" thickBot="1">
      <c r="A174" s="228"/>
      <c r="B174" s="145" t="s">
        <v>168</v>
      </c>
      <c r="C174" s="161" t="s">
        <v>53</v>
      </c>
      <c r="D174" s="269">
        <f>1/0.117*2.06</f>
        <v>17.606837606837608</v>
      </c>
      <c r="E174" s="276">
        <f t="shared" si="18"/>
        <v>105081.59090909091</v>
      </c>
      <c r="F174" s="154">
        <f>D174*E174</f>
        <v>1850154.5066045069</v>
      </c>
    </row>
    <row r="175" spans="1:6" ht="12.75" customHeight="1">
      <c r="A175" s="227"/>
      <c r="B175" s="159" t="s">
        <v>42</v>
      </c>
      <c r="C175" s="143"/>
      <c r="D175" s="269"/>
      <c r="E175" s="276"/>
      <c r="F175" s="149">
        <f>SUM(F171:F174)</f>
        <v>5129894.2004137011</v>
      </c>
    </row>
    <row r="176" spans="1:6" ht="12.75" customHeight="1">
      <c r="A176" s="227">
        <v>28</v>
      </c>
      <c r="B176" s="142" t="s">
        <v>333</v>
      </c>
      <c r="C176" s="161" t="s">
        <v>51</v>
      </c>
      <c r="D176" s="269"/>
      <c r="E176" s="276"/>
      <c r="F176" s="153"/>
    </row>
    <row r="177" spans="1:8" ht="12.75" customHeight="1">
      <c r="A177" s="227"/>
      <c r="B177" s="145" t="s">
        <v>165</v>
      </c>
      <c r="C177" s="161" t="s">
        <v>51</v>
      </c>
      <c r="D177" s="269">
        <v>1</v>
      </c>
      <c r="E177" s="276">
        <f>E165</f>
        <v>840000</v>
      </c>
      <c r="F177" s="153">
        <f>D177*E177</f>
        <v>840000</v>
      </c>
    </row>
    <row r="178" spans="1:8" ht="12.75" customHeight="1">
      <c r="A178" s="227"/>
      <c r="B178" s="145" t="s">
        <v>166</v>
      </c>
      <c r="C178" s="155" t="s">
        <v>43</v>
      </c>
      <c r="D178" s="269">
        <f>1/0.135*12*1.04*1.2</f>
        <v>110.93333333333332</v>
      </c>
      <c r="E178" s="276">
        <f>E166</f>
        <v>12250.369369369369</v>
      </c>
      <c r="F178" s="153">
        <f>D178*E178</f>
        <v>1358974.3087087085</v>
      </c>
    </row>
    <row r="179" spans="1:8" ht="12.75" customHeight="1">
      <c r="A179" s="227"/>
      <c r="B179" s="145" t="s">
        <v>167</v>
      </c>
      <c r="C179" s="161" t="s">
        <v>43</v>
      </c>
      <c r="D179" s="269">
        <f>1/0.117*2.15*10*0.395*1.1</f>
        <v>79.84401709401709</v>
      </c>
      <c r="E179" s="276">
        <f>E167</f>
        <v>11450</v>
      </c>
      <c r="F179" s="153">
        <f>D179*E179</f>
        <v>914213.99572649563</v>
      </c>
    </row>
    <row r="180" spans="1:8" ht="12.75" customHeight="1" thickBot="1">
      <c r="A180" s="228"/>
      <c r="B180" s="145" t="s">
        <v>168</v>
      </c>
      <c r="C180" s="161" t="s">
        <v>53</v>
      </c>
      <c r="D180" s="269">
        <f>1/0.117*2.1</f>
        <v>17.948717948717949</v>
      </c>
      <c r="E180" s="276">
        <f>E168</f>
        <v>105081.59090909091</v>
      </c>
      <c r="F180" s="154">
        <f>D180*E180</f>
        <v>1886079.8368298369</v>
      </c>
    </row>
    <row r="181" spans="1:8" ht="12.75" customHeight="1">
      <c r="A181" s="227"/>
      <c r="B181" s="159" t="s">
        <v>42</v>
      </c>
      <c r="C181" s="143"/>
      <c r="D181" s="269"/>
      <c r="E181" s="276"/>
      <c r="F181" s="149">
        <f>SUM(F177:F180)</f>
        <v>4999268.1412650412</v>
      </c>
    </row>
    <row r="182" spans="1:8" ht="12.75" customHeight="1">
      <c r="A182" s="227">
        <v>29</v>
      </c>
      <c r="B182" s="142" t="s">
        <v>337</v>
      </c>
      <c r="C182" s="161" t="s">
        <v>51</v>
      </c>
      <c r="D182" s="269"/>
      <c r="E182" s="276"/>
      <c r="F182" s="153"/>
    </row>
    <row r="183" spans="1:8" ht="12.75" customHeight="1">
      <c r="A183" s="227"/>
      <c r="B183" s="145" t="s">
        <v>165</v>
      </c>
      <c r="C183" s="161" t="s">
        <v>51</v>
      </c>
      <c r="D183" s="269">
        <v>1</v>
      </c>
      <c r="E183" s="276">
        <f>E177</f>
        <v>840000</v>
      </c>
      <c r="F183" s="153">
        <f>D183*E183</f>
        <v>840000</v>
      </c>
    </row>
    <row r="184" spans="1:8" ht="12.75" customHeight="1">
      <c r="A184" s="227"/>
      <c r="B184" s="145" t="s">
        <v>166</v>
      </c>
      <c r="C184" s="155" t="s">
        <v>43</v>
      </c>
      <c r="D184" s="269">
        <f>1/0.069*10*1.04*1.2</f>
        <v>180.86956521739128</v>
      </c>
      <c r="E184" s="276">
        <f t="shared" ref="E184:E186" si="19">E178</f>
        <v>12250.369369369369</v>
      </c>
      <c r="F184" s="153">
        <f>D184*E184</f>
        <v>2215718.9815902859</v>
      </c>
    </row>
    <row r="185" spans="1:8" ht="12.75" customHeight="1">
      <c r="A185" s="227"/>
      <c r="B185" s="145" t="s">
        <v>167</v>
      </c>
      <c r="C185" s="161" t="s">
        <v>43</v>
      </c>
      <c r="D185" s="269">
        <f>1/0.069*1.6*10*0.395*1.1</f>
        <v>100.75362318840581</v>
      </c>
      <c r="E185" s="276">
        <f t="shared" si="19"/>
        <v>11450</v>
      </c>
      <c r="F185" s="153">
        <f>D185*E185</f>
        <v>1153628.9855072466</v>
      </c>
    </row>
    <row r="186" spans="1:8" ht="12.75" customHeight="1" thickBot="1">
      <c r="A186" s="228"/>
      <c r="B186" s="145" t="s">
        <v>168</v>
      </c>
      <c r="C186" s="161" t="s">
        <v>53</v>
      </c>
      <c r="D186" s="269">
        <f>1/0.069*1.32</f>
        <v>19.130434782608695</v>
      </c>
      <c r="E186" s="276">
        <f t="shared" si="19"/>
        <v>105081.59090909091</v>
      </c>
      <c r="F186" s="154">
        <f>D186*E186</f>
        <v>2010256.5217391304</v>
      </c>
    </row>
    <row r="187" spans="1:8" ht="12.75" customHeight="1">
      <c r="A187" s="227"/>
      <c r="B187" s="159" t="s">
        <v>42</v>
      </c>
      <c r="C187" s="143"/>
      <c r="D187" s="269"/>
      <c r="E187" s="276"/>
      <c r="F187" s="149">
        <f>SUM(F183:F186)</f>
        <v>6219604.4888366628</v>
      </c>
    </row>
    <row r="188" spans="1:8" ht="12.75" customHeight="1">
      <c r="A188" s="227">
        <v>30</v>
      </c>
      <c r="B188" s="142" t="s">
        <v>338</v>
      </c>
      <c r="C188" s="161" t="s">
        <v>51</v>
      </c>
      <c r="D188" s="269"/>
      <c r="E188" s="276"/>
      <c r="F188" s="153"/>
      <c r="H188" s="418"/>
    </row>
    <row r="189" spans="1:8" ht="12.75" customHeight="1">
      <c r="A189" s="227"/>
      <c r="B189" s="145" t="s">
        <v>165</v>
      </c>
      <c r="C189" s="161" t="s">
        <v>51</v>
      </c>
      <c r="D189" s="269">
        <v>1</v>
      </c>
      <c r="E189" s="276">
        <f>E177</f>
        <v>840000</v>
      </c>
      <c r="F189" s="153">
        <f>D189*E189</f>
        <v>840000</v>
      </c>
    </row>
    <row r="190" spans="1:8" ht="12.75" customHeight="1">
      <c r="A190" s="227"/>
      <c r="B190" s="145" t="s">
        <v>166</v>
      </c>
      <c r="C190" s="155" t="s">
        <v>43</v>
      </c>
      <c r="D190" s="269">
        <f>1/0.12*16*1.04*1.2</f>
        <v>166.4</v>
      </c>
      <c r="E190" s="276">
        <f>E178</f>
        <v>12250.369369369369</v>
      </c>
      <c r="F190" s="153">
        <f>D190*E190</f>
        <v>2038461.4630630631</v>
      </c>
    </row>
    <row r="191" spans="1:8" ht="12.75" customHeight="1">
      <c r="A191" s="227"/>
      <c r="B191" s="145" t="s">
        <v>167</v>
      </c>
      <c r="C191" s="161" t="s">
        <v>43</v>
      </c>
      <c r="D191" s="269">
        <f>1/0.12*2.4*10*0.395*1.1</f>
        <v>86.9</v>
      </c>
      <c r="E191" s="276">
        <f>E179</f>
        <v>11450</v>
      </c>
      <c r="F191" s="153">
        <f>D191*E191</f>
        <v>995005.00000000012</v>
      </c>
    </row>
    <row r="192" spans="1:8" ht="12.75" customHeight="1" thickBot="1">
      <c r="A192" s="228"/>
      <c r="B192" s="145" t="s">
        <v>168</v>
      </c>
      <c r="C192" s="161" t="s">
        <v>53</v>
      </c>
      <c r="D192" s="269">
        <f>1/0.12*2.1</f>
        <v>17.500000000000004</v>
      </c>
      <c r="E192" s="276">
        <f>E180</f>
        <v>105081.59090909091</v>
      </c>
      <c r="F192" s="154">
        <f>D192*E192</f>
        <v>1838927.8409090913</v>
      </c>
    </row>
    <row r="193" spans="1:6" ht="12.75" customHeight="1">
      <c r="A193" s="227"/>
      <c r="B193" s="159" t="s">
        <v>42</v>
      </c>
      <c r="C193" s="143"/>
      <c r="D193" s="269"/>
      <c r="E193" s="276"/>
      <c r="F193" s="149">
        <f>SUM(F189:F192)</f>
        <v>5712394.3039721549</v>
      </c>
    </row>
    <row r="194" spans="1:6" ht="12.75" customHeight="1">
      <c r="A194" s="227">
        <v>31</v>
      </c>
      <c r="B194" s="142" t="s">
        <v>700</v>
      </c>
      <c r="C194" s="161" t="s">
        <v>51</v>
      </c>
      <c r="D194" s="269"/>
      <c r="E194" s="276"/>
      <c r="F194" s="153"/>
    </row>
    <row r="195" spans="1:6" ht="12.75" customHeight="1">
      <c r="A195" s="227"/>
      <c r="B195" s="145" t="s">
        <v>165</v>
      </c>
      <c r="C195" s="161" t="s">
        <v>51</v>
      </c>
      <c r="D195" s="269">
        <v>1</v>
      </c>
      <c r="E195" s="276">
        <f>E183</f>
        <v>840000</v>
      </c>
      <c r="F195" s="153">
        <f>D195*E195</f>
        <v>840000</v>
      </c>
    </row>
    <row r="196" spans="1:6" ht="12.75" customHeight="1">
      <c r="A196" s="227"/>
      <c r="B196" s="145" t="s">
        <v>166</v>
      </c>
      <c r="C196" s="155" t="s">
        <v>43</v>
      </c>
      <c r="D196" s="269">
        <f>1/0.0625*4*1.04*1.2</f>
        <v>79.872</v>
      </c>
      <c r="E196" s="276">
        <f>E184</f>
        <v>12250.369369369369</v>
      </c>
      <c r="F196" s="153">
        <f>D196*E196</f>
        <v>978461.50227027026</v>
      </c>
    </row>
    <row r="197" spans="1:6" ht="12.75" customHeight="1">
      <c r="A197" s="227"/>
      <c r="B197" s="145" t="s">
        <v>167</v>
      </c>
      <c r="C197" s="161" t="s">
        <v>43</v>
      </c>
      <c r="D197" s="269">
        <f>1/0.0625*1*6.5*0.395*1.1</f>
        <v>45.188000000000002</v>
      </c>
      <c r="E197" s="276">
        <f>E185</f>
        <v>11450</v>
      </c>
      <c r="F197" s="153">
        <f>D197*E197</f>
        <v>517402.60000000003</v>
      </c>
    </row>
    <row r="198" spans="1:6" ht="12.75" customHeight="1" thickBot="1">
      <c r="A198" s="228"/>
      <c r="B198" s="145" t="s">
        <v>168</v>
      </c>
      <c r="C198" s="161" t="s">
        <v>53</v>
      </c>
      <c r="D198" s="269">
        <f>1/0.0625*1</f>
        <v>16</v>
      </c>
      <c r="E198" s="276">
        <f>E186</f>
        <v>105081.59090909091</v>
      </c>
      <c r="F198" s="154">
        <f>D198*E198</f>
        <v>1681305.4545454546</v>
      </c>
    </row>
    <row r="199" spans="1:6" ht="12.75" customHeight="1">
      <c r="A199" s="227"/>
      <c r="B199" s="159" t="s">
        <v>42</v>
      </c>
      <c r="C199" s="143"/>
      <c r="D199" s="269"/>
      <c r="E199" s="276"/>
      <c r="F199" s="149">
        <f>SUM(F195:F198)</f>
        <v>4017169.5568157248</v>
      </c>
    </row>
    <row r="200" spans="1:6" ht="12.75" customHeight="1">
      <c r="A200" s="227">
        <v>32</v>
      </c>
      <c r="B200" s="229" t="s">
        <v>369</v>
      </c>
      <c r="C200" s="161" t="s">
        <v>51</v>
      </c>
      <c r="D200" s="269"/>
      <c r="E200" s="276"/>
      <c r="F200" s="158"/>
    </row>
    <row r="201" spans="1:6" ht="12.75" customHeight="1">
      <c r="A201" s="227"/>
      <c r="B201" s="145" t="s">
        <v>165</v>
      </c>
      <c r="C201" s="161" t="s">
        <v>51</v>
      </c>
      <c r="D201" s="269">
        <v>1</v>
      </c>
      <c r="E201" s="276">
        <f>E165</f>
        <v>840000</v>
      </c>
      <c r="F201" s="153">
        <f>D201*E201</f>
        <v>840000</v>
      </c>
    </row>
    <row r="202" spans="1:6" ht="12.75" customHeight="1">
      <c r="A202" s="227"/>
      <c r="B202" s="145" t="s">
        <v>167</v>
      </c>
      <c r="C202" s="155" t="s">
        <v>43</v>
      </c>
      <c r="D202" s="269">
        <f>1/0.0195*4*0.617*1.1</f>
        <v>139.22051282051282</v>
      </c>
      <c r="E202" s="276">
        <f>E196</f>
        <v>12250.369369369369</v>
      </c>
      <c r="F202" s="153">
        <f>D202*E202</f>
        <v>1705502.7058443059</v>
      </c>
    </row>
    <row r="203" spans="1:6" ht="12.75" customHeight="1">
      <c r="A203" s="227"/>
      <c r="B203" s="145" t="s">
        <v>167</v>
      </c>
      <c r="C203" s="161" t="s">
        <v>43</v>
      </c>
      <c r="D203" s="269">
        <f>1/0.0195*0.45*6.5*0.395*1.1</f>
        <v>65.175000000000026</v>
      </c>
      <c r="E203" s="276">
        <f>E131</f>
        <v>11450</v>
      </c>
      <c r="F203" s="153">
        <f>D203*E203</f>
        <v>746253.75000000035</v>
      </c>
    </row>
    <row r="204" spans="1:6" ht="12.75" customHeight="1" thickBot="1">
      <c r="A204" s="227"/>
      <c r="B204" s="145" t="s">
        <v>168</v>
      </c>
      <c r="C204" s="161" t="s">
        <v>53</v>
      </c>
      <c r="D204" s="269">
        <f>1/0.0195*0.58</f>
        <v>29.743589743589745</v>
      </c>
      <c r="E204" s="276">
        <f>E108</f>
        <v>72689.090909090912</v>
      </c>
      <c r="F204" s="154">
        <f>D204*E204</f>
        <v>2162034.4988344992</v>
      </c>
    </row>
    <row r="205" spans="1:6" ht="12.75" customHeight="1">
      <c r="A205" s="227"/>
      <c r="B205" s="159" t="s">
        <v>42</v>
      </c>
      <c r="C205" s="143"/>
      <c r="D205" s="269"/>
      <c r="E205" s="276"/>
      <c r="F205" s="149">
        <f>SUM(F201:F204)</f>
        <v>5453790.9546788055</v>
      </c>
    </row>
    <row r="206" spans="1:6" ht="12.75" customHeight="1">
      <c r="A206" s="227">
        <v>33</v>
      </c>
      <c r="B206" s="229" t="s">
        <v>370</v>
      </c>
      <c r="C206" s="161" t="s">
        <v>51</v>
      </c>
      <c r="D206" s="269"/>
      <c r="E206" s="276"/>
      <c r="F206" s="158"/>
    </row>
    <row r="207" spans="1:6" ht="12.75" customHeight="1">
      <c r="A207" s="227"/>
      <c r="B207" s="145" t="s">
        <v>165</v>
      </c>
      <c r="C207" s="161" t="s">
        <v>51</v>
      </c>
      <c r="D207" s="269">
        <v>1</v>
      </c>
      <c r="E207" s="276">
        <f>E171</f>
        <v>840000</v>
      </c>
      <c r="F207" s="153">
        <f>D207*E207</f>
        <v>840000</v>
      </c>
    </row>
    <row r="208" spans="1:6" ht="12.75" customHeight="1">
      <c r="A208" s="227"/>
      <c r="B208" s="145" t="s">
        <v>169</v>
      </c>
      <c r="C208" s="155" t="s">
        <v>43</v>
      </c>
      <c r="D208" s="269">
        <f>1/0.039*4*0.617*1.1</f>
        <v>69.610256410256412</v>
      </c>
      <c r="E208" s="276">
        <f>E202</f>
        <v>12250.369369369369</v>
      </c>
      <c r="F208" s="153">
        <f>D208*E208</f>
        <v>852751.35292215296</v>
      </c>
    </row>
    <row r="209" spans="1:6" ht="12.75" customHeight="1">
      <c r="A209" s="227"/>
      <c r="B209" s="145" t="s">
        <v>167</v>
      </c>
      <c r="C209" s="161" t="s">
        <v>43</v>
      </c>
      <c r="D209" s="269">
        <f>1/0.039*0.8*6.5*0.395*1.1</f>
        <v>57.933333333333344</v>
      </c>
      <c r="E209" s="276">
        <f>E137</f>
        <v>11450</v>
      </c>
      <c r="F209" s="153">
        <f>D209*E209</f>
        <v>663336.66666666674</v>
      </c>
    </row>
    <row r="210" spans="1:6" ht="12.75" customHeight="1" thickBot="1">
      <c r="A210" s="227"/>
      <c r="B210" s="145" t="s">
        <v>168</v>
      </c>
      <c r="C210" s="161" t="s">
        <v>53</v>
      </c>
      <c r="D210" s="269">
        <f>1/0.039*0.73</f>
        <v>18.717948717948719</v>
      </c>
      <c r="E210" s="276">
        <f>E204</f>
        <v>72689.090909090912</v>
      </c>
      <c r="F210" s="154">
        <f>D210*E210</f>
        <v>1360590.675990676</v>
      </c>
    </row>
    <row r="211" spans="1:6" ht="12.75" customHeight="1">
      <c r="A211" s="227"/>
      <c r="B211" s="159" t="s">
        <v>42</v>
      </c>
      <c r="C211" s="143"/>
      <c r="D211" s="269"/>
      <c r="E211" s="276"/>
      <c r="F211" s="149">
        <f>SUM(F207:F210)</f>
        <v>3716678.6955794957</v>
      </c>
    </row>
    <row r="212" spans="1:6" ht="12.75" customHeight="1">
      <c r="A212" s="227">
        <v>34</v>
      </c>
      <c r="B212" s="229" t="s">
        <v>701</v>
      </c>
      <c r="C212" s="161" t="s">
        <v>51</v>
      </c>
      <c r="D212" s="269"/>
      <c r="E212" s="276"/>
      <c r="F212" s="158"/>
    </row>
    <row r="213" spans="1:6" ht="12.75" customHeight="1">
      <c r="A213" s="227"/>
      <c r="B213" s="145" t="s">
        <v>165</v>
      </c>
      <c r="C213" s="161" t="s">
        <v>51</v>
      </c>
      <c r="D213" s="269">
        <v>1</v>
      </c>
      <c r="E213" s="276">
        <f>Analisa!F41</f>
        <v>878750</v>
      </c>
      <c r="F213" s="153">
        <f>D213*E213</f>
        <v>878750</v>
      </c>
    </row>
    <row r="214" spans="1:6" ht="12.75" customHeight="1">
      <c r="A214" s="227"/>
      <c r="B214" s="145" t="s">
        <v>169</v>
      </c>
      <c r="C214" s="155" t="s">
        <v>43</v>
      </c>
      <c r="D214" s="269">
        <f>1/0.025*3*0.617*1.1</f>
        <v>81.444000000000003</v>
      </c>
      <c r="E214" s="276">
        <f>E208</f>
        <v>12250.369369369369</v>
      </c>
      <c r="F214" s="153">
        <f>D214*E214</f>
        <v>997719.08291891892</v>
      </c>
    </row>
    <row r="215" spans="1:6" ht="12.75" customHeight="1">
      <c r="A215" s="227"/>
      <c r="B215" s="145" t="s">
        <v>167</v>
      </c>
      <c r="C215" s="161" t="s">
        <v>43</v>
      </c>
      <c r="D215" s="269">
        <f>1/0.025*0.7*5.5*0.395*1.1</f>
        <v>66.913000000000011</v>
      </c>
      <c r="E215" s="276">
        <f>E143</f>
        <v>11450</v>
      </c>
      <c r="F215" s="153">
        <f>D215*E215</f>
        <v>766153.85000000009</v>
      </c>
    </row>
    <row r="216" spans="1:6" ht="12.75" customHeight="1" thickBot="1">
      <c r="A216" s="227"/>
      <c r="B216" s="145" t="s">
        <v>168</v>
      </c>
      <c r="C216" s="161" t="s">
        <v>53</v>
      </c>
      <c r="D216" s="269">
        <f>1/0.025*0.9</f>
        <v>36</v>
      </c>
      <c r="E216" s="276">
        <f>Analisa!F67</f>
        <v>124961.59090909091</v>
      </c>
      <c r="F216" s="154">
        <f>D216*E216</f>
        <v>4498617.2727272725</v>
      </c>
    </row>
    <row r="217" spans="1:6" ht="12.75" customHeight="1">
      <c r="A217" s="227"/>
      <c r="B217" s="159" t="s">
        <v>42</v>
      </c>
      <c r="C217" s="143"/>
      <c r="D217" s="269"/>
      <c r="E217" s="276"/>
      <c r="F217" s="149">
        <f>SUM(F213:F216)</f>
        <v>7141240.2056461917</v>
      </c>
    </row>
    <row r="218" spans="1:6" ht="12.75" customHeight="1">
      <c r="A218" s="227">
        <v>35</v>
      </c>
      <c r="B218" s="229" t="s">
        <v>371</v>
      </c>
      <c r="C218" s="161" t="s">
        <v>51</v>
      </c>
      <c r="D218" s="269"/>
      <c r="E218" s="276"/>
      <c r="F218" s="158"/>
    </row>
    <row r="219" spans="1:6" ht="12.75" customHeight="1">
      <c r="A219" s="227"/>
      <c r="B219" s="145" t="s">
        <v>165</v>
      </c>
      <c r="C219" s="161" t="s">
        <v>51</v>
      </c>
      <c r="D219" s="269">
        <v>1</v>
      </c>
      <c r="E219" s="276">
        <f>Analisa!F20</f>
        <v>951288.40909090906</v>
      </c>
      <c r="F219" s="153">
        <f>D219*E219</f>
        <v>951288.40909090906</v>
      </c>
    </row>
    <row r="220" spans="1:6" ht="12.75" customHeight="1">
      <c r="A220" s="227"/>
      <c r="B220" s="145" t="s">
        <v>167</v>
      </c>
      <c r="C220" s="155" t="s">
        <v>43</v>
      </c>
      <c r="D220" s="269">
        <f>1/0.0195*4*0.395*1.1</f>
        <v>89.128205128205153</v>
      </c>
      <c r="E220" s="276">
        <f>E185</f>
        <v>11450</v>
      </c>
      <c r="F220" s="153">
        <f>D220*E220</f>
        <v>1020517.948717949</v>
      </c>
    </row>
    <row r="221" spans="1:6" ht="12.75" customHeight="1">
      <c r="A221" s="227"/>
      <c r="B221" s="145" t="s">
        <v>172</v>
      </c>
      <c r="C221" s="161" t="s">
        <v>43</v>
      </c>
      <c r="D221" s="269">
        <f>1/0.0195*0.4*6.5*0.222*1.1</f>
        <v>32.56</v>
      </c>
      <c r="E221" s="276">
        <f>Analisa!F77</f>
        <v>12200.450450450449</v>
      </c>
      <c r="F221" s="153">
        <f>D221*E221</f>
        <v>397246.66666666669</v>
      </c>
    </row>
    <row r="222" spans="1:6" ht="12.75" customHeight="1" thickBot="1">
      <c r="A222" s="227"/>
      <c r="B222" s="145" t="s">
        <v>168</v>
      </c>
      <c r="C222" s="161" t="s">
        <v>53</v>
      </c>
      <c r="D222" s="269">
        <f>1/0.0195*0.2</f>
        <v>10.256410256410257</v>
      </c>
      <c r="E222" s="276">
        <f>E204</f>
        <v>72689.090909090912</v>
      </c>
      <c r="F222" s="154">
        <f>D222*E222</f>
        <v>745529.13752913766</v>
      </c>
    </row>
    <row r="223" spans="1:6" ht="12.75" customHeight="1">
      <c r="A223" s="227"/>
      <c r="B223" s="159" t="s">
        <v>42</v>
      </c>
      <c r="C223" s="143"/>
      <c r="D223" s="269"/>
      <c r="E223" s="276"/>
      <c r="F223" s="149">
        <f>SUM(F219:F222)</f>
        <v>3114582.1620046622</v>
      </c>
    </row>
    <row r="224" spans="1:6" ht="12.75" customHeight="1">
      <c r="A224" s="227">
        <v>37</v>
      </c>
      <c r="B224" s="229" t="s">
        <v>342</v>
      </c>
      <c r="C224" s="143" t="s">
        <v>51</v>
      </c>
      <c r="D224" s="269"/>
      <c r="E224" s="276"/>
      <c r="F224" s="158"/>
    </row>
    <row r="225" spans="1:6" ht="12.75" customHeight="1">
      <c r="A225" s="227"/>
      <c r="B225" s="145" t="s">
        <v>171</v>
      </c>
      <c r="C225" s="143" t="s">
        <v>51</v>
      </c>
      <c r="D225" s="269">
        <v>1</v>
      </c>
      <c r="E225" s="276">
        <f>Analisa!F41</f>
        <v>878750</v>
      </c>
      <c r="F225" s="153">
        <f>D225*E225</f>
        <v>878750</v>
      </c>
    </row>
    <row r="226" spans="1:6" ht="12.75" customHeight="1">
      <c r="A226" s="227"/>
      <c r="B226" s="145" t="s">
        <v>169</v>
      </c>
      <c r="C226" s="143" t="s">
        <v>43</v>
      </c>
      <c r="D226" s="269">
        <f>1/0.0195*4*0.617*1.1</f>
        <v>139.22051282051282</v>
      </c>
      <c r="E226" s="276">
        <f>E166</f>
        <v>12250.369369369369</v>
      </c>
      <c r="F226" s="153">
        <f>D226*E226</f>
        <v>1705502.7058443059</v>
      </c>
    </row>
    <row r="227" spans="1:6" ht="12.75" customHeight="1">
      <c r="A227" s="227"/>
      <c r="B227" s="145" t="s">
        <v>167</v>
      </c>
      <c r="C227" s="150" t="s">
        <v>43</v>
      </c>
      <c r="D227" s="269">
        <f>1/0.0195*0.4*6.5*0.395*1.1</f>
        <v>57.933333333333344</v>
      </c>
      <c r="E227" s="276">
        <f>E167</f>
        <v>11450</v>
      </c>
      <c r="F227" s="153">
        <f>D227*E227</f>
        <v>663336.66666666674</v>
      </c>
    </row>
    <row r="228" spans="1:6" ht="12.75" customHeight="1" thickBot="1">
      <c r="A228" s="227"/>
      <c r="B228" s="145" t="s">
        <v>168</v>
      </c>
      <c r="C228" s="161" t="s">
        <v>53</v>
      </c>
      <c r="D228" s="269">
        <f>1/0.0195*0.2</f>
        <v>10.256410256410257</v>
      </c>
      <c r="E228" s="276">
        <f>E168</f>
        <v>105081.59090909091</v>
      </c>
      <c r="F228" s="154">
        <f>D228*E228</f>
        <v>1077759.9067599068</v>
      </c>
    </row>
    <row r="229" spans="1:6" ht="12.75" customHeight="1">
      <c r="A229" s="227"/>
      <c r="B229" s="159" t="s">
        <v>42</v>
      </c>
      <c r="C229" s="155"/>
      <c r="D229" s="269"/>
      <c r="E229" s="276"/>
      <c r="F229" s="149">
        <f>SUM(F225:F228)</f>
        <v>4325349.279270879</v>
      </c>
    </row>
    <row r="230" spans="1:6" ht="13.5" customHeight="1">
      <c r="A230" s="227">
        <v>38</v>
      </c>
      <c r="B230" s="229" t="s">
        <v>343</v>
      </c>
      <c r="C230" s="143" t="s">
        <v>51</v>
      </c>
      <c r="D230" s="151"/>
      <c r="E230" s="276"/>
      <c r="F230" s="153"/>
    </row>
    <row r="231" spans="1:6" ht="12.75" customHeight="1">
      <c r="A231" s="227"/>
      <c r="B231" s="145" t="s">
        <v>171</v>
      </c>
      <c r="C231" s="143" t="s">
        <v>51</v>
      </c>
      <c r="D231" s="269">
        <v>1</v>
      </c>
      <c r="E231" s="276">
        <f>E225</f>
        <v>878750</v>
      </c>
      <c r="F231" s="153">
        <f>D231*E231</f>
        <v>878750</v>
      </c>
    </row>
    <row r="232" spans="1:6" ht="12.75" customHeight="1">
      <c r="A232" s="227"/>
      <c r="B232" s="145" t="s">
        <v>169</v>
      </c>
      <c r="C232" s="143" t="s">
        <v>43</v>
      </c>
      <c r="D232" s="269">
        <f>1/0.026*4*0.617*1.1</f>
        <v>104.41538461538462</v>
      </c>
      <c r="E232" s="276">
        <f t="shared" ref="E232:E234" si="20">E226</f>
        <v>12250.369369369369</v>
      </c>
      <c r="F232" s="153">
        <f>D232*E232</f>
        <v>1279127.0293832296</v>
      </c>
    </row>
    <row r="233" spans="1:6" ht="12.75" customHeight="1">
      <c r="A233" s="227"/>
      <c r="B233" s="145" t="s">
        <v>167</v>
      </c>
      <c r="C233" s="150" t="s">
        <v>43</v>
      </c>
      <c r="D233" s="269">
        <f>1/0.026*0.5*5.5*0.395*1.1</f>
        <v>45.956730769230774</v>
      </c>
      <c r="E233" s="276">
        <f t="shared" si="20"/>
        <v>11450</v>
      </c>
      <c r="F233" s="153">
        <f>D233*E233</f>
        <v>526204.56730769237</v>
      </c>
    </row>
    <row r="234" spans="1:6" ht="12.75" customHeight="1" thickBot="1">
      <c r="A234" s="227"/>
      <c r="B234" s="145" t="s">
        <v>168</v>
      </c>
      <c r="C234" s="161" t="s">
        <v>53</v>
      </c>
      <c r="D234" s="269">
        <f>1/0.026*0.25</f>
        <v>9.615384615384615</v>
      </c>
      <c r="E234" s="276">
        <f t="shared" si="20"/>
        <v>105081.59090909091</v>
      </c>
      <c r="F234" s="154">
        <f>D234*E234</f>
        <v>1010399.9125874125</v>
      </c>
    </row>
    <row r="235" spans="1:6" ht="12.75" customHeight="1">
      <c r="A235" s="227"/>
      <c r="B235" s="159" t="s">
        <v>42</v>
      </c>
      <c r="C235" s="155"/>
      <c r="D235" s="151"/>
      <c r="E235" s="276"/>
      <c r="F235" s="149">
        <f>SUM(F231:F234)</f>
        <v>3694481.5092783347</v>
      </c>
    </row>
    <row r="236" spans="1:6" ht="12.75" customHeight="1">
      <c r="A236" s="227">
        <v>39</v>
      </c>
      <c r="B236" s="229" t="s">
        <v>344</v>
      </c>
      <c r="C236" s="143" t="s">
        <v>51</v>
      </c>
      <c r="D236" s="151"/>
      <c r="E236" s="276"/>
      <c r="F236" s="153">
        <f>D236*E236</f>
        <v>0</v>
      </c>
    </row>
    <row r="237" spans="1:6" ht="12.75" customHeight="1">
      <c r="A237" s="227"/>
      <c r="B237" s="145" t="s">
        <v>171</v>
      </c>
      <c r="C237" s="143" t="s">
        <v>51</v>
      </c>
      <c r="D237" s="151">
        <v>1</v>
      </c>
      <c r="E237" s="276">
        <f>E231</f>
        <v>878750</v>
      </c>
      <c r="F237" s="153">
        <f>D237*E237</f>
        <v>878750</v>
      </c>
    </row>
    <row r="238" spans="1:6" ht="12.75" customHeight="1">
      <c r="A238" s="227"/>
      <c r="B238" s="145" t="s">
        <v>166</v>
      </c>
      <c r="C238" s="143" t="s">
        <v>43</v>
      </c>
      <c r="D238" s="269">
        <f>1/0.026*4*1.04*1.1</f>
        <v>176</v>
      </c>
      <c r="E238" s="276">
        <f t="shared" ref="E238:E240" si="21">E232</f>
        <v>12250.369369369369</v>
      </c>
      <c r="F238" s="153">
        <f>D238*E238</f>
        <v>2156065.0090090092</v>
      </c>
    </row>
    <row r="239" spans="1:6" ht="12.75" customHeight="1">
      <c r="A239" s="227"/>
      <c r="B239" s="145" t="s">
        <v>167</v>
      </c>
      <c r="C239" s="150" t="s">
        <v>43</v>
      </c>
      <c r="D239" s="269">
        <f>1/0.026*0.5*6.5*0.395*1.1</f>
        <v>54.312500000000007</v>
      </c>
      <c r="E239" s="276">
        <f t="shared" si="21"/>
        <v>11450</v>
      </c>
      <c r="F239" s="153">
        <f>D239*E239</f>
        <v>621878.12500000012</v>
      </c>
    </row>
    <row r="240" spans="1:6" ht="12.75" customHeight="1" thickBot="1">
      <c r="A240" s="227"/>
      <c r="B240" s="145" t="s">
        <v>168</v>
      </c>
      <c r="C240" s="161" t="s">
        <v>53</v>
      </c>
      <c r="D240" s="269">
        <f>1/0.026*0.25</f>
        <v>9.615384615384615</v>
      </c>
      <c r="E240" s="276">
        <f t="shared" si="21"/>
        <v>105081.59090909091</v>
      </c>
      <c r="F240" s="154">
        <f>D240*E240</f>
        <v>1010399.9125874125</v>
      </c>
    </row>
    <row r="241" spans="1:6" ht="12.75" customHeight="1">
      <c r="A241" s="227"/>
      <c r="B241" s="159" t="s">
        <v>42</v>
      </c>
      <c r="C241" s="150"/>
      <c r="D241" s="151"/>
      <c r="E241" s="276"/>
      <c r="F241" s="149">
        <f>SUM(F237:F240)</f>
        <v>4667093.0465964219</v>
      </c>
    </row>
    <row r="242" spans="1:6" ht="12.75" customHeight="1">
      <c r="A242" s="227">
        <v>40</v>
      </c>
      <c r="B242" s="229" t="s">
        <v>345</v>
      </c>
      <c r="C242" s="143" t="s">
        <v>51</v>
      </c>
      <c r="D242" s="151"/>
      <c r="E242" s="276"/>
      <c r="F242" s="158"/>
    </row>
    <row r="243" spans="1:6" ht="12.75" customHeight="1">
      <c r="A243" s="227"/>
      <c r="B243" s="145" t="s">
        <v>165</v>
      </c>
      <c r="C243" s="143" t="s">
        <v>51</v>
      </c>
      <c r="D243" s="269">
        <v>1</v>
      </c>
      <c r="E243" s="276">
        <f>E237</f>
        <v>878750</v>
      </c>
      <c r="F243" s="153">
        <f>D243*E243</f>
        <v>878750</v>
      </c>
    </row>
    <row r="244" spans="1:6" ht="12.75" customHeight="1">
      <c r="A244" s="227"/>
      <c r="B244" s="145" t="s">
        <v>169</v>
      </c>
      <c r="C244" s="143" t="s">
        <v>43</v>
      </c>
      <c r="D244" s="269">
        <f>1/0.026*4*0.617*1.1</f>
        <v>104.41538461538462</v>
      </c>
      <c r="E244" s="276">
        <f t="shared" ref="E244:E246" si="22">E238</f>
        <v>12250.369369369369</v>
      </c>
      <c r="F244" s="153">
        <f>D244*E244</f>
        <v>1279127.0293832296</v>
      </c>
    </row>
    <row r="245" spans="1:6" ht="12.75" customHeight="1">
      <c r="A245" s="227"/>
      <c r="B245" s="145" t="s">
        <v>167</v>
      </c>
      <c r="C245" s="150" t="s">
        <v>43</v>
      </c>
      <c r="D245" s="269">
        <f>1/0.026*0.5*5.5*0.395*1.1</f>
        <v>45.956730769230774</v>
      </c>
      <c r="E245" s="276">
        <f t="shared" si="22"/>
        <v>11450</v>
      </c>
      <c r="F245" s="153">
        <f>D245*E245</f>
        <v>526204.56730769237</v>
      </c>
    </row>
    <row r="246" spans="1:6" ht="12.75" customHeight="1" thickBot="1">
      <c r="A246" s="227"/>
      <c r="B246" s="145" t="s">
        <v>168</v>
      </c>
      <c r="C246" s="161" t="s">
        <v>53</v>
      </c>
      <c r="D246" s="269">
        <f>1/0.026*0.25</f>
        <v>9.615384615384615</v>
      </c>
      <c r="E246" s="276">
        <f t="shared" si="22"/>
        <v>105081.59090909091</v>
      </c>
      <c r="F246" s="154">
        <f>D246*E246</f>
        <v>1010399.9125874125</v>
      </c>
    </row>
    <row r="247" spans="1:6" ht="12.75" customHeight="1">
      <c r="A247" s="227"/>
      <c r="B247" s="159" t="s">
        <v>42</v>
      </c>
      <c r="C247" s="155"/>
      <c r="D247" s="151"/>
      <c r="E247" s="276"/>
      <c r="F247" s="149">
        <f>SUM(F243:F246)</f>
        <v>3694481.5092783347</v>
      </c>
    </row>
    <row r="248" spans="1:6" ht="13.5" customHeight="1">
      <c r="A248" s="227">
        <v>41</v>
      </c>
      <c r="B248" s="229" t="s">
        <v>346</v>
      </c>
      <c r="C248" s="143" t="s">
        <v>51</v>
      </c>
      <c r="D248" s="151"/>
      <c r="E248" s="276"/>
      <c r="F248" s="158"/>
    </row>
    <row r="249" spans="1:6" ht="12.75" customHeight="1">
      <c r="A249" s="227"/>
      <c r="B249" s="145" t="s">
        <v>165</v>
      </c>
      <c r="C249" s="143" t="s">
        <v>51</v>
      </c>
      <c r="D249" s="269">
        <v>1</v>
      </c>
      <c r="E249" s="276">
        <f>E243</f>
        <v>878750</v>
      </c>
      <c r="F249" s="153">
        <f>D249*E249</f>
        <v>878750</v>
      </c>
    </row>
    <row r="250" spans="1:6" ht="12.75" customHeight="1">
      <c r="A250" s="227"/>
      <c r="B250" s="145" t="s">
        <v>166</v>
      </c>
      <c r="C250" s="143" t="s">
        <v>43</v>
      </c>
      <c r="D250" s="269">
        <f>1/0.026*4*1.04*1.1</f>
        <v>176</v>
      </c>
      <c r="E250" s="276">
        <f t="shared" ref="E250:E252" si="23">E244</f>
        <v>12250.369369369369</v>
      </c>
      <c r="F250" s="153">
        <f>D250*E250</f>
        <v>2156065.0090090092</v>
      </c>
    </row>
    <row r="251" spans="1:6" ht="12.75" customHeight="1">
      <c r="A251" s="227"/>
      <c r="B251" s="145" t="s">
        <v>167</v>
      </c>
      <c r="C251" s="150" t="s">
        <v>43</v>
      </c>
      <c r="D251" s="269">
        <f>1/0.026*0.5*5.5*0.395*1.1</f>
        <v>45.956730769230774</v>
      </c>
      <c r="E251" s="276">
        <f t="shared" si="23"/>
        <v>11450</v>
      </c>
      <c r="F251" s="153">
        <f>D251*E251</f>
        <v>526204.56730769237</v>
      </c>
    </row>
    <row r="252" spans="1:6" ht="12.75" customHeight="1" thickBot="1">
      <c r="A252" s="227"/>
      <c r="B252" s="145" t="s">
        <v>168</v>
      </c>
      <c r="C252" s="161" t="s">
        <v>53</v>
      </c>
      <c r="D252" s="269">
        <f>1/0.026*0.25</f>
        <v>9.615384615384615</v>
      </c>
      <c r="E252" s="276">
        <f t="shared" si="23"/>
        <v>105081.59090909091</v>
      </c>
      <c r="F252" s="154">
        <f>D252*E252</f>
        <v>1010399.9125874125</v>
      </c>
    </row>
    <row r="253" spans="1:6" ht="12.75" customHeight="1">
      <c r="A253" s="227"/>
      <c r="B253" s="159" t="s">
        <v>42</v>
      </c>
      <c r="C253" s="161"/>
      <c r="D253" s="269"/>
      <c r="E253" s="276"/>
      <c r="F253" s="149">
        <f>SUM(F249:F252)</f>
        <v>4571419.4889041139</v>
      </c>
    </row>
    <row r="254" spans="1:6" ht="12.75" customHeight="1">
      <c r="A254" s="227">
        <v>42</v>
      </c>
      <c r="B254" s="229" t="s">
        <v>347</v>
      </c>
      <c r="C254" s="143" t="s">
        <v>51</v>
      </c>
      <c r="D254" s="151"/>
      <c r="E254" s="276"/>
      <c r="F254" s="158"/>
    </row>
    <row r="255" spans="1:6" ht="12.75" customHeight="1">
      <c r="A255" s="227"/>
      <c r="B255" s="145" t="s">
        <v>165</v>
      </c>
      <c r="C255" s="143" t="s">
        <v>51</v>
      </c>
      <c r="D255" s="269">
        <v>1</v>
      </c>
      <c r="E255" s="276">
        <f>E249</f>
        <v>878750</v>
      </c>
      <c r="F255" s="153">
        <f>D255*E255</f>
        <v>878750</v>
      </c>
    </row>
    <row r="256" spans="1:6" ht="12.75" customHeight="1">
      <c r="A256" s="227"/>
      <c r="B256" s="145" t="s">
        <v>169</v>
      </c>
      <c r="C256" s="143" t="s">
        <v>43</v>
      </c>
      <c r="D256" s="269">
        <f>1/0.039*4*0.617*1.1</f>
        <v>69.610256410256412</v>
      </c>
      <c r="E256" s="276">
        <f t="shared" ref="E256:E258" si="24">E250</f>
        <v>12250.369369369369</v>
      </c>
      <c r="F256" s="153">
        <f>D256*E256</f>
        <v>852751.35292215296</v>
      </c>
    </row>
    <row r="257" spans="1:6" ht="12.75" customHeight="1">
      <c r="A257" s="227"/>
      <c r="B257" s="145" t="s">
        <v>167</v>
      </c>
      <c r="C257" s="150" t="s">
        <v>43</v>
      </c>
      <c r="D257" s="269">
        <f>1/0.039*0.7*5.5*0.395*1.1</f>
        <v>42.89294871794872</v>
      </c>
      <c r="E257" s="276">
        <f t="shared" si="24"/>
        <v>11450</v>
      </c>
      <c r="F257" s="153">
        <f>D257*E257</f>
        <v>491124.26282051281</v>
      </c>
    </row>
    <row r="258" spans="1:6" ht="12.75" customHeight="1" thickBot="1">
      <c r="A258" s="227"/>
      <c r="B258" s="145" t="s">
        <v>168</v>
      </c>
      <c r="C258" s="161" t="s">
        <v>53</v>
      </c>
      <c r="D258" s="269">
        <f>1/0.039*0.5</f>
        <v>12.820512820512821</v>
      </c>
      <c r="E258" s="276">
        <f t="shared" si="24"/>
        <v>105081.59090909091</v>
      </c>
      <c r="F258" s="154">
        <f>D258*E258</f>
        <v>1347199.8834498837</v>
      </c>
    </row>
    <row r="259" spans="1:6" ht="12.75" customHeight="1">
      <c r="A259" s="227"/>
      <c r="B259" s="159" t="s">
        <v>42</v>
      </c>
      <c r="C259" s="155"/>
      <c r="D259" s="151"/>
      <c r="E259" s="276"/>
      <c r="F259" s="149">
        <f>SUM(F255:F258)</f>
        <v>3569825.4991925494</v>
      </c>
    </row>
    <row r="260" spans="1:6" ht="12.75" customHeight="1">
      <c r="A260" s="227">
        <v>43</v>
      </c>
      <c r="B260" s="229" t="s">
        <v>348</v>
      </c>
      <c r="C260" s="143" t="s">
        <v>51</v>
      </c>
      <c r="D260" s="151"/>
      <c r="E260" s="276"/>
      <c r="F260" s="158"/>
    </row>
    <row r="261" spans="1:6" ht="12.75" customHeight="1">
      <c r="A261" s="227"/>
      <c r="B261" s="145" t="s">
        <v>165</v>
      </c>
      <c r="C261" s="143" t="s">
        <v>51</v>
      </c>
      <c r="D261" s="269">
        <v>1</v>
      </c>
      <c r="E261" s="276">
        <f>E255</f>
        <v>878750</v>
      </c>
      <c r="F261" s="153">
        <f>D261*E261</f>
        <v>878750</v>
      </c>
    </row>
    <row r="262" spans="1:6" ht="12.75" customHeight="1">
      <c r="A262" s="227"/>
      <c r="B262" s="145" t="s">
        <v>166</v>
      </c>
      <c r="C262" s="143" t="s">
        <v>43</v>
      </c>
      <c r="D262" s="269">
        <f>1/0.039*4*1.04*1.1</f>
        <v>117.33333333333334</v>
      </c>
      <c r="E262" s="276">
        <f t="shared" ref="E262:E264" si="25">E256</f>
        <v>12250.369369369369</v>
      </c>
      <c r="F262" s="153">
        <f>D262*E262</f>
        <v>1437376.6726726729</v>
      </c>
    </row>
    <row r="263" spans="1:6" ht="12.75" customHeight="1">
      <c r="A263" s="227"/>
      <c r="B263" s="145" t="s">
        <v>167</v>
      </c>
      <c r="C263" s="150" t="s">
        <v>43</v>
      </c>
      <c r="D263" s="269">
        <f>1/0.039*0.7*5.5*0.395*1.1</f>
        <v>42.89294871794872</v>
      </c>
      <c r="E263" s="276">
        <f t="shared" si="25"/>
        <v>11450</v>
      </c>
      <c r="F263" s="153">
        <f>D263*E263</f>
        <v>491124.26282051281</v>
      </c>
    </row>
    <row r="264" spans="1:6" ht="12.75" customHeight="1" thickBot="1">
      <c r="A264" s="227"/>
      <c r="B264" s="145" t="s">
        <v>168</v>
      </c>
      <c r="C264" s="161" t="s">
        <v>53</v>
      </c>
      <c r="D264" s="269">
        <f>1/0.039*0.5</f>
        <v>12.820512820512821</v>
      </c>
      <c r="E264" s="276">
        <f t="shared" si="25"/>
        <v>105081.59090909091</v>
      </c>
      <c r="F264" s="154">
        <f>D264*E264</f>
        <v>1347199.8834498837</v>
      </c>
    </row>
    <row r="265" spans="1:6" ht="12.75" customHeight="1">
      <c r="A265" s="227"/>
      <c r="B265" s="159" t="s">
        <v>42</v>
      </c>
      <c r="C265" s="155"/>
      <c r="D265" s="151"/>
      <c r="E265" s="276"/>
      <c r="F265" s="149">
        <f>SUM(F261:F264)</f>
        <v>4154450.8189430698</v>
      </c>
    </row>
    <row r="266" spans="1:6" ht="12.75" customHeight="1">
      <c r="A266" s="227">
        <v>44</v>
      </c>
      <c r="B266" s="229" t="s">
        <v>349</v>
      </c>
      <c r="C266" s="143" t="s">
        <v>51</v>
      </c>
      <c r="D266" s="151"/>
      <c r="E266" s="276"/>
      <c r="F266" s="158"/>
    </row>
    <row r="267" spans="1:6" ht="12.75" customHeight="1">
      <c r="A267" s="227"/>
      <c r="B267" s="145" t="s">
        <v>165</v>
      </c>
      <c r="C267" s="143" t="s">
        <v>51</v>
      </c>
      <c r="D267" s="269">
        <v>1</v>
      </c>
      <c r="E267" s="276">
        <f>E261</f>
        <v>878750</v>
      </c>
      <c r="F267" s="153">
        <f>D267*E267</f>
        <v>878750</v>
      </c>
    </row>
    <row r="268" spans="1:6" ht="12.75" customHeight="1">
      <c r="A268" s="227"/>
      <c r="B268" s="145" t="s">
        <v>166</v>
      </c>
      <c r="C268" s="143" t="s">
        <v>43</v>
      </c>
      <c r="D268" s="269">
        <f>1/0.039*4*1.04*1.1</f>
        <v>117.33333333333334</v>
      </c>
      <c r="E268" s="276">
        <f t="shared" ref="E268:E270" si="26">E262</f>
        <v>12250.369369369369</v>
      </c>
      <c r="F268" s="153">
        <f>D268*E268</f>
        <v>1437376.6726726729</v>
      </c>
    </row>
    <row r="269" spans="1:6" ht="12.75" customHeight="1">
      <c r="A269" s="227"/>
      <c r="B269" s="145" t="s">
        <v>167</v>
      </c>
      <c r="C269" s="150" t="s">
        <v>43</v>
      </c>
      <c r="D269" s="269">
        <f>1/0.039*0.7*10*0.395*1.1</f>
        <v>77.987179487179503</v>
      </c>
      <c r="E269" s="276">
        <f t="shared" si="26"/>
        <v>11450</v>
      </c>
      <c r="F269" s="153">
        <f>D269*E269</f>
        <v>892953.20512820536</v>
      </c>
    </row>
    <row r="270" spans="1:6" ht="12.75" customHeight="1" thickBot="1">
      <c r="A270" s="227"/>
      <c r="B270" s="145" t="s">
        <v>168</v>
      </c>
      <c r="C270" s="161" t="s">
        <v>53</v>
      </c>
      <c r="D270" s="269">
        <f>1/0.039*0.5</f>
        <v>12.820512820512821</v>
      </c>
      <c r="E270" s="276">
        <f t="shared" si="26"/>
        <v>105081.59090909091</v>
      </c>
      <c r="F270" s="154">
        <f>D270*E270</f>
        <v>1347199.8834498837</v>
      </c>
    </row>
    <row r="271" spans="1:6" ht="12.75" customHeight="1">
      <c r="A271" s="227"/>
      <c r="B271" s="159" t="s">
        <v>42</v>
      </c>
      <c r="C271" s="155"/>
      <c r="D271" s="151"/>
      <c r="E271" s="276"/>
      <c r="F271" s="149">
        <f>SUM(F267:F270)</f>
        <v>4556279.7612507623</v>
      </c>
    </row>
    <row r="272" spans="1:6" ht="12.75" customHeight="1">
      <c r="A272" s="227">
        <v>45</v>
      </c>
      <c r="B272" s="229" t="s">
        <v>367</v>
      </c>
      <c r="C272" s="143" t="s">
        <v>51</v>
      </c>
      <c r="D272" s="151"/>
      <c r="E272" s="276"/>
      <c r="F272" s="158"/>
    </row>
    <row r="273" spans="1:6" ht="12.75" customHeight="1">
      <c r="A273" s="227"/>
      <c r="B273" s="145" t="s">
        <v>165</v>
      </c>
      <c r="C273" s="143" t="s">
        <v>51</v>
      </c>
      <c r="D273" s="269">
        <v>1</v>
      </c>
      <c r="E273" s="276">
        <f>E267</f>
        <v>878750</v>
      </c>
      <c r="F273" s="153">
        <f>D273*E273</f>
        <v>878750</v>
      </c>
    </row>
    <row r="274" spans="1:6" ht="12.75" customHeight="1">
      <c r="A274" s="227"/>
      <c r="B274" s="145" t="s">
        <v>169</v>
      </c>
      <c r="C274" s="143" t="s">
        <v>43</v>
      </c>
      <c r="D274" s="269">
        <f>1/0.0455*4*0.617*1.1</f>
        <v>59.665934065934067</v>
      </c>
      <c r="E274" s="276">
        <f t="shared" ref="E274:E276" si="27">E268</f>
        <v>12250.369369369369</v>
      </c>
      <c r="F274" s="153">
        <f>D274*E274</f>
        <v>730929.73107613111</v>
      </c>
    </row>
    <row r="275" spans="1:6" ht="12.75" customHeight="1">
      <c r="A275" s="227"/>
      <c r="B275" s="145" t="s">
        <v>167</v>
      </c>
      <c r="C275" s="150" t="s">
        <v>43</v>
      </c>
      <c r="D275" s="269">
        <f>1/0.0455*0.9*6.5*0.395*1.1</f>
        <v>55.864285714285728</v>
      </c>
      <c r="E275" s="276">
        <f t="shared" si="27"/>
        <v>11450</v>
      </c>
      <c r="F275" s="153">
        <f>D275*E275</f>
        <v>639646.07142857159</v>
      </c>
    </row>
    <row r="276" spans="1:6" ht="12.75" customHeight="1" thickBot="1">
      <c r="A276" s="227"/>
      <c r="B276" s="145" t="s">
        <v>168</v>
      </c>
      <c r="C276" s="161" t="s">
        <v>53</v>
      </c>
      <c r="D276" s="269">
        <f>1/0.0455*0.71</f>
        <v>15.604395604395604</v>
      </c>
      <c r="E276" s="276">
        <f t="shared" si="27"/>
        <v>105081.59090909091</v>
      </c>
      <c r="F276" s="154">
        <f>D276*E276</f>
        <v>1639734.7152847152</v>
      </c>
    </row>
    <row r="277" spans="1:6" ht="12.75" customHeight="1">
      <c r="A277" s="227"/>
      <c r="B277" s="159" t="s">
        <v>42</v>
      </c>
      <c r="C277" s="155"/>
      <c r="D277" s="151"/>
      <c r="E277" s="276"/>
      <c r="F277" s="149">
        <f>SUM(F273:F276)</f>
        <v>3889060.5177894179</v>
      </c>
    </row>
    <row r="278" spans="1:6" ht="12.75" customHeight="1">
      <c r="A278" s="227">
        <v>46</v>
      </c>
      <c r="B278" s="229" t="s">
        <v>350</v>
      </c>
      <c r="C278" s="143" t="s">
        <v>51</v>
      </c>
      <c r="D278" s="151"/>
      <c r="E278" s="276"/>
      <c r="F278" s="158"/>
    </row>
    <row r="279" spans="1:6" ht="12.75" customHeight="1">
      <c r="A279" s="227"/>
      <c r="B279" s="145" t="s">
        <v>165</v>
      </c>
      <c r="C279" s="143" t="s">
        <v>51</v>
      </c>
      <c r="D279" s="269">
        <v>1</v>
      </c>
      <c r="E279" s="276">
        <f>E267</f>
        <v>878750</v>
      </c>
      <c r="F279" s="153">
        <f>D279*E279</f>
        <v>878750</v>
      </c>
    </row>
    <row r="280" spans="1:6" ht="12.75" customHeight="1">
      <c r="A280" s="227"/>
      <c r="B280" s="145" t="s">
        <v>169</v>
      </c>
      <c r="C280" s="143" t="s">
        <v>43</v>
      </c>
      <c r="D280" s="269">
        <f>1/0.052*4*0.617*1.1</f>
        <v>52.207692307692312</v>
      </c>
      <c r="E280" s="276">
        <f>E268</f>
        <v>12250.369369369369</v>
      </c>
      <c r="F280" s="153">
        <f>D280*E280</f>
        <v>639563.51469161478</v>
      </c>
    </row>
    <row r="281" spans="1:6" ht="12.75" customHeight="1">
      <c r="A281" s="227"/>
      <c r="B281" s="145" t="s">
        <v>167</v>
      </c>
      <c r="C281" s="150" t="s">
        <v>43</v>
      </c>
      <c r="D281" s="269">
        <f>1/0.052*0.9*5.5*0.395*1.1</f>
        <v>41.361057692307689</v>
      </c>
      <c r="E281" s="276">
        <f>E269</f>
        <v>11450</v>
      </c>
      <c r="F281" s="153">
        <f>D281*E281</f>
        <v>473584.11057692306</v>
      </c>
    </row>
    <row r="282" spans="1:6" ht="12.75" customHeight="1" thickBot="1">
      <c r="A282" s="227"/>
      <c r="B282" s="145" t="s">
        <v>168</v>
      </c>
      <c r="C282" s="161" t="s">
        <v>53</v>
      </c>
      <c r="D282" s="269">
        <f>1/0.052*0.7</f>
        <v>13.46153846153846</v>
      </c>
      <c r="E282" s="276">
        <f>E270</f>
        <v>105081.59090909091</v>
      </c>
      <c r="F282" s="154">
        <f>D282*E282</f>
        <v>1414559.8776223776</v>
      </c>
    </row>
    <row r="283" spans="1:6" ht="12.75" customHeight="1">
      <c r="A283" s="227"/>
      <c r="B283" s="159" t="s">
        <v>42</v>
      </c>
      <c r="C283" s="155"/>
      <c r="D283" s="151"/>
      <c r="E283" s="276"/>
      <c r="F283" s="149">
        <f>SUM(F279:F282)</f>
        <v>3406457.5028909156</v>
      </c>
    </row>
    <row r="284" spans="1:6" ht="12.75" customHeight="1">
      <c r="A284" s="227">
        <v>47</v>
      </c>
      <c r="B284" s="229" t="s">
        <v>351</v>
      </c>
      <c r="C284" s="143" t="s">
        <v>51</v>
      </c>
      <c r="D284" s="151"/>
      <c r="E284" s="276"/>
      <c r="F284" s="158"/>
    </row>
    <row r="285" spans="1:6" ht="12.75" customHeight="1">
      <c r="A285" s="227"/>
      <c r="B285" s="145" t="s">
        <v>165</v>
      </c>
      <c r="C285" s="143" t="s">
        <v>51</v>
      </c>
      <c r="D285" s="269">
        <v>1</v>
      </c>
      <c r="E285" s="276">
        <f>E279</f>
        <v>878750</v>
      </c>
      <c r="F285" s="153">
        <f>D285*E285</f>
        <v>878750</v>
      </c>
    </row>
    <row r="286" spans="1:6" ht="12.75" customHeight="1">
      <c r="A286" s="227"/>
      <c r="B286" s="145" t="s">
        <v>166</v>
      </c>
      <c r="C286" s="143" t="s">
        <v>43</v>
      </c>
      <c r="D286" s="269">
        <f>1/0.052*4*1.04*1.1</f>
        <v>88</v>
      </c>
      <c r="E286" s="276">
        <f t="shared" ref="E286:E288" si="28">E280</f>
        <v>12250.369369369369</v>
      </c>
      <c r="F286" s="153">
        <f>D286*E286</f>
        <v>1078032.5045045046</v>
      </c>
    </row>
    <row r="287" spans="1:6" ht="12.75" customHeight="1">
      <c r="A287" s="227"/>
      <c r="B287" s="145" t="s">
        <v>167</v>
      </c>
      <c r="C287" s="150" t="s">
        <v>43</v>
      </c>
      <c r="D287" s="269">
        <f>1/0.052*0.9*5.5*0.395*1.1</f>
        <v>41.361057692307689</v>
      </c>
      <c r="E287" s="276">
        <f t="shared" si="28"/>
        <v>11450</v>
      </c>
      <c r="F287" s="153">
        <f>D287*E287</f>
        <v>473584.11057692306</v>
      </c>
    </row>
    <row r="288" spans="1:6" ht="12.75" customHeight="1" thickBot="1">
      <c r="A288" s="227"/>
      <c r="B288" s="145" t="s">
        <v>168</v>
      </c>
      <c r="C288" s="161" t="s">
        <v>53</v>
      </c>
      <c r="D288" s="269">
        <f>1/0.052*0.7</f>
        <v>13.46153846153846</v>
      </c>
      <c r="E288" s="276">
        <f t="shared" si="28"/>
        <v>105081.59090909091</v>
      </c>
      <c r="F288" s="154">
        <f>D288*E288</f>
        <v>1414559.8776223776</v>
      </c>
    </row>
    <row r="289" spans="1:6" ht="12.75" customHeight="1">
      <c r="A289" s="227"/>
      <c r="B289" s="159" t="s">
        <v>42</v>
      </c>
      <c r="C289" s="155"/>
      <c r="D289" s="151"/>
      <c r="E289" s="276"/>
      <c r="F289" s="149">
        <f>SUM(F285:F288)</f>
        <v>3844926.4927038052</v>
      </c>
    </row>
    <row r="290" spans="1:6" ht="12.75" customHeight="1">
      <c r="A290" s="227">
        <v>48</v>
      </c>
      <c r="B290" s="229" t="s">
        <v>352</v>
      </c>
      <c r="C290" s="143" t="s">
        <v>51</v>
      </c>
      <c r="D290" s="151"/>
      <c r="E290" s="276"/>
      <c r="F290" s="156"/>
    </row>
    <row r="291" spans="1:6" ht="12.75" customHeight="1">
      <c r="A291" s="227"/>
      <c r="B291" s="145" t="s">
        <v>165</v>
      </c>
      <c r="C291" s="143" t="s">
        <v>51</v>
      </c>
      <c r="D291" s="269">
        <v>1</v>
      </c>
      <c r="E291" s="276">
        <f>E285</f>
        <v>878750</v>
      </c>
      <c r="F291" s="153">
        <f t="shared" ref="F291:F294" si="29">D291*E291</f>
        <v>878750</v>
      </c>
    </row>
    <row r="292" spans="1:6" ht="12.75" customHeight="1">
      <c r="A292" s="227"/>
      <c r="B292" s="145" t="s">
        <v>166</v>
      </c>
      <c r="C292" s="143" t="s">
        <v>43</v>
      </c>
      <c r="D292" s="269">
        <f>1/0.052*6*1.04*1.1</f>
        <v>132</v>
      </c>
      <c r="E292" s="276">
        <f t="shared" ref="E292:E294" si="30">E286</f>
        <v>12250.369369369369</v>
      </c>
      <c r="F292" s="153">
        <f t="shared" si="29"/>
        <v>1617048.7567567567</v>
      </c>
    </row>
    <row r="293" spans="1:6" ht="12.75" customHeight="1">
      <c r="A293" s="227"/>
      <c r="B293" s="145" t="s">
        <v>167</v>
      </c>
      <c r="C293" s="150" t="s">
        <v>43</v>
      </c>
      <c r="D293" s="269">
        <f>1/0.052*0.9*6*0.395*1.1</f>
        <v>45.121153846153845</v>
      </c>
      <c r="E293" s="276">
        <f t="shared" si="30"/>
        <v>11450</v>
      </c>
      <c r="F293" s="153">
        <f t="shared" si="29"/>
        <v>516637.2115384615</v>
      </c>
    </row>
    <row r="294" spans="1:6" ht="12.75" customHeight="1" thickBot="1">
      <c r="A294" s="227"/>
      <c r="B294" s="145" t="s">
        <v>168</v>
      </c>
      <c r="C294" s="161" t="s">
        <v>53</v>
      </c>
      <c r="D294" s="269">
        <f>1/0.052*0.7</f>
        <v>13.46153846153846</v>
      </c>
      <c r="E294" s="276">
        <f t="shared" si="30"/>
        <v>105081.59090909091</v>
      </c>
      <c r="F294" s="157">
        <f t="shared" si="29"/>
        <v>1414559.8776223776</v>
      </c>
    </row>
    <row r="295" spans="1:6" ht="12.75" customHeight="1">
      <c r="A295" s="227"/>
      <c r="B295" s="159" t="s">
        <v>42</v>
      </c>
      <c r="C295" s="155"/>
      <c r="D295" s="151"/>
      <c r="E295" s="276"/>
      <c r="F295" s="156">
        <f>SUM(F291:F294)</f>
        <v>4426995.8459175956</v>
      </c>
    </row>
    <row r="296" spans="1:6" ht="12.75" customHeight="1">
      <c r="A296" s="227">
        <v>49</v>
      </c>
      <c r="B296" s="229" t="s">
        <v>353</v>
      </c>
      <c r="C296" s="143" t="s">
        <v>51</v>
      </c>
      <c r="D296" s="151"/>
      <c r="E296" s="276"/>
      <c r="F296" s="156"/>
    </row>
    <row r="297" spans="1:6" ht="12.75" customHeight="1">
      <c r="A297" s="227"/>
      <c r="B297" s="145" t="s">
        <v>165</v>
      </c>
      <c r="C297" s="143" t="s">
        <v>51</v>
      </c>
      <c r="D297" s="269">
        <v>1</v>
      </c>
      <c r="E297" s="276">
        <f>E291</f>
        <v>878750</v>
      </c>
      <c r="F297" s="153">
        <f t="shared" ref="F297:F371" si="31">D297*E297</f>
        <v>878750</v>
      </c>
    </row>
    <row r="298" spans="1:6" ht="12.75" customHeight="1">
      <c r="A298" s="227"/>
      <c r="B298" s="145" t="s">
        <v>166</v>
      </c>
      <c r="C298" s="143" t="s">
        <v>43</v>
      </c>
      <c r="D298" s="269">
        <f>1/0.052*6*1.04*1.1</f>
        <v>132</v>
      </c>
      <c r="E298" s="276">
        <f t="shared" ref="E298:E300" si="32">E292</f>
        <v>12250.369369369369</v>
      </c>
      <c r="F298" s="153">
        <f t="shared" si="31"/>
        <v>1617048.7567567567</v>
      </c>
    </row>
    <row r="299" spans="1:6" ht="12.75" customHeight="1">
      <c r="A299" s="227"/>
      <c r="B299" s="145" t="s">
        <v>167</v>
      </c>
      <c r="C299" s="150" t="s">
        <v>43</v>
      </c>
      <c r="D299" s="269">
        <f>1/0.052*0.9*10*0.395*1.1</f>
        <v>75.20192307692308</v>
      </c>
      <c r="E299" s="276">
        <f t="shared" si="32"/>
        <v>11450</v>
      </c>
      <c r="F299" s="153">
        <f t="shared" si="31"/>
        <v>861062.01923076925</v>
      </c>
    </row>
    <row r="300" spans="1:6" ht="12.75" customHeight="1" thickBot="1">
      <c r="A300" s="227"/>
      <c r="B300" s="145" t="s">
        <v>168</v>
      </c>
      <c r="C300" s="161" t="s">
        <v>53</v>
      </c>
      <c r="D300" s="269">
        <f>1/0.052*0.7</f>
        <v>13.46153846153846</v>
      </c>
      <c r="E300" s="276">
        <f t="shared" si="32"/>
        <v>105081.59090909091</v>
      </c>
      <c r="F300" s="157">
        <f t="shared" si="31"/>
        <v>1414559.8776223776</v>
      </c>
    </row>
    <row r="301" spans="1:6" ht="12.75" customHeight="1">
      <c r="A301" s="227"/>
      <c r="B301" s="159" t="s">
        <v>42</v>
      </c>
      <c r="C301" s="155"/>
      <c r="D301" s="151"/>
      <c r="E301" s="276"/>
      <c r="F301" s="156">
        <f>SUM(F297:F300)</f>
        <v>4771420.6536099035</v>
      </c>
    </row>
    <row r="302" spans="1:6" ht="12.75" customHeight="1">
      <c r="A302" s="227">
        <v>50</v>
      </c>
      <c r="B302" s="229" t="s">
        <v>354</v>
      </c>
      <c r="C302" s="143" t="s">
        <v>51</v>
      </c>
      <c r="D302" s="151"/>
      <c r="E302" s="276"/>
      <c r="F302" s="153"/>
    </row>
    <row r="303" spans="1:6" ht="12.75" customHeight="1">
      <c r="A303" s="227"/>
      <c r="B303" s="145" t="s">
        <v>165</v>
      </c>
      <c r="C303" s="143" t="s">
        <v>51</v>
      </c>
      <c r="D303" s="269">
        <v>1</v>
      </c>
      <c r="E303" s="276">
        <f>E297</f>
        <v>878750</v>
      </c>
      <c r="F303" s="153">
        <f t="shared" si="31"/>
        <v>878750</v>
      </c>
    </row>
    <row r="304" spans="1:6" ht="12.75" customHeight="1">
      <c r="A304" s="227"/>
      <c r="B304" s="145" t="s">
        <v>166</v>
      </c>
      <c r="C304" s="143" t="s">
        <v>43</v>
      </c>
      <c r="D304" s="269">
        <f>1/0.052*6*1.04*1.1</f>
        <v>132</v>
      </c>
      <c r="E304" s="276">
        <f t="shared" ref="E304:E306" si="33">E298</f>
        <v>12250.369369369369</v>
      </c>
      <c r="F304" s="153">
        <f t="shared" si="31"/>
        <v>1617048.7567567567</v>
      </c>
    </row>
    <row r="305" spans="1:6" ht="12.75" customHeight="1">
      <c r="A305" s="227"/>
      <c r="B305" s="145" t="s">
        <v>167</v>
      </c>
      <c r="C305" s="150" t="s">
        <v>43</v>
      </c>
      <c r="D305" s="269">
        <f>1/0.052*0.9*6.5*0.395*1.1</f>
        <v>48.881250000000001</v>
      </c>
      <c r="E305" s="276">
        <f t="shared" si="33"/>
        <v>11450</v>
      </c>
      <c r="F305" s="153">
        <f t="shared" si="31"/>
        <v>559690.3125</v>
      </c>
    </row>
    <row r="306" spans="1:6" ht="12.75" customHeight="1" thickBot="1">
      <c r="A306" s="227"/>
      <c r="B306" s="145" t="s">
        <v>168</v>
      </c>
      <c r="C306" s="161" t="s">
        <v>53</v>
      </c>
      <c r="D306" s="269">
        <f>1/0.052*0.7</f>
        <v>13.46153846153846</v>
      </c>
      <c r="E306" s="276">
        <f t="shared" si="33"/>
        <v>105081.59090909091</v>
      </c>
      <c r="F306" s="154">
        <f t="shared" si="31"/>
        <v>1414559.8776223776</v>
      </c>
    </row>
    <row r="307" spans="1:6" ht="12.75" customHeight="1">
      <c r="A307" s="227"/>
      <c r="B307" s="159" t="s">
        <v>42</v>
      </c>
      <c r="C307" s="155"/>
      <c r="D307" s="151"/>
      <c r="E307" s="276"/>
      <c r="F307" s="149">
        <f>SUM(F303:F306)</f>
        <v>4470048.9468791336</v>
      </c>
    </row>
    <row r="308" spans="1:6" ht="12.75" customHeight="1">
      <c r="A308" s="227">
        <v>51</v>
      </c>
      <c r="B308" s="229" t="s">
        <v>355</v>
      </c>
      <c r="C308" s="143" t="s">
        <v>51</v>
      </c>
      <c r="D308" s="151"/>
      <c r="E308" s="276"/>
      <c r="F308" s="153"/>
    </row>
    <row r="309" spans="1:6" ht="12.75" customHeight="1">
      <c r="A309" s="227"/>
      <c r="B309" s="145" t="s">
        <v>165</v>
      </c>
      <c r="C309" s="143" t="s">
        <v>51</v>
      </c>
      <c r="D309" s="269">
        <v>1</v>
      </c>
      <c r="E309" s="276">
        <f>E303</f>
        <v>878750</v>
      </c>
      <c r="F309" s="153">
        <f t="shared" si="31"/>
        <v>878750</v>
      </c>
    </row>
    <row r="310" spans="1:6" ht="12.75" customHeight="1">
      <c r="A310" s="227"/>
      <c r="B310" s="145" t="s">
        <v>166</v>
      </c>
      <c r="C310" s="143" t="s">
        <v>43</v>
      </c>
      <c r="D310" s="269">
        <f>1/0.052*4.5*1.04*1.1</f>
        <v>99.000000000000014</v>
      </c>
      <c r="E310" s="276">
        <f t="shared" ref="E310:E312" si="34">E304</f>
        <v>12250.369369369369</v>
      </c>
      <c r="F310" s="153">
        <f t="shared" si="31"/>
        <v>1212786.5675675678</v>
      </c>
    </row>
    <row r="311" spans="1:6" ht="12.75" customHeight="1">
      <c r="A311" s="227"/>
      <c r="B311" s="145" t="s">
        <v>167</v>
      </c>
      <c r="C311" s="150" t="s">
        <v>43</v>
      </c>
      <c r="D311" s="269">
        <f>1/0.052*0.9*5.5*0.395*1.1</f>
        <v>41.361057692307689</v>
      </c>
      <c r="E311" s="276">
        <f t="shared" si="34"/>
        <v>11450</v>
      </c>
      <c r="F311" s="153">
        <f t="shared" si="31"/>
        <v>473584.11057692306</v>
      </c>
    </row>
    <row r="312" spans="1:6" ht="12.75" customHeight="1" thickBot="1">
      <c r="A312" s="227"/>
      <c r="B312" s="145" t="s">
        <v>168</v>
      </c>
      <c r="C312" s="161" t="s">
        <v>53</v>
      </c>
      <c r="D312" s="269">
        <f>1/0.052*0.7</f>
        <v>13.46153846153846</v>
      </c>
      <c r="E312" s="276">
        <f t="shared" si="34"/>
        <v>105081.59090909091</v>
      </c>
      <c r="F312" s="157">
        <f t="shared" si="31"/>
        <v>1414559.8776223776</v>
      </c>
    </row>
    <row r="313" spans="1:6" ht="12.75" customHeight="1">
      <c r="A313" s="227"/>
      <c r="B313" s="159" t="s">
        <v>42</v>
      </c>
      <c r="C313" s="155"/>
      <c r="D313" s="151"/>
      <c r="E313" s="276"/>
      <c r="F313" s="156">
        <f>SUM(F309:F312)</f>
        <v>3979680.5557668684</v>
      </c>
    </row>
    <row r="314" spans="1:6" ht="12.75" customHeight="1">
      <c r="A314" s="227">
        <v>52</v>
      </c>
      <c r="B314" s="229" t="s">
        <v>356</v>
      </c>
      <c r="C314" s="143" t="s">
        <v>51</v>
      </c>
      <c r="D314" s="151"/>
      <c r="E314" s="276"/>
      <c r="F314" s="153"/>
    </row>
    <row r="315" spans="1:6" ht="12.75" customHeight="1">
      <c r="A315" s="227"/>
      <c r="B315" s="145" t="s">
        <v>165</v>
      </c>
      <c r="C315" s="143" t="s">
        <v>51</v>
      </c>
      <c r="D315" s="269">
        <v>1</v>
      </c>
      <c r="E315" s="276">
        <f>E309</f>
        <v>878750</v>
      </c>
      <c r="F315" s="153">
        <f t="shared" ref="F315:F318" si="35">D315*E315</f>
        <v>878750</v>
      </c>
    </row>
    <row r="316" spans="1:6" ht="12.75" customHeight="1">
      <c r="A316" s="227"/>
      <c r="B316" s="145" t="s">
        <v>166</v>
      </c>
      <c r="C316" s="143" t="s">
        <v>43</v>
      </c>
      <c r="D316" s="269">
        <f>1/0.052*4.5*1.04*1.1</f>
        <v>99.000000000000014</v>
      </c>
      <c r="E316" s="276">
        <f t="shared" ref="E316:E318" si="36">E310</f>
        <v>12250.369369369369</v>
      </c>
      <c r="F316" s="153">
        <f t="shared" si="35"/>
        <v>1212786.5675675678</v>
      </c>
    </row>
    <row r="317" spans="1:6" ht="12.75" customHeight="1">
      <c r="A317" s="227"/>
      <c r="B317" s="145" t="s">
        <v>167</v>
      </c>
      <c r="C317" s="150" t="s">
        <v>43</v>
      </c>
      <c r="D317" s="269">
        <f>1/0.052*0.9*5.5*0.395*1.1</f>
        <v>41.361057692307689</v>
      </c>
      <c r="E317" s="276">
        <f t="shared" si="36"/>
        <v>11450</v>
      </c>
      <c r="F317" s="153">
        <f t="shared" si="35"/>
        <v>473584.11057692306</v>
      </c>
    </row>
    <row r="318" spans="1:6" ht="12.75" customHeight="1" thickBot="1">
      <c r="A318" s="227"/>
      <c r="B318" s="145" t="s">
        <v>168</v>
      </c>
      <c r="C318" s="161" t="s">
        <v>53</v>
      </c>
      <c r="D318" s="269">
        <f>1/0.052*0.7</f>
        <v>13.46153846153846</v>
      </c>
      <c r="E318" s="276">
        <f t="shared" si="36"/>
        <v>105081.59090909091</v>
      </c>
      <c r="F318" s="157">
        <f t="shared" si="35"/>
        <v>1414559.8776223776</v>
      </c>
    </row>
    <row r="319" spans="1:6" ht="12.75" customHeight="1">
      <c r="A319" s="227"/>
      <c r="B319" s="159" t="s">
        <v>42</v>
      </c>
      <c r="C319" s="155"/>
      <c r="D319" s="151"/>
      <c r="E319" s="276"/>
      <c r="F319" s="156">
        <f>SUM(F315:F318)</f>
        <v>3979680.5557668684</v>
      </c>
    </row>
    <row r="320" spans="1:6" ht="12.75" customHeight="1">
      <c r="A320" s="227">
        <v>53</v>
      </c>
      <c r="B320" s="229" t="s">
        <v>357</v>
      </c>
      <c r="C320" s="143" t="s">
        <v>51</v>
      </c>
      <c r="D320" s="151"/>
      <c r="E320" s="276"/>
      <c r="F320" s="153"/>
    </row>
    <row r="321" spans="1:6" ht="12.75" customHeight="1">
      <c r="A321" s="227"/>
      <c r="B321" s="145" t="s">
        <v>165</v>
      </c>
      <c r="C321" s="143" t="s">
        <v>51</v>
      </c>
      <c r="D321" s="269">
        <v>1</v>
      </c>
      <c r="E321" s="276">
        <f>E315</f>
        <v>878750</v>
      </c>
      <c r="F321" s="153">
        <f t="shared" ref="F321:F324" si="37">D321*E321</f>
        <v>878750</v>
      </c>
    </row>
    <row r="322" spans="1:6" ht="12.75" customHeight="1">
      <c r="A322" s="227"/>
      <c r="B322" s="145" t="s">
        <v>166</v>
      </c>
      <c r="C322" s="143" t="s">
        <v>43</v>
      </c>
      <c r="D322" s="269">
        <f>1/0.052*4.5*1.04*1.1</f>
        <v>99.000000000000014</v>
      </c>
      <c r="E322" s="276">
        <f t="shared" ref="E322:E324" si="38">E316</f>
        <v>12250.369369369369</v>
      </c>
      <c r="F322" s="153">
        <f t="shared" si="37"/>
        <v>1212786.5675675678</v>
      </c>
    </row>
    <row r="323" spans="1:6" ht="12.75" customHeight="1">
      <c r="A323" s="227"/>
      <c r="B323" s="145" t="s">
        <v>167</v>
      </c>
      <c r="C323" s="150" t="s">
        <v>43</v>
      </c>
      <c r="D323" s="269">
        <f>1/0.052*0.9*6*0.395*1.1</f>
        <v>45.121153846153845</v>
      </c>
      <c r="E323" s="276">
        <f t="shared" si="38"/>
        <v>11450</v>
      </c>
      <c r="F323" s="153">
        <f t="shared" si="37"/>
        <v>516637.2115384615</v>
      </c>
    </row>
    <row r="324" spans="1:6" ht="12.75" customHeight="1" thickBot="1">
      <c r="A324" s="227"/>
      <c r="B324" s="145" t="s">
        <v>168</v>
      </c>
      <c r="C324" s="161" t="s">
        <v>53</v>
      </c>
      <c r="D324" s="269">
        <f>1/0.052*0.7</f>
        <v>13.46153846153846</v>
      </c>
      <c r="E324" s="276">
        <f t="shared" si="38"/>
        <v>105081.59090909091</v>
      </c>
      <c r="F324" s="157">
        <f t="shared" si="37"/>
        <v>1414559.8776223776</v>
      </c>
    </row>
    <row r="325" spans="1:6" ht="12.75" customHeight="1">
      <c r="A325" s="227"/>
      <c r="B325" s="159" t="s">
        <v>42</v>
      </c>
      <c r="C325" s="155"/>
      <c r="D325" s="151"/>
      <c r="E325" s="276"/>
      <c r="F325" s="156">
        <f>SUM(F321:F324)</f>
        <v>4022733.6567284069</v>
      </c>
    </row>
    <row r="326" spans="1:6" ht="12.75" customHeight="1">
      <c r="A326" s="227">
        <v>54</v>
      </c>
      <c r="B326" s="229" t="s">
        <v>358</v>
      </c>
      <c r="C326" s="143" t="s">
        <v>51</v>
      </c>
      <c r="D326" s="151"/>
      <c r="E326" s="276"/>
      <c r="F326" s="153"/>
    </row>
    <row r="327" spans="1:6" ht="12.75" customHeight="1">
      <c r="A327" s="227"/>
      <c r="B327" s="145" t="s">
        <v>165</v>
      </c>
      <c r="C327" s="143" t="s">
        <v>51</v>
      </c>
      <c r="D327" s="269">
        <v>1</v>
      </c>
      <c r="E327" s="276">
        <f>E321</f>
        <v>878750</v>
      </c>
      <c r="F327" s="153">
        <f t="shared" ref="F327:F330" si="39">D327*E327</f>
        <v>878750</v>
      </c>
    </row>
    <row r="328" spans="1:6" ht="12.75" customHeight="1">
      <c r="A328" s="227"/>
      <c r="B328" s="145" t="s">
        <v>166</v>
      </c>
      <c r="C328" s="143" t="s">
        <v>43</v>
      </c>
      <c r="D328" s="269">
        <f>1/0.052*5*1.04*1.1</f>
        <v>110.00000000000001</v>
      </c>
      <c r="E328" s="276">
        <f t="shared" ref="E328:E330" si="40">E322</f>
        <v>12250.369369369369</v>
      </c>
      <c r="F328" s="153">
        <f t="shared" si="39"/>
        <v>1347540.6306306308</v>
      </c>
    </row>
    <row r="329" spans="1:6" ht="12.75" customHeight="1">
      <c r="A329" s="227"/>
      <c r="B329" s="145" t="s">
        <v>167</v>
      </c>
      <c r="C329" s="150" t="s">
        <v>43</v>
      </c>
      <c r="D329" s="269">
        <f>1/0.052*0.9*6.5*0.395*1.1</f>
        <v>48.881250000000001</v>
      </c>
      <c r="E329" s="276">
        <f t="shared" si="40"/>
        <v>11450</v>
      </c>
      <c r="F329" s="153">
        <f t="shared" si="39"/>
        <v>559690.3125</v>
      </c>
    </row>
    <row r="330" spans="1:6" ht="12.75" customHeight="1" thickBot="1">
      <c r="A330" s="227"/>
      <c r="B330" s="145" t="s">
        <v>168</v>
      </c>
      <c r="C330" s="161" t="s">
        <v>53</v>
      </c>
      <c r="D330" s="269">
        <f>1/0.052*0.7</f>
        <v>13.46153846153846</v>
      </c>
      <c r="E330" s="276">
        <f t="shared" si="40"/>
        <v>105081.59090909091</v>
      </c>
      <c r="F330" s="157">
        <f t="shared" si="39"/>
        <v>1414559.8776223776</v>
      </c>
    </row>
    <row r="331" spans="1:6" ht="12.75" customHeight="1">
      <c r="A331" s="227"/>
      <c r="B331" s="159" t="s">
        <v>42</v>
      </c>
      <c r="C331" s="155"/>
      <c r="D331" s="151"/>
      <c r="E331" s="276"/>
      <c r="F331" s="156">
        <f>SUM(F327:F330)</f>
        <v>4200540.8207530081</v>
      </c>
    </row>
    <row r="332" spans="1:6" ht="12.75" customHeight="1">
      <c r="A332" s="227">
        <v>55</v>
      </c>
      <c r="B332" s="229" t="s">
        <v>359</v>
      </c>
      <c r="C332" s="143" t="s">
        <v>51</v>
      </c>
      <c r="D332" s="151"/>
      <c r="E332" s="276"/>
      <c r="F332" s="153"/>
    </row>
    <row r="333" spans="1:6" ht="12.75" customHeight="1">
      <c r="A333" s="227"/>
      <c r="B333" s="145" t="s">
        <v>165</v>
      </c>
      <c r="C333" s="143" t="s">
        <v>51</v>
      </c>
      <c r="D333" s="269">
        <v>1</v>
      </c>
      <c r="E333" s="276">
        <f>E327</f>
        <v>878750</v>
      </c>
      <c r="F333" s="153">
        <f t="shared" si="31"/>
        <v>878750</v>
      </c>
    </row>
    <row r="334" spans="1:6" ht="12.75" customHeight="1">
      <c r="A334" s="227"/>
      <c r="B334" s="145" t="s">
        <v>166</v>
      </c>
      <c r="C334" s="143" t="s">
        <v>43</v>
      </c>
      <c r="D334" s="269">
        <f>1/0.052*6*1.04*1.1</f>
        <v>132</v>
      </c>
      <c r="E334" s="276">
        <f t="shared" ref="E334:E336" si="41">E328</f>
        <v>12250.369369369369</v>
      </c>
      <c r="F334" s="153">
        <f t="shared" si="31"/>
        <v>1617048.7567567567</v>
      </c>
    </row>
    <row r="335" spans="1:6" ht="12.75" customHeight="1">
      <c r="A335" s="227"/>
      <c r="B335" s="145" t="s">
        <v>167</v>
      </c>
      <c r="C335" s="150" t="s">
        <v>43</v>
      </c>
      <c r="D335" s="269">
        <f>1/0.052*0.9*6*0.395*1.1</f>
        <v>45.121153846153845</v>
      </c>
      <c r="E335" s="276">
        <f t="shared" si="41"/>
        <v>11450</v>
      </c>
      <c r="F335" s="153">
        <f t="shared" si="31"/>
        <v>516637.2115384615</v>
      </c>
    </row>
    <row r="336" spans="1:6" ht="12.75" customHeight="1" thickBot="1">
      <c r="A336" s="227"/>
      <c r="B336" s="145" t="s">
        <v>168</v>
      </c>
      <c r="C336" s="161" t="s">
        <v>53</v>
      </c>
      <c r="D336" s="269">
        <f>1/0.052*0.7</f>
        <v>13.46153846153846</v>
      </c>
      <c r="E336" s="276">
        <f t="shared" si="41"/>
        <v>105081.59090909091</v>
      </c>
      <c r="F336" s="157">
        <f t="shared" si="31"/>
        <v>1414559.8776223776</v>
      </c>
    </row>
    <row r="337" spans="1:6" ht="12.75" customHeight="1">
      <c r="A337" s="227"/>
      <c r="B337" s="159" t="s">
        <v>42</v>
      </c>
      <c r="C337" s="155"/>
      <c r="D337" s="151"/>
      <c r="E337" s="276"/>
      <c r="F337" s="156">
        <f>SUM(F333:F336)</f>
        <v>4426995.8459175956</v>
      </c>
    </row>
    <row r="338" spans="1:6" ht="12.75" customHeight="1">
      <c r="A338" s="227">
        <v>56</v>
      </c>
      <c r="B338" s="229" t="s">
        <v>360</v>
      </c>
      <c r="C338" s="143" t="s">
        <v>51</v>
      </c>
      <c r="D338" s="151"/>
      <c r="E338" s="276"/>
      <c r="F338" s="153"/>
    </row>
    <row r="339" spans="1:6" ht="12.75" customHeight="1">
      <c r="A339" s="227"/>
      <c r="B339" s="145" t="s">
        <v>165</v>
      </c>
      <c r="C339" s="143" t="s">
        <v>51</v>
      </c>
      <c r="D339" s="269">
        <v>1</v>
      </c>
      <c r="E339" s="276">
        <f>E333</f>
        <v>878750</v>
      </c>
      <c r="F339" s="153">
        <f t="shared" si="31"/>
        <v>878750</v>
      </c>
    </row>
    <row r="340" spans="1:6" ht="12.75" customHeight="1">
      <c r="A340" s="227"/>
      <c r="B340" s="145" t="s">
        <v>166</v>
      </c>
      <c r="C340" s="143" t="s">
        <v>43</v>
      </c>
      <c r="D340" s="269">
        <f>1/0.065*4*1.04*1.1</f>
        <v>70.400000000000006</v>
      </c>
      <c r="E340" s="276">
        <f>E334</f>
        <v>12250.369369369369</v>
      </c>
      <c r="F340" s="153">
        <f t="shared" si="31"/>
        <v>862426.00360360369</v>
      </c>
    </row>
    <row r="341" spans="1:6" ht="12.75" customHeight="1">
      <c r="A341" s="227"/>
      <c r="B341" s="145" t="s">
        <v>167</v>
      </c>
      <c r="C341" s="150" t="s">
        <v>43</v>
      </c>
      <c r="D341" s="269">
        <f>1/0.065*2*0.395*1.1</f>
        <v>13.36923076923077</v>
      </c>
      <c r="E341" s="276">
        <f>E335</f>
        <v>11450</v>
      </c>
      <c r="F341" s="153">
        <f t="shared" ref="F341" si="42">D341*E341</f>
        <v>153077.69230769231</v>
      </c>
    </row>
    <row r="342" spans="1:6" ht="12.75" customHeight="1">
      <c r="A342" s="227"/>
      <c r="B342" s="145" t="s">
        <v>167</v>
      </c>
      <c r="C342" s="150" t="s">
        <v>43</v>
      </c>
      <c r="D342" s="269">
        <f>1/0.065*1.2*5*0.395*1.1</f>
        <v>40.107692307692311</v>
      </c>
      <c r="E342" s="276">
        <f>E341</f>
        <v>11450</v>
      </c>
      <c r="F342" s="153">
        <f t="shared" si="31"/>
        <v>459233.07692307694</v>
      </c>
    </row>
    <row r="343" spans="1:6" ht="12.75" customHeight="1" thickBot="1">
      <c r="A343" s="227"/>
      <c r="B343" s="145" t="s">
        <v>168</v>
      </c>
      <c r="C343" s="161" t="s">
        <v>53</v>
      </c>
      <c r="D343" s="269">
        <f>1/0.065*0.9</f>
        <v>13.846153846153845</v>
      </c>
      <c r="E343" s="276">
        <f>E336</f>
        <v>105081.59090909091</v>
      </c>
      <c r="F343" s="157">
        <f t="shared" si="31"/>
        <v>1454975.8741258741</v>
      </c>
    </row>
    <row r="344" spans="1:6" ht="12.75" customHeight="1">
      <c r="A344" s="227"/>
      <c r="B344" s="159" t="s">
        <v>42</v>
      </c>
      <c r="C344" s="155"/>
      <c r="D344" s="151"/>
      <c r="E344" s="276"/>
      <c r="F344" s="156">
        <f>SUM(F339:F343)</f>
        <v>3808462.6469602468</v>
      </c>
    </row>
    <row r="345" spans="1:6" ht="12.75" customHeight="1">
      <c r="A345" s="227">
        <v>57</v>
      </c>
      <c r="B345" s="229" t="s">
        <v>361</v>
      </c>
      <c r="C345" s="143" t="s">
        <v>51</v>
      </c>
      <c r="D345" s="151"/>
      <c r="E345" s="276"/>
      <c r="F345" s="153"/>
    </row>
    <row r="346" spans="1:6" ht="12.75" customHeight="1">
      <c r="A346" s="274"/>
      <c r="B346" s="145" t="s">
        <v>165</v>
      </c>
      <c r="C346" s="143" t="s">
        <v>51</v>
      </c>
      <c r="D346" s="269">
        <v>1</v>
      </c>
      <c r="E346" s="276">
        <f>E339</f>
        <v>878750</v>
      </c>
      <c r="F346" s="153">
        <f t="shared" si="31"/>
        <v>878750</v>
      </c>
    </row>
    <row r="347" spans="1:6" ht="12.75" customHeight="1">
      <c r="A347" s="274"/>
      <c r="B347" s="145" t="s">
        <v>166</v>
      </c>
      <c r="C347" s="143" t="s">
        <v>43</v>
      </c>
      <c r="D347" s="269">
        <f>1/0.065*5.5*1.04*1.1</f>
        <v>96.800000000000011</v>
      </c>
      <c r="E347" s="276">
        <f>E340</f>
        <v>12250.369369369369</v>
      </c>
      <c r="F347" s="153">
        <f>D347*E347</f>
        <v>1185835.7549549551</v>
      </c>
    </row>
    <row r="348" spans="1:6" ht="12.75" customHeight="1">
      <c r="A348" s="274"/>
      <c r="B348" s="145" t="s">
        <v>167</v>
      </c>
      <c r="C348" s="150" t="s">
        <v>43</v>
      </c>
      <c r="D348" s="269">
        <f>1/0.065*2*0.395*1.1</f>
        <v>13.36923076923077</v>
      </c>
      <c r="E348" s="276">
        <f>E342</f>
        <v>11450</v>
      </c>
      <c r="F348" s="153">
        <f t="shared" si="31"/>
        <v>153077.69230769231</v>
      </c>
    </row>
    <row r="349" spans="1:6" ht="12.75" customHeight="1">
      <c r="A349" s="274"/>
      <c r="B349" s="145" t="s">
        <v>167</v>
      </c>
      <c r="C349" s="150" t="s">
        <v>43</v>
      </c>
      <c r="D349" s="269">
        <f>1/0.065*1.2*6*0.395*1.1</f>
        <v>48.129230769230773</v>
      </c>
      <c r="E349" s="276">
        <f>E342</f>
        <v>11450</v>
      </c>
      <c r="F349" s="153">
        <f t="shared" si="31"/>
        <v>551079.69230769237</v>
      </c>
    </row>
    <row r="350" spans="1:6" ht="12.75" customHeight="1" thickBot="1">
      <c r="A350" s="274"/>
      <c r="B350" s="145" t="s">
        <v>168</v>
      </c>
      <c r="C350" s="161" t="s">
        <v>53</v>
      </c>
      <c r="D350" s="269">
        <f>1/0.065*0.9</f>
        <v>13.846153846153845</v>
      </c>
      <c r="E350" s="276">
        <f>E343</f>
        <v>105081.59090909091</v>
      </c>
      <c r="F350" s="157">
        <f t="shared" si="31"/>
        <v>1454975.8741258741</v>
      </c>
    </row>
    <row r="351" spans="1:6" ht="12.75" customHeight="1">
      <c r="A351" s="274"/>
      <c r="B351" s="159" t="s">
        <v>42</v>
      </c>
      <c r="C351" s="155"/>
      <c r="D351" s="151"/>
      <c r="E351" s="276"/>
      <c r="F351" s="156">
        <f>SUM(F346:F350)</f>
        <v>4223719.0136962142</v>
      </c>
    </row>
    <row r="352" spans="1:6" ht="12.75" customHeight="1">
      <c r="A352" s="274">
        <v>58</v>
      </c>
      <c r="B352" s="229" t="s">
        <v>362</v>
      </c>
      <c r="C352" s="143" t="s">
        <v>51</v>
      </c>
      <c r="D352" s="151"/>
      <c r="E352" s="276"/>
      <c r="F352" s="153"/>
    </row>
    <row r="353" spans="1:6" ht="12.75" customHeight="1">
      <c r="A353" s="227"/>
      <c r="B353" s="145" t="s">
        <v>165</v>
      </c>
      <c r="C353" s="143" t="s">
        <v>51</v>
      </c>
      <c r="D353" s="269">
        <v>1</v>
      </c>
      <c r="E353" s="276">
        <f>E346</f>
        <v>878750</v>
      </c>
      <c r="F353" s="153">
        <f t="shared" si="31"/>
        <v>878750</v>
      </c>
    </row>
    <row r="354" spans="1:6" ht="12.75" customHeight="1">
      <c r="A354" s="227"/>
      <c r="B354" s="145" t="s">
        <v>166</v>
      </c>
      <c r="C354" s="143" t="s">
        <v>43</v>
      </c>
      <c r="D354" s="269">
        <f>1/0.065*5.5*1.04*1.1</f>
        <v>96.800000000000011</v>
      </c>
      <c r="E354" s="276">
        <f>E347</f>
        <v>12250.369369369369</v>
      </c>
      <c r="F354" s="153">
        <f t="shared" si="31"/>
        <v>1185835.7549549551</v>
      </c>
    </row>
    <row r="355" spans="1:6" ht="12.75" customHeight="1">
      <c r="A355" s="227"/>
      <c r="B355" s="145" t="s">
        <v>167</v>
      </c>
      <c r="C355" s="143" t="s">
        <v>43</v>
      </c>
      <c r="D355" s="269">
        <f>1/0.065*2*0.395*1.1</f>
        <v>13.36923076923077</v>
      </c>
      <c r="E355" s="276">
        <f>E348</f>
        <v>11450</v>
      </c>
      <c r="F355" s="153">
        <f t="shared" si="31"/>
        <v>153077.69230769231</v>
      </c>
    </row>
    <row r="356" spans="1:6" ht="12.75" customHeight="1">
      <c r="A356" s="227"/>
      <c r="B356" s="145" t="s">
        <v>167</v>
      </c>
      <c r="C356" s="150" t="s">
        <v>43</v>
      </c>
      <c r="D356" s="269">
        <f>1/0.065*1.2*8.5*0.395*1.1</f>
        <v>68.183076923076925</v>
      </c>
      <c r="E356" s="276">
        <f>E355</f>
        <v>11450</v>
      </c>
      <c r="F356" s="153">
        <f t="shared" si="31"/>
        <v>780696.23076923075</v>
      </c>
    </row>
    <row r="357" spans="1:6" ht="12.75" customHeight="1" thickBot="1">
      <c r="A357" s="227"/>
      <c r="B357" s="145" t="s">
        <v>168</v>
      </c>
      <c r="C357" s="161" t="s">
        <v>53</v>
      </c>
      <c r="D357" s="269">
        <f>1/0.065*0.9</f>
        <v>13.846153846153845</v>
      </c>
      <c r="E357" s="276">
        <f>E350</f>
        <v>105081.59090909091</v>
      </c>
      <c r="F357" s="154">
        <f t="shared" si="31"/>
        <v>1454975.8741258741</v>
      </c>
    </row>
    <row r="358" spans="1:6" ht="12.75" customHeight="1">
      <c r="A358" s="227"/>
      <c r="B358" s="159" t="s">
        <v>42</v>
      </c>
      <c r="C358" s="155"/>
      <c r="D358" s="151"/>
      <c r="E358" s="276"/>
      <c r="F358" s="149">
        <f>SUM(F353:F357)</f>
        <v>4453335.5521577522</v>
      </c>
    </row>
    <row r="359" spans="1:6" ht="12.75" customHeight="1">
      <c r="A359" s="227">
        <v>59</v>
      </c>
      <c r="B359" s="229" t="s">
        <v>363</v>
      </c>
      <c r="C359" s="143" t="s">
        <v>51</v>
      </c>
      <c r="D359" s="151"/>
      <c r="E359" s="276"/>
      <c r="F359" s="153"/>
    </row>
    <row r="360" spans="1:6" ht="12.75" customHeight="1">
      <c r="A360" s="227"/>
      <c r="B360" s="145" t="s">
        <v>165</v>
      </c>
      <c r="C360" s="143" t="s">
        <v>51</v>
      </c>
      <c r="D360" s="269">
        <v>1</v>
      </c>
      <c r="E360" s="276">
        <f>E346</f>
        <v>878750</v>
      </c>
      <c r="F360" s="153">
        <f t="shared" si="31"/>
        <v>878750</v>
      </c>
    </row>
    <row r="361" spans="1:6" ht="12.75" customHeight="1">
      <c r="A361" s="227"/>
      <c r="B361" s="145" t="s">
        <v>166</v>
      </c>
      <c r="C361" s="143" t="s">
        <v>43</v>
      </c>
      <c r="D361" s="269">
        <f>1/0.065*5*1.04*1.1</f>
        <v>88</v>
      </c>
      <c r="E361" s="276">
        <f>E347</f>
        <v>12250.369369369369</v>
      </c>
      <c r="F361" s="153">
        <f t="shared" si="31"/>
        <v>1078032.5045045046</v>
      </c>
    </row>
    <row r="362" spans="1:6" ht="12.75" customHeight="1">
      <c r="A362" s="227"/>
      <c r="B362" s="145" t="s">
        <v>167</v>
      </c>
      <c r="C362" s="143" t="s">
        <v>43</v>
      </c>
      <c r="D362" s="269">
        <f>1/0.065*2*0.395*1.1</f>
        <v>13.36923076923077</v>
      </c>
      <c r="E362" s="276">
        <f>E348</f>
        <v>11450</v>
      </c>
      <c r="F362" s="153">
        <f t="shared" si="31"/>
        <v>153077.69230769231</v>
      </c>
    </row>
    <row r="363" spans="1:6" ht="12.75" customHeight="1">
      <c r="A363" s="227"/>
      <c r="B363" s="145" t="s">
        <v>167</v>
      </c>
      <c r="C363" s="150" t="s">
        <v>43</v>
      </c>
      <c r="D363" s="269">
        <f>1/0.065*1.2*6.5*0.395*1.1</f>
        <v>52.14</v>
      </c>
      <c r="E363" s="276">
        <f>E349</f>
        <v>11450</v>
      </c>
      <c r="F363" s="153">
        <f t="shared" si="31"/>
        <v>597003</v>
      </c>
    </row>
    <row r="364" spans="1:6" ht="12.75" customHeight="1" thickBot="1">
      <c r="A364" s="227"/>
      <c r="B364" s="145" t="s">
        <v>168</v>
      </c>
      <c r="C364" s="161" t="s">
        <v>53</v>
      </c>
      <c r="D364" s="269">
        <f>1/0.065*0.9</f>
        <v>13.846153846153845</v>
      </c>
      <c r="E364" s="276">
        <f>E350</f>
        <v>105081.59090909091</v>
      </c>
      <c r="F364" s="157">
        <f t="shared" si="31"/>
        <v>1454975.8741258741</v>
      </c>
    </row>
    <row r="365" spans="1:6" ht="12.75" customHeight="1">
      <c r="A365" s="227"/>
      <c r="B365" s="159" t="s">
        <v>42</v>
      </c>
      <c r="C365" s="155"/>
      <c r="D365" s="151"/>
      <c r="E365" s="276"/>
      <c r="F365" s="156">
        <f>SUM(F360:F364)</f>
        <v>4161839.0709380712</v>
      </c>
    </row>
    <row r="366" spans="1:6" ht="12.75" customHeight="1">
      <c r="A366" s="227">
        <v>60</v>
      </c>
      <c r="B366" s="229" t="s">
        <v>364</v>
      </c>
      <c r="C366" s="143" t="s">
        <v>51</v>
      </c>
      <c r="D366" s="151"/>
      <c r="E366" s="276"/>
      <c r="F366" s="153"/>
    </row>
    <row r="367" spans="1:6" ht="12.75" customHeight="1">
      <c r="A367" s="227"/>
      <c r="B367" s="145" t="s">
        <v>165</v>
      </c>
      <c r="C367" s="143" t="s">
        <v>51</v>
      </c>
      <c r="D367" s="269">
        <v>1</v>
      </c>
      <c r="E367" s="276">
        <f>E360</f>
        <v>878750</v>
      </c>
      <c r="F367" s="153">
        <f t="shared" si="31"/>
        <v>878750</v>
      </c>
    </row>
    <row r="368" spans="1:6" ht="12.75" customHeight="1">
      <c r="A368" s="227"/>
      <c r="B368" s="145" t="s">
        <v>166</v>
      </c>
      <c r="C368" s="143" t="s">
        <v>43</v>
      </c>
      <c r="D368" s="269">
        <f>1/0.065*6*1.04*1.1</f>
        <v>105.6</v>
      </c>
      <c r="E368" s="276">
        <f>E361</f>
        <v>12250.369369369369</v>
      </c>
      <c r="F368" s="153">
        <f t="shared" si="31"/>
        <v>1293639.0054054053</v>
      </c>
    </row>
    <row r="369" spans="1:6" ht="12.75" customHeight="1">
      <c r="A369" s="227"/>
      <c r="B369" s="145" t="s">
        <v>167</v>
      </c>
      <c r="C369" s="143" t="s">
        <v>43</v>
      </c>
      <c r="D369" s="269">
        <f>1/0.065*2*0.395*1.1</f>
        <v>13.36923076923077</v>
      </c>
      <c r="E369" s="276">
        <f>E348</f>
        <v>11450</v>
      </c>
      <c r="F369" s="153">
        <f t="shared" si="31"/>
        <v>153077.69230769231</v>
      </c>
    </row>
    <row r="370" spans="1:6" ht="12.75" customHeight="1">
      <c r="A370" s="227"/>
      <c r="B370" s="145" t="s">
        <v>167</v>
      </c>
      <c r="C370" s="150" t="s">
        <v>43</v>
      </c>
      <c r="D370" s="269">
        <f>1/0.065*1.2*6.5*0.395*1.1</f>
        <v>52.14</v>
      </c>
      <c r="E370" s="276">
        <f>E363</f>
        <v>11450</v>
      </c>
      <c r="F370" s="153">
        <f t="shared" si="31"/>
        <v>597003</v>
      </c>
    </row>
    <row r="371" spans="1:6" ht="12.75" customHeight="1" thickBot="1">
      <c r="A371" s="227"/>
      <c r="B371" s="145" t="s">
        <v>168</v>
      </c>
      <c r="C371" s="161" t="s">
        <v>53</v>
      </c>
      <c r="D371" s="269">
        <f>1/0.065*0.9</f>
        <v>13.846153846153845</v>
      </c>
      <c r="E371" s="276">
        <f>E364</f>
        <v>105081.59090909091</v>
      </c>
      <c r="F371" s="157">
        <f t="shared" si="31"/>
        <v>1454975.8741258741</v>
      </c>
    </row>
    <row r="372" spans="1:6" ht="12.75" customHeight="1">
      <c r="A372" s="227"/>
      <c r="B372" s="159" t="s">
        <v>42</v>
      </c>
      <c r="C372" s="155"/>
      <c r="D372" s="151"/>
      <c r="E372" s="276"/>
      <c r="F372" s="156">
        <f>SUM(F367:F371)</f>
        <v>4377445.5718389722</v>
      </c>
    </row>
    <row r="373" spans="1:6" ht="12.75" customHeight="1">
      <c r="A373" s="227">
        <v>61</v>
      </c>
      <c r="B373" s="229" t="s">
        <v>365</v>
      </c>
      <c r="C373" s="143" t="s">
        <v>51</v>
      </c>
      <c r="D373" s="151"/>
      <c r="E373" s="276"/>
      <c r="F373" s="153"/>
    </row>
    <row r="374" spans="1:6" ht="12.75" customHeight="1">
      <c r="A374" s="227"/>
      <c r="B374" s="145" t="s">
        <v>165</v>
      </c>
      <c r="C374" s="143" t="s">
        <v>51</v>
      </c>
      <c r="D374" s="269">
        <v>1</v>
      </c>
      <c r="E374" s="276">
        <f>E367</f>
        <v>878750</v>
      </c>
      <c r="F374" s="153">
        <f t="shared" ref="F374:F378" si="43">D374*E374</f>
        <v>878750</v>
      </c>
    </row>
    <row r="375" spans="1:6" ht="12.75" customHeight="1">
      <c r="A375" s="227"/>
      <c r="B375" s="145" t="s">
        <v>166</v>
      </c>
      <c r="C375" s="143" t="s">
        <v>43</v>
      </c>
      <c r="D375" s="269">
        <f>1/0.1*8*1.04*1.1</f>
        <v>91.52000000000001</v>
      </c>
      <c r="E375" s="276">
        <f>E368</f>
        <v>12250.369369369369</v>
      </c>
      <c r="F375" s="153">
        <f t="shared" si="43"/>
        <v>1121153.8046846848</v>
      </c>
    </row>
    <row r="376" spans="1:6" ht="12.75" customHeight="1">
      <c r="A376" s="227"/>
      <c r="B376" s="145" t="s">
        <v>167</v>
      </c>
      <c r="C376" s="143" t="s">
        <v>43</v>
      </c>
      <c r="D376" s="269">
        <f>1/0.1*2*0.395*1.1</f>
        <v>8.6900000000000013</v>
      </c>
      <c r="E376" s="276">
        <f>E348</f>
        <v>11450</v>
      </c>
      <c r="F376" s="153">
        <f t="shared" si="43"/>
        <v>99500.500000000015</v>
      </c>
    </row>
    <row r="377" spans="1:6" ht="12.75" customHeight="1">
      <c r="A377" s="227"/>
      <c r="B377" s="145" t="s">
        <v>167</v>
      </c>
      <c r="C377" s="150" t="s">
        <v>43</v>
      </c>
      <c r="D377" s="269">
        <f>1/0.1*1.45*8.5*0.395*1.1</f>
        <v>53.552125000000011</v>
      </c>
      <c r="E377" s="276">
        <f>E370</f>
        <v>11450</v>
      </c>
      <c r="F377" s="153">
        <f t="shared" si="43"/>
        <v>613171.83125000016</v>
      </c>
    </row>
    <row r="378" spans="1:6" ht="12.75" customHeight="1" thickBot="1">
      <c r="A378" s="227"/>
      <c r="B378" s="145" t="s">
        <v>168</v>
      </c>
      <c r="C378" s="161" t="s">
        <v>53</v>
      </c>
      <c r="D378" s="269">
        <f>1/0.1*1</f>
        <v>10</v>
      </c>
      <c r="E378" s="276">
        <f>E371</f>
        <v>105081.59090909091</v>
      </c>
      <c r="F378" s="157">
        <f t="shared" si="43"/>
        <v>1050815.9090909092</v>
      </c>
    </row>
    <row r="379" spans="1:6" ht="12.75" customHeight="1">
      <c r="A379" s="227"/>
      <c r="B379" s="159" t="s">
        <v>42</v>
      </c>
      <c r="C379" s="155"/>
      <c r="D379" s="151"/>
      <c r="E379" s="276"/>
      <c r="F379" s="156">
        <f>SUM(F374:F378)</f>
        <v>3763392.0450255945</v>
      </c>
    </row>
    <row r="380" spans="1:6" ht="12.75" customHeight="1">
      <c r="A380" s="227">
        <v>62</v>
      </c>
      <c r="B380" s="229" t="s">
        <v>366</v>
      </c>
      <c r="C380" s="143" t="s">
        <v>51</v>
      </c>
      <c r="D380" s="151"/>
      <c r="E380" s="276"/>
      <c r="F380" s="153"/>
    </row>
    <row r="381" spans="1:6" ht="12.75" customHeight="1">
      <c r="A381" s="227"/>
      <c r="B381" s="145" t="s">
        <v>165</v>
      </c>
      <c r="C381" s="143" t="s">
        <v>51</v>
      </c>
      <c r="D381" s="269">
        <v>1</v>
      </c>
      <c r="E381" s="276">
        <f>E367</f>
        <v>878750</v>
      </c>
      <c r="F381" s="153">
        <f t="shared" ref="F381:F385" si="44">D381*E381</f>
        <v>878750</v>
      </c>
    </row>
    <row r="382" spans="1:6" ht="12.75" customHeight="1">
      <c r="A382" s="227"/>
      <c r="B382" s="145" t="s">
        <v>166</v>
      </c>
      <c r="C382" s="143" t="s">
        <v>43</v>
      </c>
      <c r="D382" s="269">
        <f>1/0.1*7.5*1.04*1.1</f>
        <v>85.800000000000011</v>
      </c>
      <c r="E382" s="276">
        <f>E368</f>
        <v>12250.369369369369</v>
      </c>
      <c r="F382" s="153">
        <f t="shared" si="44"/>
        <v>1051081.6918918921</v>
      </c>
    </row>
    <row r="383" spans="1:6" ht="12.75" customHeight="1">
      <c r="A383" s="227"/>
      <c r="B383" s="145" t="s">
        <v>167</v>
      </c>
      <c r="C383" s="143" t="s">
        <v>43</v>
      </c>
      <c r="D383" s="269">
        <f>1/0.1*2*0.395*1.1</f>
        <v>8.6900000000000013</v>
      </c>
      <c r="E383" s="276">
        <f>E376</f>
        <v>11450</v>
      </c>
      <c r="F383" s="153">
        <f t="shared" si="44"/>
        <v>99500.500000000015</v>
      </c>
    </row>
    <row r="384" spans="1:6" ht="12.75" customHeight="1">
      <c r="A384" s="227"/>
      <c r="B384" s="145" t="s">
        <v>167</v>
      </c>
      <c r="C384" s="150" t="s">
        <v>43</v>
      </c>
      <c r="D384" s="269">
        <f>1/0.1*1.45*6.5*0.395*1.1</f>
        <v>40.951625000000007</v>
      </c>
      <c r="E384" s="276">
        <f>E370</f>
        <v>11450</v>
      </c>
      <c r="F384" s="153">
        <f t="shared" si="44"/>
        <v>468896.10625000007</v>
      </c>
    </row>
    <row r="385" spans="1:6" ht="12.75" customHeight="1" thickBot="1">
      <c r="A385" s="227"/>
      <c r="B385" s="145" t="s">
        <v>168</v>
      </c>
      <c r="C385" s="161" t="s">
        <v>53</v>
      </c>
      <c r="D385" s="269">
        <f>1/0.1*1</f>
        <v>10</v>
      </c>
      <c r="E385" s="276">
        <f>E371</f>
        <v>105081.59090909091</v>
      </c>
      <c r="F385" s="157">
        <f t="shared" si="44"/>
        <v>1050815.9090909092</v>
      </c>
    </row>
    <row r="386" spans="1:6" ht="12.75" customHeight="1">
      <c r="A386" s="227"/>
      <c r="B386" s="159" t="s">
        <v>42</v>
      </c>
      <c r="C386" s="155"/>
      <c r="D386" s="151"/>
      <c r="E386" s="276"/>
      <c r="F386" s="156">
        <f>SUM(F381:F385)</f>
        <v>3549044.2072328012</v>
      </c>
    </row>
    <row r="387" spans="1:6" ht="12.75" customHeight="1">
      <c r="A387" s="227">
        <v>63</v>
      </c>
      <c r="B387" s="142" t="s">
        <v>783</v>
      </c>
      <c r="C387" s="143" t="s">
        <v>51</v>
      </c>
      <c r="D387" s="151"/>
      <c r="E387" s="276"/>
      <c r="F387" s="158"/>
    </row>
    <row r="388" spans="1:6" ht="12.75" customHeight="1">
      <c r="A388" s="227"/>
      <c r="B388" s="145" t="s">
        <v>165</v>
      </c>
      <c r="C388" s="143" t="s">
        <v>51</v>
      </c>
      <c r="D388" s="269">
        <v>1</v>
      </c>
      <c r="E388" s="276">
        <f>Analisa!F30</f>
        <v>890000</v>
      </c>
      <c r="F388" s="153">
        <f>D388*E388</f>
        <v>890000</v>
      </c>
    </row>
    <row r="389" spans="1:6" ht="12.75" customHeight="1">
      <c r="A389" s="227"/>
      <c r="B389" s="145" t="s">
        <v>169</v>
      </c>
      <c r="C389" s="143" t="s">
        <v>43</v>
      </c>
      <c r="D389" s="269">
        <f>1/0.15*28*0.617*1.2</f>
        <v>138.208</v>
      </c>
      <c r="E389" s="276">
        <f>E154</f>
        <v>12250.369369369369</v>
      </c>
      <c r="F389" s="153">
        <f>D389*E389</f>
        <v>1693099.0498018018</v>
      </c>
    </row>
    <row r="390" spans="1:6" ht="12.75" customHeight="1" thickBot="1">
      <c r="A390" s="227"/>
      <c r="B390" s="145" t="s">
        <v>168</v>
      </c>
      <c r="C390" s="161" t="s">
        <v>53</v>
      </c>
      <c r="D390" s="366">
        <f>1/0.15*1</f>
        <v>6.666666666666667</v>
      </c>
      <c r="E390" s="276">
        <f>E168</f>
        <v>105081.59090909091</v>
      </c>
      <c r="F390" s="154">
        <f>D390*E390</f>
        <v>700543.93939393945</v>
      </c>
    </row>
    <row r="391" spans="1:6" ht="12.75" customHeight="1">
      <c r="A391" s="227"/>
      <c r="B391" s="159" t="s">
        <v>42</v>
      </c>
      <c r="C391" s="155"/>
      <c r="D391" s="151"/>
      <c r="E391" s="276"/>
      <c r="F391" s="149">
        <f>SUM(F388:F390)</f>
        <v>3283642.9891957412</v>
      </c>
    </row>
    <row r="392" spans="1:6" ht="12.75" customHeight="1">
      <c r="A392" s="227">
        <v>64</v>
      </c>
      <c r="B392" s="142" t="s">
        <v>784</v>
      </c>
      <c r="C392" s="143" t="s">
        <v>51</v>
      </c>
      <c r="D392" s="151"/>
      <c r="E392" s="276"/>
      <c r="F392" s="158"/>
    </row>
    <row r="393" spans="1:6" ht="12.75" customHeight="1">
      <c r="A393" s="227"/>
      <c r="B393" s="145" t="s">
        <v>165</v>
      </c>
      <c r="C393" s="143" t="s">
        <v>51</v>
      </c>
      <c r="D393" s="269">
        <v>1</v>
      </c>
      <c r="E393" s="276">
        <f>E388</f>
        <v>890000</v>
      </c>
      <c r="F393" s="153">
        <f>D393*E393</f>
        <v>890000</v>
      </c>
    </row>
    <row r="394" spans="1:6" ht="12.75" customHeight="1">
      <c r="A394" s="274"/>
      <c r="B394" s="145" t="s">
        <v>169</v>
      </c>
      <c r="C394" s="143" t="s">
        <v>43</v>
      </c>
      <c r="D394" s="269">
        <f>1/0.15*14*0.617*1.2</f>
        <v>69.103999999999999</v>
      </c>
      <c r="E394" s="276">
        <f>E389</f>
        <v>12250.369369369369</v>
      </c>
      <c r="F394" s="277">
        <f>D394*E394</f>
        <v>846549.5249009009</v>
      </c>
    </row>
    <row r="395" spans="1:6" ht="12.75" customHeight="1">
      <c r="A395" s="274"/>
      <c r="B395" s="145" t="s">
        <v>167</v>
      </c>
      <c r="C395" s="143" t="s">
        <v>43</v>
      </c>
      <c r="D395" s="269">
        <f>1/0.15*14*0.395*1.15</f>
        <v>42.396666666666675</v>
      </c>
      <c r="E395" s="276">
        <f>E149</f>
        <v>11450</v>
      </c>
      <c r="F395" s="277">
        <f>D395*E395</f>
        <v>485441.83333333343</v>
      </c>
    </row>
    <row r="396" spans="1:6" ht="12.75" customHeight="1" thickBot="1">
      <c r="A396" s="274"/>
      <c r="B396" s="145" t="s">
        <v>168</v>
      </c>
      <c r="C396" s="161" t="s">
        <v>53</v>
      </c>
      <c r="D396" s="366">
        <f>1/0.15*2</f>
        <v>13.333333333333334</v>
      </c>
      <c r="E396" s="276">
        <f>Analisa!F67</f>
        <v>124961.59090909091</v>
      </c>
      <c r="F396" s="278">
        <f>D396*E396</f>
        <v>1666154.5454545456</v>
      </c>
    </row>
    <row r="397" spans="1:6" ht="12.75" customHeight="1">
      <c r="A397" s="274"/>
      <c r="B397" s="159" t="s">
        <v>42</v>
      </c>
      <c r="C397" s="155"/>
      <c r="D397" s="151"/>
      <c r="E397" s="276"/>
      <c r="F397" s="279">
        <f>SUM(F393:F396)</f>
        <v>3888145.90368878</v>
      </c>
    </row>
    <row r="398" spans="1:6" ht="12.75" customHeight="1">
      <c r="A398" s="227">
        <v>65</v>
      </c>
      <c r="B398" s="142" t="s">
        <v>339</v>
      </c>
      <c r="C398" s="143" t="s">
        <v>51</v>
      </c>
      <c r="D398" s="151"/>
      <c r="E398" s="276"/>
      <c r="F398" s="158"/>
    </row>
    <row r="399" spans="1:6" ht="12.75" customHeight="1">
      <c r="A399" s="227"/>
      <c r="B399" s="145" t="s">
        <v>165</v>
      </c>
      <c r="C399" s="143" t="s">
        <v>51</v>
      </c>
      <c r="D399" s="269">
        <v>1</v>
      </c>
      <c r="E399" s="276">
        <f>E367</f>
        <v>878750</v>
      </c>
      <c r="F399" s="153">
        <f>D399*E399</f>
        <v>878750</v>
      </c>
    </row>
    <row r="400" spans="1:6" ht="12.75" customHeight="1">
      <c r="A400" s="227"/>
      <c r="B400" s="145" t="s">
        <v>167</v>
      </c>
      <c r="C400" s="143" t="s">
        <v>43</v>
      </c>
      <c r="D400" s="269">
        <f>1/0.1*24*0.395*1.1</f>
        <v>104.28000000000002</v>
      </c>
      <c r="E400" s="276">
        <f>E395</f>
        <v>11450</v>
      </c>
      <c r="F400" s="153">
        <f>D400*E400</f>
        <v>1194006.0000000002</v>
      </c>
    </row>
    <row r="401" spans="1:6" ht="12.75" customHeight="1" thickBot="1">
      <c r="A401" s="227"/>
      <c r="B401" s="145" t="s">
        <v>168</v>
      </c>
      <c r="C401" s="161" t="s">
        <v>53</v>
      </c>
      <c r="D401" s="269">
        <f>1/0.1</f>
        <v>10</v>
      </c>
      <c r="E401" s="276">
        <f>Analisa!F67</f>
        <v>124961.59090909091</v>
      </c>
      <c r="F401" s="154">
        <f>D401*E401</f>
        <v>1249615.9090909092</v>
      </c>
    </row>
    <row r="402" spans="1:6" ht="12.75" customHeight="1">
      <c r="A402" s="227"/>
      <c r="B402" s="159" t="s">
        <v>42</v>
      </c>
      <c r="C402" s="155"/>
      <c r="D402" s="151"/>
      <c r="E402" s="276"/>
      <c r="F402" s="149">
        <f>SUM(F399:F401)</f>
        <v>3322371.9090909092</v>
      </c>
    </row>
    <row r="403" spans="1:6" ht="12.75" customHeight="1">
      <c r="A403" s="227">
        <v>66</v>
      </c>
      <c r="B403" s="142" t="s">
        <v>340</v>
      </c>
      <c r="C403" s="143" t="s">
        <v>51</v>
      </c>
      <c r="D403" s="151"/>
      <c r="E403" s="276"/>
      <c r="F403" s="158"/>
    </row>
    <row r="404" spans="1:6" ht="12.75" customHeight="1">
      <c r="A404" s="227"/>
      <c r="B404" s="145" t="s">
        <v>165</v>
      </c>
      <c r="C404" s="143" t="s">
        <v>51</v>
      </c>
      <c r="D404" s="269">
        <v>1</v>
      </c>
      <c r="E404" s="276">
        <f>E399</f>
        <v>878750</v>
      </c>
      <c r="F404" s="153">
        <f>D404*E404</f>
        <v>878750</v>
      </c>
    </row>
    <row r="405" spans="1:6" ht="12.75" customHeight="1">
      <c r="A405" s="227"/>
      <c r="B405" s="145" t="s">
        <v>167</v>
      </c>
      <c r="C405" s="143" t="s">
        <v>43</v>
      </c>
      <c r="D405" s="269">
        <f>1/0.12*30*0.395*1.1</f>
        <v>108.62500000000003</v>
      </c>
      <c r="E405" s="276">
        <f t="shared" ref="E405" si="45">E400</f>
        <v>11450</v>
      </c>
      <c r="F405" s="153">
        <f>D405*E405</f>
        <v>1243756.2500000002</v>
      </c>
    </row>
    <row r="406" spans="1:6" ht="12.75" customHeight="1" thickBot="1">
      <c r="A406" s="227"/>
      <c r="B406" s="145" t="s">
        <v>168</v>
      </c>
      <c r="C406" s="161" t="s">
        <v>53</v>
      </c>
      <c r="D406" s="269">
        <f>1/0.12</f>
        <v>8.3333333333333339</v>
      </c>
      <c r="E406" s="276">
        <f>E401</f>
        <v>124961.59090909091</v>
      </c>
      <c r="F406" s="154">
        <f>D406*E406</f>
        <v>1041346.5909090911</v>
      </c>
    </row>
    <row r="407" spans="1:6" ht="12.75" customHeight="1">
      <c r="A407" s="227"/>
      <c r="B407" s="159" t="s">
        <v>42</v>
      </c>
      <c r="C407" s="155"/>
      <c r="D407" s="151"/>
      <c r="E407" s="276"/>
      <c r="F407" s="149">
        <f>SUM(F404:F406)</f>
        <v>3163852.8409090908</v>
      </c>
    </row>
    <row r="408" spans="1:6" ht="12.75" customHeight="1">
      <c r="A408" s="227">
        <v>67</v>
      </c>
      <c r="B408" s="142" t="s">
        <v>341</v>
      </c>
      <c r="C408" s="143" t="s">
        <v>51</v>
      </c>
      <c r="D408" s="151"/>
      <c r="E408" s="276"/>
      <c r="F408" s="158"/>
    </row>
    <row r="409" spans="1:6" ht="12.75" customHeight="1">
      <c r="A409" s="227"/>
      <c r="B409" s="145" t="s">
        <v>165</v>
      </c>
      <c r="C409" s="143" t="s">
        <v>51</v>
      </c>
      <c r="D409" s="269">
        <v>1</v>
      </c>
      <c r="E409" s="276">
        <f>E404</f>
        <v>878750</v>
      </c>
      <c r="F409" s="153">
        <f>D409*E409</f>
        <v>878750</v>
      </c>
    </row>
    <row r="410" spans="1:6" ht="12.75" customHeight="1">
      <c r="A410" s="227"/>
      <c r="B410" s="145" t="s">
        <v>169</v>
      </c>
      <c r="C410" s="143" t="s">
        <v>43</v>
      </c>
      <c r="D410" s="269">
        <f>1/0.12*30*0.617*1.1</f>
        <v>169.67500000000004</v>
      </c>
      <c r="E410" s="276">
        <f t="shared" ref="E410" si="46">E405</f>
        <v>11450</v>
      </c>
      <c r="F410" s="153">
        <f>D410*E410</f>
        <v>1942778.7500000005</v>
      </c>
    </row>
    <row r="411" spans="1:6" ht="12.75" customHeight="1" thickBot="1">
      <c r="A411" s="227"/>
      <c r="B411" s="145" t="s">
        <v>168</v>
      </c>
      <c r="C411" s="161" t="s">
        <v>53</v>
      </c>
      <c r="D411" s="269">
        <f>1/0.15</f>
        <v>6.666666666666667</v>
      </c>
      <c r="E411" s="276">
        <f>E406</f>
        <v>124961.59090909091</v>
      </c>
      <c r="F411" s="154">
        <f>D411*E411</f>
        <v>833077.27272727282</v>
      </c>
    </row>
    <row r="412" spans="1:6" ht="12.75" customHeight="1">
      <c r="A412" s="227"/>
      <c r="B412" s="159" t="s">
        <v>42</v>
      </c>
      <c r="C412" s="155"/>
      <c r="D412" s="151"/>
      <c r="E412" s="276"/>
      <c r="F412" s="149">
        <f>SUM(F409:F411)</f>
        <v>3654606.0227272734</v>
      </c>
    </row>
    <row r="413" spans="1:6" ht="12.75" customHeight="1">
      <c r="A413" s="227">
        <v>68</v>
      </c>
      <c r="B413" s="142" t="s">
        <v>396</v>
      </c>
      <c r="C413" s="143" t="s">
        <v>51</v>
      </c>
      <c r="D413" s="151"/>
      <c r="E413" s="276"/>
      <c r="F413" s="158"/>
    </row>
    <row r="414" spans="1:6" ht="12.75" customHeight="1">
      <c r="A414" s="227"/>
      <c r="B414" s="145" t="s">
        <v>165</v>
      </c>
      <c r="C414" s="143" t="s">
        <v>51</v>
      </c>
      <c r="D414" s="269">
        <v>1</v>
      </c>
      <c r="E414" s="276">
        <f>Analisa!F20</f>
        <v>951288.40909090906</v>
      </c>
      <c r="F414" s="153">
        <f>D414*E414</f>
        <v>951288.40909090906</v>
      </c>
    </row>
    <row r="415" spans="1:6" ht="12.75" customHeight="1">
      <c r="A415" s="227"/>
      <c r="B415" s="145" t="s">
        <v>167</v>
      </c>
      <c r="C415" s="143" t="s">
        <v>43</v>
      </c>
      <c r="D415" s="269">
        <f>1/0.1*30*0.395*1.1</f>
        <v>130.35000000000002</v>
      </c>
      <c r="E415" s="276">
        <f t="shared" ref="E415" si="47">E410</f>
        <v>11450</v>
      </c>
      <c r="F415" s="153">
        <f>D415*E415</f>
        <v>1492507.5000000002</v>
      </c>
    </row>
    <row r="416" spans="1:6" ht="12.75" customHeight="1" thickBot="1">
      <c r="A416" s="227"/>
      <c r="B416" s="145" t="s">
        <v>168</v>
      </c>
      <c r="C416" s="161" t="s">
        <v>53</v>
      </c>
      <c r="D416" s="269">
        <f>1/0.1</f>
        <v>10</v>
      </c>
      <c r="E416" s="276">
        <f>E411</f>
        <v>124961.59090909091</v>
      </c>
      <c r="F416" s="154">
        <f>D416*E416</f>
        <v>1249615.9090909092</v>
      </c>
    </row>
    <row r="417" spans="1:6" ht="12.75" customHeight="1">
      <c r="A417" s="227"/>
      <c r="B417" s="159" t="s">
        <v>42</v>
      </c>
      <c r="C417" s="155"/>
      <c r="D417" s="151"/>
      <c r="E417" s="276"/>
      <c r="F417" s="149">
        <f>SUM(F414:F416)</f>
        <v>3693411.8181818184</v>
      </c>
    </row>
    <row r="418" spans="1:6" ht="12.75" customHeight="1">
      <c r="A418" s="227">
        <v>69</v>
      </c>
      <c r="B418" s="142" t="s">
        <v>289</v>
      </c>
      <c r="C418" s="143" t="s">
        <v>51</v>
      </c>
      <c r="D418" s="151"/>
      <c r="E418" s="276"/>
      <c r="F418" s="156"/>
    </row>
    <row r="419" spans="1:6" ht="12.75" customHeight="1">
      <c r="A419" s="227"/>
      <c r="B419" s="145" t="s">
        <v>165</v>
      </c>
      <c r="C419" s="143" t="s">
        <v>51</v>
      </c>
      <c r="D419" s="269">
        <v>1</v>
      </c>
      <c r="E419" s="276">
        <f>E409</f>
        <v>878750</v>
      </c>
      <c r="F419" s="153">
        <f t="shared" ref="F419:F422" si="48">D419*E419</f>
        <v>878750</v>
      </c>
    </row>
    <row r="420" spans="1:6" ht="12.75" customHeight="1">
      <c r="A420" s="227"/>
      <c r="B420" s="145" t="s">
        <v>167</v>
      </c>
      <c r="C420" s="143" t="s">
        <v>43</v>
      </c>
      <c r="D420" s="269">
        <f>1/0.1*17*0.395*1.15</f>
        <v>77.222499999999997</v>
      </c>
      <c r="E420" s="276">
        <f>E405</f>
        <v>11450</v>
      </c>
      <c r="F420" s="153">
        <f t="shared" si="48"/>
        <v>884197.625</v>
      </c>
    </row>
    <row r="421" spans="1:6" ht="12.75" customHeight="1">
      <c r="A421" s="227"/>
      <c r="B421" s="145" t="s">
        <v>172</v>
      </c>
      <c r="C421" s="143" t="s">
        <v>43</v>
      </c>
      <c r="D421" s="269">
        <f>1/0.1*15*0.222*1.15</f>
        <v>38.294999999999995</v>
      </c>
      <c r="E421" s="276">
        <f>Analisa!F77</f>
        <v>12200.450450450449</v>
      </c>
      <c r="F421" s="153">
        <f t="shared" si="48"/>
        <v>467216.24999999988</v>
      </c>
    </row>
    <row r="422" spans="1:6" ht="12.75" customHeight="1" thickBot="1">
      <c r="A422" s="227"/>
      <c r="B422" s="145" t="s">
        <v>168</v>
      </c>
      <c r="C422" s="161" t="s">
        <v>53</v>
      </c>
      <c r="D422" s="269">
        <v>10</v>
      </c>
      <c r="E422" s="276">
        <f>E411</f>
        <v>124961.59090909091</v>
      </c>
      <c r="F422" s="157">
        <f t="shared" si="48"/>
        <v>1249615.9090909092</v>
      </c>
    </row>
    <row r="423" spans="1:6" ht="12.75" customHeight="1">
      <c r="A423" s="227"/>
      <c r="B423" s="159" t="s">
        <v>42</v>
      </c>
      <c r="C423" s="155"/>
      <c r="D423" s="151"/>
      <c r="E423" s="276"/>
      <c r="F423" s="156">
        <f>SUM(F419:F422)</f>
        <v>3479779.7840909092</v>
      </c>
    </row>
    <row r="424" spans="1:6" ht="12.75" customHeight="1">
      <c r="A424" s="227">
        <v>70</v>
      </c>
      <c r="B424" s="142" t="s">
        <v>290</v>
      </c>
      <c r="C424" s="143" t="s">
        <v>51</v>
      </c>
      <c r="D424" s="151"/>
      <c r="E424" s="276"/>
      <c r="F424" s="156"/>
    </row>
    <row r="425" spans="1:6" ht="12.75" customHeight="1">
      <c r="A425" s="227"/>
      <c r="B425" s="145" t="s">
        <v>165</v>
      </c>
      <c r="C425" s="143" t="s">
        <v>51</v>
      </c>
      <c r="D425" s="269">
        <v>1</v>
      </c>
      <c r="E425" s="276">
        <f>E419</f>
        <v>878750</v>
      </c>
      <c r="F425" s="153">
        <f t="shared" ref="F425:F428" si="49">D425*E425</f>
        <v>878750</v>
      </c>
    </row>
    <row r="426" spans="1:6" ht="12.75" customHeight="1">
      <c r="A426" s="227"/>
      <c r="B426" s="145" t="s">
        <v>166</v>
      </c>
      <c r="C426" s="143" t="s">
        <v>43</v>
      </c>
      <c r="D426" s="269">
        <v>10.54</v>
      </c>
      <c r="E426" s="276">
        <f>E389</f>
        <v>12250.369369369369</v>
      </c>
      <c r="F426" s="153">
        <f t="shared" si="49"/>
        <v>129118.89315315314</v>
      </c>
    </row>
    <row r="427" spans="1:6" ht="12.75" customHeight="1">
      <c r="A427" s="227"/>
      <c r="B427" s="145" t="s">
        <v>167</v>
      </c>
      <c r="C427" s="143" t="s">
        <v>43</v>
      </c>
      <c r="D427" s="269">
        <v>4.01</v>
      </c>
      <c r="E427" s="276">
        <f>E420</f>
        <v>11450</v>
      </c>
      <c r="F427" s="153">
        <f t="shared" si="49"/>
        <v>45914.5</v>
      </c>
    </row>
    <row r="428" spans="1:6" ht="12.75" customHeight="1" thickBot="1">
      <c r="A428" s="227"/>
      <c r="B428" s="145" t="s">
        <v>168</v>
      </c>
      <c r="C428" s="161" t="s">
        <v>53</v>
      </c>
      <c r="D428" s="269">
        <v>13.33</v>
      </c>
      <c r="E428" s="276">
        <f>E371</f>
        <v>105081.59090909091</v>
      </c>
      <c r="F428" s="157">
        <f t="shared" si="49"/>
        <v>1400737.6068181819</v>
      </c>
    </row>
    <row r="429" spans="1:6" ht="12.75" customHeight="1">
      <c r="A429" s="227"/>
      <c r="B429" s="159" t="s">
        <v>42</v>
      </c>
      <c r="C429" s="155"/>
      <c r="D429" s="151"/>
      <c r="E429" s="276"/>
      <c r="F429" s="156">
        <f>SUM(F425:F428)</f>
        <v>2454520.9999713348</v>
      </c>
    </row>
    <row r="430" spans="1:6" ht="12.75" customHeight="1">
      <c r="A430" s="274">
        <v>71</v>
      </c>
      <c r="B430" s="142" t="s">
        <v>173</v>
      </c>
      <c r="C430" s="162"/>
      <c r="D430" s="152"/>
      <c r="E430" s="275"/>
      <c r="F430" s="163"/>
    </row>
    <row r="431" spans="1:6" ht="12.75" customHeight="1">
      <c r="A431" s="274"/>
      <c r="B431" s="145" t="s">
        <v>165</v>
      </c>
      <c r="C431" s="143" t="s">
        <v>51</v>
      </c>
      <c r="D431" s="269">
        <v>1</v>
      </c>
      <c r="E431" s="276">
        <f>E425</f>
        <v>878750</v>
      </c>
      <c r="F431" s="277">
        <f>D431*E431</f>
        <v>878750</v>
      </c>
    </row>
    <row r="432" spans="1:6" ht="12.75" customHeight="1">
      <c r="A432" s="274"/>
      <c r="B432" s="145" t="s">
        <v>169</v>
      </c>
      <c r="C432" s="143" t="s">
        <v>43</v>
      </c>
      <c r="D432" s="269">
        <v>119</v>
      </c>
      <c r="E432" s="276">
        <f>E426</f>
        <v>12250.369369369369</v>
      </c>
      <c r="F432" s="277">
        <f>D432*E432</f>
        <v>1457793.954954955</v>
      </c>
    </row>
    <row r="433" spans="1:6" ht="12.75" customHeight="1">
      <c r="A433" s="274"/>
      <c r="B433" s="145" t="s">
        <v>167</v>
      </c>
      <c r="C433" s="143" t="s">
        <v>43</v>
      </c>
      <c r="D433" s="269">
        <v>86.2</v>
      </c>
      <c r="E433" s="276">
        <f>E427</f>
        <v>11450</v>
      </c>
      <c r="F433" s="277">
        <f>D433*E433</f>
        <v>986990</v>
      </c>
    </row>
    <row r="434" spans="1:6" ht="12.75" customHeight="1" thickBot="1">
      <c r="A434" s="274"/>
      <c r="B434" s="145" t="s">
        <v>168</v>
      </c>
      <c r="C434" s="161" t="s">
        <v>53</v>
      </c>
      <c r="D434" s="269">
        <v>9.57</v>
      </c>
      <c r="E434" s="276">
        <f>E411</f>
        <v>124961.59090909091</v>
      </c>
      <c r="F434" s="278">
        <f>D434*E434</f>
        <v>1195882.425</v>
      </c>
    </row>
    <row r="435" spans="1:6" ht="12.75" customHeight="1">
      <c r="A435" s="274"/>
      <c r="B435" s="159" t="s">
        <v>42</v>
      </c>
      <c r="C435" s="155"/>
      <c r="D435" s="152"/>
      <c r="E435" s="275"/>
      <c r="F435" s="279">
        <f>SUM(F431:F434)</f>
        <v>4519416.3799549546</v>
      </c>
    </row>
    <row r="436" spans="1:6" ht="12.75" customHeight="1">
      <c r="A436" s="227">
        <v>72</v>
      </c>
      <c r="B436" s="142" t="s">
        <v>291</v>
      </c>
      <c r="C436" s="162"/>
      <c r="D436" s="152"/>
      <c r="E436" s="275"/>
      <c r="F436" s="163"/>
    </row>
    <row r="437" spans="1:6" ht="12.75" customHeight="1">
      <c r="A437" s="227"/>
      <c r="B437" s="145" t="s">
        <v>171</v>
      </c>
      <c r="C437" s="143" t="s">
        <v>51</v>
      </c>
      <c r="D437" s="269">
        <v>1</v>
      </c>
      <c r="E437" s="275">
        <f>Analisa!F20</f>
        <v>951288.40909090906</v>
      </c>
      <c r="F437" s="153">
        <f>D437*E437</f>
        <v>951288.40909090906</v>
      </c>
    </row>
    <row r="438" spans="1:6" ht="12.75" customHeight="1">
      <c r="A438" s="227"/>
      <c r="B438" s="145" t="s">
        <v>167</v>
      </c>
      <c r="C438" s="150" t="s">
        <v>43</v>
      </c>
      <c r="D438" s="162">
        <v>118.86</v>
      </c>
      <c r="E438" s="275">
        <f>E433</f>
        <v>11450</v>
      </c>
      <c r="F438" s="153">
        <f>D438*E438</f>
        <v>1360947</v>
      </c>
    </row>
    <row r="439" spans="1:6" ht="12.75" customHeight="1" thickBot="1">
      <c r="A439" s="227"/>
      <c r="B439" s="145" t="s">
        <v>168</v>
      </c>
      <c r="C439" s="161" t="s">
        <v>53</v>
      </c>
      <c r="D439" s="269">
        <v>10</v>
      </c>
      <c r="E439" s="276">
        <f>E434</f>
        <v>124961.59090909091</v>
      </c>
      <c r="F439" s="154">
        <f>D439*E439</f>
        <v>1249615.9090909092</v>
      </c>
    </row>
    <row r="440" spans="1:6" ht="12.75" customHeight="1">
      <c r="A440" s="227"/>
      <c r="B440" s="159" t="s">
        <v>42</v>
      </c>
      <c r="C440" s="155"/>
      <c r="D440" s="152"/>
      <c r="E440" s="275"/>
      <c r="F440" s="149">
        <f>SUM(F437:F439)</f>
        <v>3561851.3181818184</v>
      </c>
    </row>
    <row r="441" spans="1:6" ht="12.75" customHeight="1">
      <c r="A441" s="230">
        <v>73</v>
      </c>
      <c r="B441" s="142" t="s">
        <v>292</v>
      </c>
      <c r="C441" s="143" t="s">
        <v>51</v>
      </c>
      <c r="D441" s="152"/>
      <c r="E441" s="275"/>
      <c r="F441" s="156"/>
    </row>
    <row r="442" spans="1:6" ht="12.75" customHeight="1">
      <c r="A442" s="231"/>
      <c r="B442" s="145" t="s">
        <v>171</v>
      </c>
      <c r="C442" s="143" t="s">
        <v>51</v>
      </c>
      <c r="D442" s="162">
        <v>1</v>
      </c>
      <c r="E442" s="275">
        <f>Analisa!F35</f>
        <v>840000</v>
      </c>
      <c r="F442" s="153">
        <f t="shared" ref="F442:F443" si="50">D442*E442</f>
        <v>840000</v>
      </c>
    </row>
    <row r="443" spans="1:6" ht="12.75" customHeight="1" thickBot="1">
      <c r="A443" s="231"/>
      <c r="B443" s="145" t="s">
        <v>314</v>
      </c>
      <c r="C443" s="150" t="s">
        <v>174</v>
      </c>
      <c r="D443" s="162">
        <f>1/0.1*1.1</f>
        <v>11</v>
      </c>
      <c r="E443" s="420">
        <f>3765000*0+3500000*1.1/(2.1*54)+15000</f>
        <v>48950.617283950618</v>
      </c>
      <c r="F443" s="157">
        <f t="shared" si="50"/>
        <v>538456.79012345686</v>
      </c>
    </row>
    <row r="444" spans="1:6" ht="12.75" customHeight="1">
      <c r="A444" s="230"/>
      <c r="B444" s="159" t="s">
        <v>42</v>
      </c>
      <c r="C444" s="155"/>
      <c r="D444" s="152"/>
      <c r="E444" s="275"/>
      <c r="F444" s="156">
        <f>SUM(F442:F443)</f>
        <v>1378456.7901234569</v>
      </c>
    </row>
    <row r="445" spans="1:6" ht="12.75" customHeight="1">
      <c r="A445" s="232">
        <v>74</v>
      </c>
      <c r="B445" s="142" t="s">
        <v>312</v>
      </c>
      <c r="C445" s="143" t="s">
        <v>51</v>
      </c>
      <c r="D445" s="152"/>
      <c r="E445" s="275"/>
      <c r="F445" s="163"/>
    </row>
    <row r="446" spans="1:6" ht="12.75" customHeight="1">
      <c r="A446" s="227"/>
      <c r="B446" s="145" t="s">
        <v>171</v>
      </c>
      <c r="C446" s="143" t="s">
        <v>51</v>
      </c>
      <c r="D446" s="162">
        <v>1</v>
      </c>
      <c r="E446" s="275">
        <f>Analisa!F35</f>
        <v>840000</v>
      </c>
      <c r="F446" s="153">
        <f>D446*E446</f>
        <v>840000</v>
      </c>
    </row>
    <row r="447" spans="1:6" ht="12.75" customHeight="1" thickBot="1">
      <c r="A447" s="227"/>
      <c r="B447" s="145" t="s">
        <v>855</v>
      </c>
      <c r="C447" s="150" t="s">
        <v>174</v>
      </c>
      <c r="D447" s="162">
        <f>1/0.08*1.1</f>
        <v>13.750000000000002</v>
      </c>
      <c r="E447" s="420">
        <f>2287350*1.1/(2.1*54)+15000</f>
        <v>37187.69841269841</v>
      </c>
      <c r="F447" s="154">
        <f>D447*E447</f>
        <v>511330.85317460319</v>
      </c>
    </row>
    <row r="448" spans="1:6" ht="12.75" customHeight="1">
      <c r="A448" s="227"/>
      <c r="B448" s="159" t="s">
        <v>42</v>
      </c>
      <c r="C448" s="155"/>
      <c r="D448" s="152"/>
      <c r="E448" s="275"/>
      <c r="F448" s="149">
        <f>SUM(F446:F447)</f>
        <v>1351330.8531746031</v>
      </c>
    </row>
    <row r="449" spans="1:7" ht="12.75" customHeight="1" thickBot="1">
      <c r="A449" s="233"/>
      <c r="B449" s="164"/>
      <c r="C449" s="165"/>
      <c r="D449" s="166"/>
      <c r="E449" s="167"/>
      <c r="F449" s="168"/>
    </row>
    <row r="450" spans="1:7" ht="12.75" customHeight="1">
      <c r="A450" s="169"/>
      <c r="B450" s="170"/>
      <c r="C450" s="171"/>
      <c r="D450" s="172"/>
      <c r="E450" s="173"/>
      <c r="F450" s="174"/>
    </row>
    <row r="451" spans="1:7" ht="12.75" customHeight="1">
      <c r="A451" s="169"/>
      <c r="B451" s="170"/>
      <c r="C451" s="171"/>
      <c r="D451" s="172"/>
      <c r="E451" s="173"/>
      <c r="F451" s="174"/>
    </row>
    <row r="452" spans="1:7" ht="12.75" customHeight="1">
      <c r="A452" s="169"/>
      <c r="B452" s="170"/>
      <c r="C452" s="171"/>
      <c r="D452" s="172"/>
      <c r="E452" s="173"/>
      <c r="F452" s="174"/>
    </row>
    <row r="453" spans="1:7" ht="12.75" customHeight="1">
      <c r="A453" s="169"/>
      <c r="B453" s="170"/>
      <c r="C453" s="171"/>
      <c r="D453" s="172"/>
      <c r="E453" s="6" t="s">
        <v>782</v>
      </c>
      <c r="F453" s="6"/>
      <c r="G453" s="175"/>
    </row>
    <row r="454" spans="1:7" ht="12.75" customHeight="1">
      <c r="A454" s="169"/>
      <c r="B454" s="170"/>
      <c r="C454" s="171"/>
      <c r="D454" s="172"/>
      <c r="E454" s="8" t="s">
        <v>45</v>
      </c>
      <c r="F454" s="8"/>
      <c r="G454" s="137"/>
    </row>
    <row r="455" spans="1:7" ht="23.25" customHeight="1">
      <c r="A455" s="169"/>
      <c r="B455" s="170"/>
      <c r="C455" s="171"/>
      <c r="D455" s="172"/>
      <c r="E455" s="3"/>
      <c r="F455" s="3"/>
      <c r="G455" s="4"/>
    </row>
    <row r="456" spans="1:7" ht="12.75" customHeight="1">
      <c r="A456" s="169"/>
      <c r="B456" s="170"/>
      <c r="C456" s="171"/>
      <c r="D456" s="172"/>
      <c r="E456" s="3"/>
      <c r="F456" s="3"/>
      <c r="G456" s="4"/>
    </row>
    <row r="457" spans="1:7" ht="12.75" customHeight="1">
      <c r="A457" s="169"/>
      <c r="B457" s="170"/>
      <c r="C457" s="171"/>
      <c r="D457" s="172"/>
      <c r="E457" s="3"/>
      <c r="F457" s="3"/>
      <c r="G457" s="4"/>
    </row>
    <row r="458" spans="1:7" ht="12.75" customHeight="1">
      <c r="A458" s="169"/>
      <c r="B458" s="169"/>
      <c r="C458" s="169"/>
      <c r="D458" s="169"/>
      <c r="E458" s="6"/>
      <c r="F458" s="6"/>
      <c r="G458" s="4"/>
    </row>
    <row r="459" spans="1:7" ht="12.75" customHeight="1">
      <c r="A459" s="169"/>
      <c r="B459" s="169"/>
      <c r="C459" s="169"/>
      <c r="D459" s="169"/>
      <c r="E459" s="6"/>
      <c r="F459" s="6"/>
      <c r="G459" s="4"/>
    </row>
    <row r="460" spans="1:7" ht="12.75" customHeight="1">
      <c r="A460" s="169"/>
      <c r="B460" s="169"/>
      <c r="C460" s="169"/>
      <c r="D460" s="169"/>
      <c r="E460" s="6" t="s">
        <v>44</v>
      </c>
      <c r="F460" s="7"/>
      <c r="G460" s="5"/>
    </row>
    <row r="461" spans="1:7">
      <c r="F461" s="176"/>
    </row>
    <row r="464" spans="1:7">
      <c r="F464" s="177"/>
    </row>
    <row r="465" spans="5:5">
      <c r="E465" s="177"/>
    </row>
  </sheetData>
  <mergeCells count="5">
    <mergeCell ref="E5:F5"/>
    <mergeCell ref="A6:A7"/>
    <mergeCell ref="B6:B7"/>
    <mergeCell ref="C6:C7"/>
    <mergeCell ref="D6:D7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7"/>
  <sheetViews>
    <sheetView topLeftCell="A49" workbookViewId="0">
      <selection activeCell="F12" sqref="F12"/>
    </sheetView>
  </sheetViews>
  <sheetFormatPr defaultRowHeight="14.4"/>
  <cols>
    <col min="1" max="1" width="6.5546875" customWidth="1"/>
    <col min="2" max="2" width="1.6640625" customWidth="1"/>
    <col min="3" max="3" width="56.33203125" customWidth="1"/>
    <col min="4" max="4" width="8.5546875" customWidth="1"/>
    <col min="5" max="5" width="9.77734375" customWidth="1"/>
    <col min="6" max="6" width="17.77734375" customWidth="1"/>
    <col min="7" max="7" width="20" customWidth="1"/>
  </cols>
  <sheetData>
    <row r="1" spans="1:7" ht="18">
      <c r="A1" s="98"/>
      <c r="B1" s="99"/>
      <c r="C1" s="100"/>
    </row>
    <row r="2" spans="1:7" ht="18" customHeight="1">
      <c r="A2" s="472" t="s">
        <v>153</v>
      </c>
      <c r="B2" s="472"/>
      <c r="C2" s="472"/>
    </row>
    <row r="3" spans="1:7">
      <c r="A3" s="73" t="s">
        <v>372</v>
      </c>
      <c r="B3" s="234"/>
      <c r="C3" s="234"/>
    </row>
    <row r="4" spans="1:7" ht="15" thickBot="1">
      <c r="A4" s="473" t="s">
        <v>315</v>
      </c>
      <c r="B4" s="473"/>
      <c r="C4" s="473"/>
    </row>
    <row r="5" spans="1:7" ht="36.75" customHeight="1" thickTop="1" thickBot="1">
      <c r="A5" s="101" t="s">
        <v>154</v>
      </c>
      <c r="B5" s="102"/>
      <c r="C5" s="103" t="s">
        <v>155</v>
      </c>
      <c r="D5" s="104" t="s">
        <v>7</v>
      </c>
      <c r="E5" s="104" t="s">
        <v>156</v>
      </c>
      <c r="F5" s="104" t="s">
        <v>157</v>
      </c>
      <c r="G5" s="105" t="s">
        <v>52</v>
      </c>
    </row>
    <row r="6" spans="1:7" ht="15" thickTop="1">
      <c r="A6" s="106"/>
      <c r="B6" s="107"/>
      <c r="C6" s="108"/>
      <c r="D6" s="109"/>
      <c r="E6" s="109"/>
      <c r="F6" s="109"/>
      <c r="G6" s="110"/>
    </row>
    <row r="7" spans="1:7" ht="15">
      <c r="A7" s="235">
        <v>1</v>
      </c>
      <c r="B7" s="236"/>
      <c r="C7" s="192" t="s">
        <v>373</v>
      </c>
      <c r="D7" s="207"/>
      <c r="E7" s="208"/>
      <c r="F7" s="237"/>
      <c r="G7" s="238"/>
    </row>
    <row r="8" spans="1:7" ht="15">
      <c r="A8" s="235"/>
      <c r="B8" s="193"/>
      <c r="C8" s="240" t="s">
        <v>308</v>
      </c>
      <c r="D8" s="210" t="s">
        <v>7</v>
      </c>
      <c r="E8" s="208">
        <v>1</v>
      </c>
      <c r="F8" s="406">
        <f>(1695000+7224000)*0+8650000</f>
        <v>8650000</v>
      </c>
      <c r="G8" s="239">
        <f>E8*F8</f>
        <v>8650000</v>
      </c>
    </row>
    <row r="9" spans="1:7" ht="15">
      <c r="A9" s="235"/>
      <c r="B9" s="236"/>
      <c r="C9" s="195" t="s">
        <v>295</v>
      </c>
      <c r="D9" s="210" t="s">
        <v>158</v>
      </c>
      <c r="E9" s="208">
        <v>1</v>
      </c>
      <c r="F9" s="241">
        <v>0</v>
      </c>
      <c r="G9" s="239">
        <f t="shared" ref="G9:G13" si="0">E9*F9</f>
        <v>0</v>
      </c>
    </row>
    <row r="10" spans="1:7" ht="15">
      <c r="A10" s="235"/>
      <c r="B10" s="236"/>
      <c r="C10" s="195" t="s">
        <v>388</v>
      </c>
      <c r="D10" s="210" t="s">
        <v>158</v>
      </c>
      <c r="E10" s="208">
        <v>1.5</v>
      </c>
      <c r="F10" s="241">
        <f>142000/1.11</f>
        <v>127927.92792792791</v>
      </c>
      <c r="G10" s="239">
        <f t="shared" si="0"/>
        <v>191891.89189189186</v>
      </c>
    </row>
    <row r="11" spans="1:7" ht="15">
      <c r="A11" s="235"/>
      <c r="B11" s="236"/>
      <c r="C11" s="195" t="s">
        <v>380</v>
      </c>
      <c r="D11" s="210" t="s">
        <v>49</v>
      </c>
      <c r="E11" s="208">
        <v>1</v>
      </c>
      <c r="F11" s="241">
        <f>82800/1.11</f>
        <v>74594.594594594586</v>
      </c>
      <c r="G11" s="239">
        <f t="shared" si="0"/>
        <v>74594.594594594586</v>
      </c>
    </row>
    <row r="12" spans="1:7" ht="15">
      <c r="A12" s="235"/>
      <c r="B12" s="236"/>
      <c r="C12" s="197" t="s">
        <v>160</v>
      </c>
      <c r="D12" s="210" t="s">
        <v>49</v>
      </c>
      <c r="E12" s="208">
        <v>1</v>
      </c>
      <c r="F12" s="444">
        <f>750000-250000</f>
        <v>500000</v>
      </c>
      <c r="G12" s="239">
        <f t="shared" si="0"/>
        <v>500000</v>
      </c>
    </row>
    <row r="13" spans="1:7" ht="15">
      <c r="A13" s="235"/>
      <c r="B13" s="236"/>
      <c r="C13" s="197" t="s">
        <v>837</v>
      </c>
      <c r="D13" s="210" t="s">
        <v>49</v>
      </c>
      <c r="E13" s="208">
        <v>1</v>
      </c>
      <c r="F13" s="242">
        <v>1203511</v>
      </c>
      <c r="G13" s="239">
        <f t="shared" si="0"/>
        <v>1203511</v>
      </c>
    </row>
    <row r="14" spans="1:7" ht="15.6" thickBot="1">
      <c r="A14" s="235"/>
      <c r="B14" s="236"/>
      <c r="C14" s="197" t="s">
        <v>838</v>
      </c>
      <c r="D14" s="210" t="s">
        <v>49</v>
      </c>
      <c r="E14" s="208">
        <v>8</v>
      </c>
      <c r="F14" s="242">
        <f>Analisa!F193</f>
        <v>27150</v>
      </c>
      <c r="G14" s="113">
        <f>E14*F14</f>
        <v>217200</v>
      </c>
    </row>
    <row r="15" spans="1:7" ht="15.6" thickTop="1">
      <c r="A15" s="243"/>
      <c r="B15" s="244"/>
      <c r="C15" s="214" t="s">
        <v>161</v>
      </c>
      <c r="D15" s="215"/>
      <c r="E15" s="216"/>
      <c r="F15" s="245"/>
      <c r="G15" s="256">
        <f>SUM(G8:G14)</f>
        <v>10837197.486486485</v>
      </c>
    </row>
    <row r="16" spans="1:7" ht="15">
      <c r="A16" s="191"/>
      <c r="B16" s="189"/>
      <c r="C16" s="190"/>
      <c r="D16" s="218"/>
      <c r="E16" s="219"/>
      <c r="F16" s="186"/>
      <c r="G16" s="187"/>
    </row>
    <row r="17" spans="1:9" ht="15">
      <c r="A17" s="191">
        <v>2</v>
      </c>
      <c r="B17" s="189"/>
      <c r="C17" s="192" t="s">
        <v>374</v>
      </c>
      <c r="D17" s="207"/>
      <c r="E17" s="208"/>
      <c r="F17" s="186"/>
      <c r="G17" s="209"/>
    </row>
    <row r="18" spans="1:9" ht="15">
      <c r="A18" s="191"/>
      <c r="B18" s="189"/>
      <c r="C18" s="194" t="s">
        <v>293</v>
      </c>
      <c r="D18" s="210" t="s">
        <v>7</v>
      </c>
      <c r="E18" s="208">
        <v>1</v>
      </c>
      <c r="F18" s="406">
        <f>9*3.5*45000</f>
        <v>1417500</v>
      </c>
      <c r="G18" s="211">
        <f t="shared" ref="G18:G24" si="1">E18*F18</f>
        <v>1417500</v>
      </c>
      <c r="I18" s="358"/>
    </row>
    <row r="19" spans="1:9" ht="15">
      <c r="A19" s="191"/>
      <c r="B19" s="189"/>
      <c r="C19" s="240" t="s">
        <v>294</v>
      </c>
      <c r="D19" s="210"/>
      <c r="E19" s="208"/>
      <c r="F19" s="188"/>
      <c r="G19" s="211"/>
    </row>
    <row r="20" spans="1:9" ht="15">
      <c r="A20" s="191"/>
      <c r="B20" s="189"/>
      <c r="C20" s="240" t="s">
        <v>384</v>
      </c>
      <c r="D20" s="210" t="s">
        <v>158</v>
      </c>
      <c r="E20" s="208">
        <v>1</v>
      </c>
      <c r="F20" s="188">
        <f>314950/1.11</f>
        <v>283738.7387387387</v>
      </c>
      <c r="G20" s="211">
        <f>E20*F20</f>
        <v>283738.7387387387</v>
      </c>
    </row>
    <row r="21" spans="1:9" ht="15">
      <c r="A21" s="191"/>
      <c r="B21" s="189"/>
      <c r="C21" s="196" t="s">
        <v>381</v>
      </c>
      <c r="D21" s="210" t="s">
        <v>49</v>
      </c>
      <c r="E21" s="208">
        <v>1</v>
      </c>
      <c r="F21" s="246">
        <f>190350/1.11</f>
        <v>171486.48648648648</v>
      </c>
      <c r="G21" s="211">
        <f t="shared" si="1"/>
        <v>171486.48648648648</v>
      </c>
    </row>
    <row r="22" spans="1:9" ht="15">
      <c r="A22" s="191"/>
      <c r="B22" s="189"/>
      <c r="C22" s="196" t="s">
        <v>382</v>
      </c>
      <c r="D22" s="210" t="s">
        <v>49</v>
      </c>
      <c r="E22" s="208">
        <v>1</v>
      </c>
      <c r="F22" s="247">
        <f>126000/1.11</f>
        <v>113513.51351351351</v>
      </c>
      <c r="G22" s="211">
        <f t="shared" si="1"/>
        <v>113513.51351351351</v>
      </c>
    </row>
    <row r="23" spans="1:9" ht="15">
      <c r="A23" s="191"/>
      <c r="B23" s="189"/>
      <c r="C23" s="196" t="s">
        <v>383</v>
      </c>
      <c r="D23" s="210" t="s">
        <v>158</v>
      </c>
      <c r="E23" s="208">
        <v>1</v>
      </c>
      <c r="F23" s="188">
        <f>350850/1.11</f>
        <v>316081.08108108107</v>
      </c>
      <c r="G23" s="211">
        <f t="shared" si="1"/>
        <v>316081.08108108107</v>
      </c>
    </row>
    <row r="24" spans="1:9" ht="15.6" thickBot="1">
      <c r="A24" s="111"/>
      <c r="B24" s="112"/>
      <c r="C24" s="197" t="s">
        <v>160</v>
      </c>
      <c r="D24" s="210" t="s">
        <v>49</v>
      </c>
      <c r="E24" s="208">
        <v>1</v>
      </c>
      <c r="F24" s="213">
        <f>F12</f>
        <v>500000</v>
      </c>
      <c r="G24" s="113">
        <f t="shared" si="1"/>
        <v>500000</v>
      </c>
    </row>
    <row r="25" spans="1:9" ht="15.6" thickTop="1">
      <c r="A25" s="198"/>
      <c r="B25" s="182"/>
      <c r="C25" s="214" t="s">
        <v>161</v>
      </c>
      <c r="D25" s="215"/>
      <c r="E25" s="216"/>
      <c r="F25" s="114"/>
      <c r="G25" s="256">
        <f>SUM(G18:G24)</f>
        <v>2802319.8198198196</v>
      </c>
    </row>
    <row r="26" spans="1:9" ht="15">
      <c r="A26" s="198"/>
      <c r="B26" s="182"/>
      <c r="C26" s="183"/>
      <c r="D26" s="184"/>
      <c r="E26" s="185"/>
      <c r="F26" s="217"/>
      <c r="G26" s="116"/>
    </row>
    <row r="27" spans="1:9" ht="15">
      <c r="A27" s="191">
        <v>3</v>
      </c>
      <c r="B27" s="189"/>
      <c r="C27" s="192" t="s">
        <v>375</v>
      </c>
      <c r="D27" s="207"/>
      <c r="E27" s="208"/>
      <c r="F27" s="186"/>
      <c r="G27" s="209"/>
    </row>
    <row r="28" spans="1:9" ht="15">
      <c r="A28" s="191"/>
      <c r="B28" s="189"/>
      <c r="C28" s="194" t="s">
        <v>293</v>
      </c>
      <c r="D28" s="210" t="s">
        <v>7</v>
      </c>
      <c r="E28" s="208">
        <v>1</v>
      </c>
      <c r="F28" s="406">
        <f>2518000*0+2750000</f>
        <v>2750000</v>
      </c>
      <c r="G28" s="211">
        <f t="shared" ref="G28:G34" si="2">E28*F28</f>
        <v>2750000</v>
      </c>
    </row>
    <row r="29" spans="1:9" ht="15">
      <c r="A29" s="191"/>
      <c r="B29" s="189"/>
      <c r="C29" s="240" t="s">
        <v>294</v>
      </c>
      <c r="D29" s="210"/>
      <c r="E29" s="208"/>
      <c r="F29" s="188"/>
      <c r="G29" s="211"/>
    </row>
    <row r="30" spans="1:9" ht="15">
      <c r="A30" s="191"/>
      <c r="B30" s="189"/>
      <c r="C30" s="196" t="s">
        <v>384</v>
      </c>
      <c r="D30" s="210" t="s">
        <v>158</v>
      </c>
      <c r="E30" s="208">
        <v>1</v>
      </c>
      <c r="F30" s="188">
        <f>F20</f>
        <v>283738.7387387387</v>
      </c>
      <c r="G30" s="211">
        <f t="shared" si="2"/>
        <v>283738.7387387387</v>
      </c>
    </row>
    <row r="31" spans="1:9" ht="15">
      <c r="A31" s="191"/>
      <c r="B31" s="189"/>
      <c r="C31" s="196" t="s">
        <v>385</v>
      </c>
      <c r="D31" s="210" t="s">
        <v>49</v>
      </c>
      <c r="E31" s="208">
        <v>1</v>
      </c>
      <c r="F31" s="188">
        <f>F21</f>
        <v>171486.48648648648</v>
      </c>
      <c r="G31" s="211">
        <f t="shared" si="2"/>
        <v>171486.48648648648</v>
      </c>
    </row>
    <row r="32" spans="1:9" ht="15">
      <c r="A32" s="191"/>
      <c r="B32" s="189"/>
      <c r="C32" s="196" t="s">
        <v>382</v>
      </c>
      <c r="D32" s="210" t="s">
        <v>49</v>
      </c>
      <c r="E32" s="208">
        <v>1</v>
      </c>
      <c r="F32" s="188">
        <f>F22</f>
        <v>113513.51351351351</v>
      </c>
      <c r="G32" s="211">
        <f t="shared" si="2"/>
        <v>113513.51351351351</v>
      </c>
    </row>
    <row r="33" spans="1:7" ht="15">
      <c r="A33" s="117"/>
      <c r="B33" s="118"/>
      <c r="C33" s="195" t="s">
        <v>386</v>
      </c>
      <c r="D33" s="210" t="s">
        <v>158</v>
      </c>
      <c r="E33" s="212">
        <v>1</v>
      </c>
      <c r="F33" s="119">
        <f>F23</f>
        <v>316081.08108108107</v>
      </c>
      <c r="G33" s="120">
        <f t="shared" si="2"/>
        <v>316081.08108108107</v>
      </c>
    </row>
    <row r="34" spans="1:7" ht="15.6" thickBot="1">
      <c r="A34" s="111"/>
      <c r="B34" s="112"/>
      <c r="C34" s="197" t="s">
        <v>160</v>
      </c>
      <c r="D34" s="210" t="s">
        <v>49</v>
      </c>
      <c r="E34" s="208">
        <v>1</v>
      </c>
      <c r="F34" s="121">
        <f>F24</f>
        <v>500000</v>
      </c>
      <c r="G34" s="122">
        <f t="shared" si="2"/>
        <v>500000</v>
      </c>
    </row>
    <row r="35" spans="1:7" ht="15">
      <c r="A35" s="191"/>
      <c r="B35" s="189"/>
      <c r="C35" s="190" t="s">
        <v>161</v>
      </c>
      <c r="D35" s="218"/>
      <c r="E35" s="219"/>
      <c r="F35" s="186"/>
      <c r="G35" s="248">
        <f>SUM(G28:G34)</f>
        <v>4134819.8198198201</v>
      </c>
    </row>
    <row r="36" spans="1:7" ht="15">
      <c r="A36" s="111">
        <v>4</v>
      </c>
      <c r="B36" s="112"/>
      <c r="C36" s="192" t="s">
        <v>376</v>
      </c>
      <c r="D36" s="249"/>
      <c r="E36" s="250"/>
      <c r="F36" s="217"/>
      <c r="G36" s="115"/>
    </row>
    <row r="37" spans="1:7" ht="15">
      <c r="A37" s="191"/>
      <c r="B37" s="189"/>
      <c r="C37" s="194" t="s">
        <v>293</v>
      </c>
      <c r="D37" s="210" t="s">
        <v>7</v>
      </c>
      <c r="E37" s="208">
        <v>1</v>
      </c>
      <c r="F37" s="406">
        <f>(1641000+1774000)*0+3250000</f>
        <v>3250000</v>
      </c>
      <c r="G37" s="209">
        <f t="shared" ref="G37:G43" si="3">E37*F37</f>
        <v>3250000</v>
      </c>
    </row>
    <row r="38" spans="1:7" ht="15">
      <c r="A38" s="191"/>
      <c r="B38" s="189"/>
      <c r="C38" s="240" t="s">
        <v>294</v>
      </c>
      <c r="D38" s="210"/>
      <c r="E38" s="208"/>
      <c r="F38" s="188"/>
      <c r="G38" s="251">
        <f t="shared" si="3"/>
        <v>0</v>
      </c>
    </row>
    <row r="39" spans="1:7" ht="15">
      <c r="A39" s="191"/>
      <c r="B39" s="189"/>
      <c r="C39" s="196" t="s">
        <v>384</v>
      </c>
      <c r="D39" s="210" t="s">
        <v>158</v>
      </c>
      <c r="E39" s="208">
        <v>1</v>
      </c>
      <c r="F39" s="188">
        <f>F30</f>
        <v>283738.7387387387</v>
      </c>
      <c r="G39" s="120">
        <f t="shared" si="3"/>
        <v>283738.7387387387</v>
      </c>
    </row>
    <row r="40" spans="1:7" ht="15">
      <c r="A40" s="191"/>
      <c r="B40" s="189"/>
      <c r="C40" s="196" t="s">
        <v>385</v>
      </c>
      <c r="D40" s="210" t="s">
        <v>49</v>
      </c>
      <c r="E40" s="208">
        <v>1</v>
      </c>
      <c r="F40" s="188">
        <f>F31</f>
        <v>171486.48648648648</v>
      </c>
      <c r="G40" s="120">
        <f t="shared" si="3"/>
        <v>171486.48648648648</v>
      </c>
    </row>
    <row r="41" spans="1:7" ht="15">
      <c r="A41" s="191"/>
      <c r="B41" s="189"/>
      <c r="C41" s="196" t="s">
        <v>387</v>
      </c>
      <c r="D41" s="210" t="s">
        <v>49</v>
      </c>
      <c r="E41" s="208">
        <v>1</v>
      </c>
      <c r="F41" s="188">
        <f>132250/1.11</f>
        <v>119144.14414414413</v>
      </c>
      <c r="G41" s="120">
        <f t="shared" si="3"/>
        <v>119144.14414414413</v>
      </c>
    </row>
    <row r="42" spans="1:7" ht="15">
      <c r="A42" s="191"/>
      <c r="B42" s="189"/>
      <c r="C42" s="195" t="s">
        <v>388</v>
      </c>
      <c r="D42" s="210" t="s">
        <v>158</v>
      </c>
      <c r="E42" s="212">
        <v>1.5</v>
      </c>
      <c r="F42" s="188">
        <f>F10</f>
        <v>127927.92792792791</v>
      </c>
      <c r="G42" s="120">
        <f t="shared" si="3"/>
        <v>191891.89189189186</v>
      </c>
    </row>
    <row r="43" spans="1:7" ht="15.6" thickBot="1">
      <c r="A43" s="191"/>
      <c r="B43" s="189"/>
      <c r="C43" s="197" t="s">
        <v>160</v>
      </c>
      <c r="D43" s="210" t="s">
        <v>49</v>
      </c>
      <c r="E43" s="208">
        <v>1</v>
      </c>
      <c r="F43" s="188">
        <f>F34</f>
        <v>500000</v>
      </c>
      <c r="G43" s="122">
        <f t="shared" si="3"/>
        <v>500000</v>
      </c>
    </row>
    <row r="44" spans="1:7" ht="15">
      <c r="A44" s="191"/>
      <c r="B44" s="189"/>
      <c r="C44" s="190" t="s">
        <v>161</v>
      </c>
      <c r="D44" s="218"/>
      <c r="E44" s="219"/>
      <c r="F44" s="186"/>
      <c r="G44" s="252">
        <f>SUM(G37:G43)</f>
        <v>4516261.261261262</v>
      </c>
    </row>
    <row r="45" spans="1:7" ht="15">
      <c r="A45" s="111">
        <v>5</v>
      </c>
      <c r="B45" s="112"/>
      <c r="C45" s="192" t="s">
        <v>377</v>
      </c>
      <c r="D45" s="249"/>
      <c r="E45" s="250"/>
      <c r="F45" s="217"/>
      <c r="G45" s="115"/>
    </row>
    <row r="46" spans="1:7" ht="15">
      <c r="A46" s="191"/>
      <c r="B46" s="189"/>
      <c r="C46" s="194" t="s">
        <v>293</v>
      </c>
      <c r="D46" s="210" t="s">
        <v>7</v>
      </c>
      <c r="E46" s="208">
        <v>1</v>
      </c>
      <c r="F46" s="406">
        <f>(1459000+2251000)*0+3400000</f>
        <v>3400000</v>
      </c>
      <c r="G46" s="209">
        <f t="shared" ref="G46:G53" si="4">E46*F46</f>
        <v>3400000</v>
      </c>
    </row>
    <row r="47" spans="1:7" ht="15">
      <c r="A47" s="191"/>
      <c r="B47" s="189"/>
      <c r="C47" s="240" t="s">
        <v>294</v>
      </c>
      <c r="D47" s="210"/>
      <c r="E47" s="208"/>
      <c r="F47" s="188"/>
      <c r="G47" s="251">
        <f t="shared" si="4"/>
        <v>0</v>
      </c>
    </row>
    <row r="48" spans="1:7" ht="15">
      <c r="A48" s="191"/>
      <c r="B48" s="189"/>
      <c r="C48" s="196" t="s">
        <v>384</v>
      </c>
      <c r="D48" s="210" t="s">
        <v>158</v>
      </c>
      <c r="E48" s="208">
        <v>1</v>
      </c>
      <c r="F48" s="188">
        <f>F39</f>
        <v>283738.7387387387</v>
      </c>
      <c r="G48" s="120">
        <f t="shared" si="4"/>
        <v>283738.7387387387</v>
      </c>
    </row>
    <row r="49" spans="1:7" ht="15">
      <c r="A49" s="191"/>
      <c r="B49" s="189"/>
      <c r="C49" s="196" t="s">
        <v>385</v>
      </c>
      <c r="D49" s="210" t="s">
        <v>49</v>
      </c>
      <c r="E49" s="208">
        <v>1</v>
      </c>
      <c r="F49" s="188">
        <f>F40</f>
        <v>171486.48648648648</v>
      </c>
      <c r="G49" s="120">
        <f t="shared" si="4"/>
        <v>171486.48648648648</v>
      </c>
    </row>
    <row r="50" spans="1:7" ht="15">
      <c r="A50" s="191"/>
      <c r="B50" s="189"/>
      <c r="C50" s="196" t="s">
        <v>387</v>
      </c>
      <c r="D50" s="210" t="s">
        <v>49</v>
      </c>
      <c r="E50" s="208">
        <v>1</v>
      </c>
      <c r="F50" s="188">
        <f>F41</f>
        <v>119144.14414414413</v>
      </c>
      <c r="G50" s="120">
        <f t="shared" si="4"/>
        <v>119144.14414414413</v>
      </c>
    </row>
    <row r="51" spans="1:7" ht="15">
      <c r="A51" s="191"/>
      <c r="B51" s="189"/>
      <c r="C51" s="195" t="s">
        <v>388</v>
      </c>
      <c r="D51" s="210" t="s">
        <v>158</v>
      </c>
      <c r="E51" s="212">
        <v>1.5</v>
      </c>
      <c r="F51" s="188">
        <f>F42</f>
        <v>127927.92792792791</v>
      </c>
      <c r="G51" s="120">
        <f t="shared" si="4"/>
        <v>191891.89189189186</v>
      </c>
    </row>
    <row r="52" spans="1:7" ht="15">
      <c r="A52" s="191"/>
      <c r="B52" s="189"/>
      <c r="C52" s="196" t="s">
        <v>162</v>
      </c>
      <c r="D52" s="210" t="s">
        <v>49</v>
      </c>
      <c r="E52" s="208">
        <v>1</v>
      </c>
      <c r="F52" s="188">
        <f>43500/1.11</f>
        <v>39189.189189189186</v>
      </c>
      <c r="G52" s="120">
        <f t="shared" si="4"/>
        <v>39189.189189189186</v>
      </c>
    </row>
    <row r="53" spans="1:7" ht="15.6" thickBot="1">
      <c r="A53" s="191"/>
      <c r="B53" s="189"/>
      <c r="C53" s="197" t="s">
        <v>160</v>
      </c>
      <c r="D53" s="210" t="s">
        <v>49</v>
      </c>
      <c r="E53" s="208">
        <v>1</v>
      </c>
      <c r="F53" s="188">
        <f>F43</f>
        <v>500000</v>
      </c>
      <c r="G53" s="122">
        <f t="shared" si="4"/>
        <v>500000</v>
      </c>
    </row>
    <row r="54" spans="1:7" ht="15">
      <c r="A54" s="191"/>
      <c r="B54" s="189"/>
      <c r="C54" s="190" t="s">
        <v>161</v>
      </c>
      <c r="D54" s="218"/>
      <c r="E54" s="219"/>
      <c r="F54" s="186"/>
      <c r="G54" s="252">
        <f>SUM(G46:G53)</f>
        <v>4705450.4504504511</v>
      </c>
    </row>
    <row r="55" spans="1:7" ht="15">
      <c r="A55" s="111">
        <v>6</v>
      </c>
      <c r="B55" s="112"/>
      <c r="C55" s="192" t="s">
        <v>378</v>
      </c>
      <c r="D55" s="249"/>
      <c r="E55" s="250"/>
      <c r="F55" s="217"/>
      <c r="G55" s="115"/>
    </row>
    <row r="56" spans="1:7" ht="15">
      <c r="A56" s="191"/>
      <c r="B56" s="189"/>
      <c r="C56" s="194" t="s">
        <v>293</v>
      </c>
      <c r="D56" s="210" t="s">
        <v>7</v>
      </c>
      <c r="E56" s="208">
        <v>1</v>
      </c>
      <c r="F56" s="406">
        <f>(1509000+2518000)*0+3650000</f>
        <v>3650000</v>
      </c>
      <c r="G56" s="209">
        <f t="shared" ref="G56:G63" si="5">E56*F56</f>
        <v>3650000</v>
      </c>
    </row>
    <row r="57" spans="1:7" ht="15">
      <c r="A57" s="191"/>
      <c r="B57" s="189"/>
      <c r="C57" s="240" t="s">
        <v>294</v>
      </c>
      <c r="D57" s="210"/>
      <c r="E57" s="208"/>
      <c r="F57" s="188"/>
      <c r="G57" s="251">
        <f t="shared" si="5"/>
        <v>0</v>
      </c>
    </row>
    <row r="58" spans="1:7" ht="15">
      <c r="A58" s="191"/>
      <c r="B58" s="189"/>
      <c r="C58" s="196" t="s">
        <v>384</v>
      </c>
      <c r="D58" s="210" t="s">
        <v>158</v>
      </c>
      <c r="E58" s="208">
        <v>1</v>
      </c>
      <c r="F58" s="188">
        <f>F48</f>
        <v>283738.7387387387</v>
      </c>
      <c r="G58" s="120">
        <f t="shared" si="5"/>
        <v>283738.7387387387</v>
      </c>
    </row>
    <row r="59" spans="1:7" ht="15">
      <c r="A59" s="191"/>
      <c r="B59" s="189"/>
      <c r="C59" s="196" t="s">
        <v>385</v>
      </c>
      <c r="D59" s="210" t="s">
        <v>49</v>
      </c>
      <c r="E59" s="208">
        <v>1</v>
      </c>
      <c r="F59" s="188">
        <f>F49</f>
        <v>171486.48648648648</v>
      </c>
      <c r="G59" s="120">
        <f t="shared" si="5"/>
        <v>171486.48648648648</v>
      </c>
    </row>
    <row r="60" spans="1:7" ht="15">
      <c r="A60" s="191"/>
      <c r="B60" s="189"/>
      <c r="C60" s="196" t="s">
        <v>387</v>
      </c>
      <c r="D60" s="210" t="s">
        <v>49</v>
      </c>
      <c r="E60" s="208">
        <v>1</v>
      </c>
      <c r="F60" s="188">
        <f>F50</f>
        <v>119144.14414414413</v>
      </c>
      <c r="G60" s="120">
        <f t="shared" si="5"/>
        <v>119144.14414414413</v>
      </c>
    </row>
    <row r="61" spans="1:7" ht="15">
      <c r="A61" s="191"/>
      <c r="B61" s="189"/>
      <c r="C61" s="195" t="s">
        <v>388</v>
      </c>
      <c r="D61" s="210" t="s">
        <v>158</v>
      </c>
      <c r="E61" s="212">
        <v>1.5</v>
      </c>
      <c r="F61" s="188">
        <f>F51</f>
        <v>127927.92792792791</v>
      </c>
      <c r="G61" s="120">
        <f t="shared" si="5"/>
        <v>191891.89189189186</v>
      </c>
    </row>
    <row r="62" spans="1:7" ht="15">
      <c r="A62" s="191"/>
      <c r="B62" s="189"/>
      <c r="C62" s="196" t="s">
        <v>162</v>
      </c>
      <c r="D62" s="210" t="s">
        <v>49</v>
      </c>
      <c r="E62" s="208">
        <v>1</v>
      </c>
      <c r="F62" s="188">
        <f>F52</f>
        <v>39189.189189189186</v>
      </c>
      <c r="G62" s="120">
        <f t="shared" si="5"/>
        <v>39189.189189189186</v>
      </c>
    </row>
    <row r="63" spans="1:7" ht="15.6" thickBot="1">
      <c r="A63" s="191"/>
      <c r="B63" s="189"/>
      <c r="C63" s="197" t="s">
        <v>160</v>
      </c>
      <c r="D63" s="210" t="s">
        <v>49</v>
      </c>
      <c r="E63" s="208">
        <v>1</v>
      </c>
      <c r="F63" s="188">
        <f t="shared" ref="F63" si="6">F53</f>
        <v>500000</v>
      </c>
      <c r="G63" s="122">
        <f t="shared" si="5"/>
        <v>500000</v>
      </c>
    </row>
    <row r="64" spans="1:7" ht="15">
      <c r="A64" s="191"/>
      <c r="B64" s="189"/>
      <c r="C64" s="190" t="s">
        <v>161</v>
      </c>
      <c r="D64" s="218"/>
      <c r="E64" s="219"/>
      <c r="F64" s="186"/>
      <c r="G64" s="252">
        <f>SUM(G56:G63)</f>
        <v>4955450.4504504511</v>
      </c>
    </row>
    <row r="65" spans="1:7" ht="15">
      <c r="A65" s="111">
        <v>7</v>
      </c>
      <c r="B65" s="112"/>
      <c r="C65" s="192" t="s">
        <v>379</v>
      </c>
      <c r="D65" s="249"/>
      <c r="E65" s="250"/>
      <c r="F65" s="217"/>
      <c r="G65" s="115"/>
    </row>
    <row r="66" spans="1:7" ht="15">
      <c r="A66" s="191"/>
      <c r="B66" s="189"/>
      <c r="C66" s="194" t="s">
        <v>293</v>
      </c>
      <c r="D66" s="210" t="s">
        <v>7</v>
      </c>
      <c r="E66" s="208">
        <v>1</v>
      </c>
      <c r="F66" s="406">
        <f>(1509000+2518000)*0+3650000</f>
        <v>3650000</v>
      </c>
      <c r="G66" s="209">
        <f t="shared" ref="G66:G73" si="7">E66*F66</f>
        <v>3650000</v>
      </c>
    </row>
    <row r="67" spans="1:7" ht="15">
      <c r="A67" s="191"/>
      <c r="B67" s="189"/>
      <c r="C67" s="240" t="s">
        <v>294</v>
      </c>
      <c r="D67" s="210"/>
      <c r="E67" s="208"/>
      <c r="F67" s="188"/>
      <c r="G67" s="251">
        <f t="shared" si="7"/>
        <v>0</v>
      </c>
    </row>
    <row r="68" spans="1:7" ht="15">
      <c r="A68" s="191"/>
      <c r="B68" s="189"/>
      <c r="C68" s="196" t="s">
        <v>384</v>
      </c>
      <c r="D68" s="210" t="s">
        <v>158</v>
      </c>
      <c r="E68" s="208">
        <v>1</v>
      </c>
      <c r="F68" s="188">
        <f t="shared" ref="F68:F73" si="8">F58</f>
        <v>283738.7387387387</v>
      </c>
      <c r="G68" s="120">
        <f t="shared" si="7"/>
        <v>283738.7387387387</v>
      </c>
    </row>
    <row r="69" spans="1:7" ht="15">
      <c r="A69" s="191"/>
      <c r="B69" s="189"/>
      <c r="C69" s="196" t="s">
        <v>385</v>
      </c>
      <c r="D69" s="210" t="s">
        <v>49</v>
      </c>
      <c r="E69" s="208">
        <v>1</v>
      </c>
      <c r="F69" s="188">
        <f t="shared" si="8"/>
        <v>171486.48648648648</v>
      </c>
      <c r="G69" s="120">
        <f t="shared" si="7"/>
        <v>171486.48648648648</v>
      </c>
    </row>
    <row r="70" spans="1:7" ht="15">
      <c r="A70" s="191"/>
      <c r="B70" s="189"/>
      <c r="C70" s="196" t="s">
        <v>387</v>
      </c>
      <c r="D70" s="210" t="s">
        <v>49</v>
      </c>
      <c r="E70" s="208">
        <v>1</v>
      </c>
      <c r="F70" s="188">
        <f t="shared" si="8"/>
        <v>119144.14414414413</v>
      </c>
      <c r="G70" s="120">
        <f t="shared" si="7"/>
        <v>119144.14414414413</v>
      </c>
    </row>
    <row r="71" spans="1:7" ht="15">
      <c r="A71" s="191"/>
      <c r="B71" s="189"/>
      <c r="C71" s="195" t="s">
        <v>388</v>
      </c>
      <c r="D71" s="210" t="s">
        <v>158</v>
      </c>
      <c r="E71" s="212">
        <v>1.5</v>
      </c>
      <c r="F71" s="188">
        <f t="shared" si="8"/>
        <v>127927.92792792791</v>
      </c>
      <c r="G71" s="120">
        <f t="shared" si="7"/>
        <v>191891.89189189186</v>
      </c>
    </row>
    <row r="72" spans="1:7" ht="15">
      <c r="A72" s="191"/>
      <c r="B72" s="189"/>
      <c r="C72" s="196" t="s">
        <v>162</v>
      </c>
      <c r="D72" s="210" t="s">
        <v>49</v>
      </c>
      <c r="E72" s="208">
        <v>1</v>
      </c>
      <c r="F72" s="188">
        <f t="shared" si="8"/>
        <v>39189.189189189186</v>
      </c>
      <c r="G72" s="120">
        <f t="shared" si="7"/>
        <v>39189.189189189186</v>
      </c>
    </row>
    <row r="73" spans="1:7" ht="15.6" thickBot="1">
      <c r="A73" s="191"/>
      <c r="B73" s="189"/>
      <c r="C73" s="197" t="s">
        <v>160</v>
      </c>
      <c r="D73" s="210" t="s">
        <v>49</v>
      </c>
      <c r="E73" s="208">
        <v>1</v>
      </c>
      <c r="F73" s="188">
        <f t="shared" si="8"/>
        <v>500000</v>
      </c>
      <c r="G73" s="122">
        <f t="shared" si="7"/>
        <v>500000</v>
      </c>
    </row>
    <row r="74" spans="1:7" ht="15">
      <c r="A74" s="191"/>
      <c r="B74" s="189"/>
      <c r="C74" s="190" t="s">
        <v>161</v>
      </c>
      <c r="D74" s="218"/>
      <c r="E74" s="219"/>
      <c r="F74" s="186"/>
      <c r="G74" s="252">
        <f>SUM(G66:G73)</f>
        <v>4955450.4504504511</v>
      </c>
    </row>
    <row r="75" spans="1:7" ht="15">
      <c r="A75" s="111">
        <v>8</v>
      </c>
      <c r="B75" s="112"/>
      <c r="C75" s="192" t="s">
        <v>389</v>
      </c>
      <c r="D75" s="249"/>
      <c r="E75" s="250"/>
      <c r="F75" s="217"/>
      <c r="G75" s="115"/>
    </row>
    <row r="76" spans="1:7" ht="15">
      <c r="A76" s="191"/>
      <c r="B76" s="189"/>
      <c r="C76" s="194" t="s">
        <v>293</v>
      </c>
      <c r="D76" s="210" t="s">
        <v>7</v>
      </c>
      <c r="E76" s="208">
        <v>1</v>
      </c>
      <c r="F76" s="406">
        <f>(1459000+2251000)*0+3400000</f>
        <v>3400000</v>
      </c>
      <c r="G76" s="209">
        <f t="shared" ref="G76:G83" si="9">E76*F76</f>
        <v>3400000</v>
      </c>
    </row>
    <row r="77" spans="1:7" ht="15">
      <c r="A77" s="191"/>
      <c r="B77" s="189"/>
      <c r="C77" s="240" t="s">
        <v>294</v>
      </c>
      <c r="D77" s="210"/>
      <c r="E77" s="208"/>
      <c r="F77" s="188"/>
      <c r="G77" s="251">
        <f t="shared" si="9"/>
        <v>0</v>
      </c>
    </row>
    <row r="78" spans="1:7" ht="15">
      <c r="A78" s="191"/>
      <c r="B78" s="189"/>
      <c r="C78" s="196" t="s">
        <v>384</v>
      </c>
      <c r="D78" s="210" t="s">
        <v>158</v>
      </c>
      <c r="E78" s="208">
        <v>1</v>
      </c>
      <c r="F78" s="188">
        <f t="shared" ref="F78:F83" si="10">F68</f>
        <v>283738.7387387387</v>
      </c>
      <c r="G78" s="120">
        <f t="shared" si="9"/>
        <v>283738.7387387387</v>
      </c>
    </row>
    <row r="79" spans="1:7" ht="15">
      <c r="A79" s="191"/>
      <c r="B79" s="189"/>
      <c r="C79" s="196" t="s">
        <v>385</v>
      </c>
      <c r="D79" s="210" t="s">
        <v>49</v>
      </c>
      <c r="E79" s="208">
        <v>1</v>
      </c>
      <c r="F79" s="188">
        <f t="shared" si="10"/>
        <v>171486.48648648648</v>
      </c>
      <c r="G79" s="120">
        <f t="shared" si="9"/>
        <v>171486.48648648648</v>
      </c>
    </row>
    <row r="80" spans="1:7" ht="15">
      <c r="A80" s="191"/>
      <c r="B80" s="189"/>
      <c r="C80" s="196" t="s">
        <v>387</v>
      </c>
      <c r="D80" s="210" t="s">
        <v>49</v>
      </c>
      <c r="E80" s="208">
        <v>1</v>
      </c>
      <c r="F80" s="188">
        <f t="shared" si="10"/>
        <v>119144.14414414413</v>
      </c>
      <c r="G80" s="120">
        <f t="shared" si="9"/>
        <v>119144.14414414413</v>
      </c>
    </row>
    <row r="81" spans="1:7" ht="15">
      <c r="A81" s="191"/>
      <c r="B81" s="189"/>
      <c r="C81" s="195" t="s">
        <v>388</v>
      </c>
      <c r="D81" s="210" t="s">
        <v>158</v>
      </c>
      <c r="E81" s="212">
        <v>1.5</v>
      </c>
      <c r="F81" s="188">
        <f t="shared" si="10"/>
        <v>127927.92792792791</v>
      </c>
      <c r="G81" s="120">
        <f t="shared" si="9"/>
        <v>191891.89189189186</v>
      </c>
    </row>
    <row r="82" spans="1:7" ht="15">
      <c r="A82" s="191"/>
      <c r="B82" s="189"/>
      <c r="C82" s="196" t="s">
        <v>162</v>
      </c>
      <c r="D82" s="210" t="s">
        <v>49</v>
      </c>
      <c r="E82" s="208">
        <v>1</v>
      </c>
      <c r="F82" s="188">
        <f t="shared" si="10"/>
        <v>39189.189189189186</v>
      </c>
      <c r="G82" s="120">
        <f t="shared" si="9"/>
        <v>39189.189189189186</v>
      </c>
    </row>
    <row r="83" spans="1:7" ht="15.6" thickBot="1">
      <c r="A83" s="191"/>
      <c r="B83" s="189"/>
      <c r="C83" s="197" t="s">
        <v>160</v>
      </c>
      <c r="D83" s="210" t="s">
        <v>49</v>
      </c>
      <c r="E83" s="208">
        <v>1</v>
      </c>
      <c r="F83" s="188">
        <f t="shared" si="10"/>
        <v>500000</v>
      </c>
      <c r="G83" s="122">
        <f t="shared" si="9"/>
        <v>500000</v>
      </c>
    </row>
    <row r="84" spans="1:7" ht="15">
      <c r="A84" s="191"/>
      <c r="B84" s="189"/>
      <c r="C84" s="190" t="s">
        <v>161</v>
      </c>
      <c r="D84" s="218"/>
      <c r="E84" s="219"/>
      <c r="F84" s="186"/>
      <c r="G84" s="252">
        <f>SUM(G76:G83)</f>
        <v>4705450.4504504511</v>
      </c>
    </row>
    <row r="85" spans="1:7" ht="15">
      <c r="A85" s="111">
        <v>9</v>
      </c>
      <c r="B85" s="112"/>
      <c r="C85" s="192" t="s">
        <v>390</v>
      </c>
      <c r="D85" s="249"/>
      <c r="E85" s="250"/>
      <c r="F85" s="217"/>
      <c r="G85" s="115"/>
    </row>
    <row r="86" spans="1:7" ht="15">
      <c r="A86" s="191"/>
      <c r="B86" s="189"/>
      <c r="C86" s="194" t="s">
        <v>293</v>
      </c>
      <c r="D86" s="210" t="s">
        <v>7</v>
      </c>
      <c r="E86" s="208">
        <v>1</v>
      </c>
      <c r="F86" s="406">
        <f>2839000*0+3867000</f>
        <v>3867000</v>
      </c>
      <c r="G86" s="209">
        <f t="shared" ref="G86:G93" si="11">E86*F86</f>
        <v>3867000</v>
      </c>
    </row>
    <row r="87" spans="1:7" ht="15">
      <c r="A87" s="191"/>
      <c r="B87" s="189"/>
      <c r="C87" s="240" t="s">
        <v>294</v>
      </c>
      <c r="D87" s="210"/>
      <c r="E87" s="208"/>
      <c r="F87" s="188"/>
      <c r="G87" s="251">
        <f t="shared" si="11"/>
        <v>0</v>
      </c>
    </row>
    <row r="88" spans="1:7" ht="15">
      <c r="A88" s="191"/>
      <c r="B88" s="189"/>
      <c r="C88" s="196" t="s">
        <v>392</v>
      </c>
      <c r="D88" s="210" t="s">
        <v>49</v>
      </c>
      <c r="E88" s="208">
        <v>2</v>
      </c>
      <c r="F88" s="188">
        <f>25550/1.11</f>
        <v>23018.018018018018</v>
      </c>
      <c r="G88" s="120">
        <f t="shared" si="11"/>
        <v>46036.036036036036</v>
      </c>
    </row>
    <row r="89" spans="1:7" ht="15">
      <c r="A89" s="191"/>
      <c r="B89" s="189"/>
      <c r="C89" s="196" t="s">
        <v>393</v>
      </c>
      <c r="D89" s="210" t="s">
        <v>49</v>
      </c>
      <c r="E89" s="208">
        <v>1</v>
      </c>
      <c r="F89" s="188">
        <f>239300/1.11</f>
        <v>215585.58558558556</v>
      </c>
      <c r="G89" s="120">
        <f t="shared" si="11"/>
        <v>215585.58558558556</v>
      </c>
    </row>
    <row r="90" spans="1:7" ht="15">
      <c r="A90" s="191"/>
      <c r="B90" s="189"/>
      <c r="C90" s="196" t="s">
        <v>387</v>
      </c>
      <c r="D90" s="210" t="s">
        <v>49</v>
      </c>
      <c r="E90" s="208">
        <v>1</v>
      </c>
      <c r="F90" s="188">
        <f t="shared" ref="F90:F93" si="12">F80</f>
        <v>119144.14414414413</v>
      </c>
      <c r="G90" s="120">
        <f t="shared" si="11"/>
        <v>119144.14414414413</v>
      </c>
    </row>
    <row r="91" spans="1:7" ht="15">
      <c r="A91" s="191"/>
      <c r="B91" s="189"/>
      <c r="C91" s="195" t="s">
        <v>391</v>
      </c>
      <c r="D91" s="210" t="s">
        <v>159</v>
      </c>
      <c r="E91" s="212">
        <v>1</v>
      </c>
      <c r="F91" s="188">
        <f>367450/1.11</f>
        <v>331036.03603603604</v>
      </c>
      <c r="G91" s="120">
        <f t="shared" si="11"/>
        <v>331036.03603603604</v>
      </c>
    </row>
    <row r="92" spans="1:7" ht="15">
      <c r="A92" s="191"/>
      <c r="B92" s="189"/>
      <c r="C92" s="196" t="s">
        <v>394</v>
      </c>
      <c r="D92" s="210" t="s">
        <v>158</v>
      </c>
      <c r="E92" s="208">
        <v>1</v>
      </c>
      <c r="F92" s="188">
        <f>32600/1.11</f>
        <v>29369.369369369368</v>
      </c>
      <c r="G92" s="120">
        <f t="shared" si="11"/>
        <v>29369.369369369368</v>
      </c>
    </row>
    <row r="93" spans="1:7" ht="15.6" thickBot="1">
      <c r="A93" s="191"/>
      <c r="B93" s="189"/>
      <c r="C93" s="197" t="s">
        <v>160</v>
      </c>
      <c r="D93" s="210" t="s">
        <v>49</v>
      </c>
      <c r="E93" s="208">
        <v>1</v>
      </c>
      <c r="F93" s="188">
        <f t="shared" si="12"/>
        <v>500000</v>
      </c>
      <c r="G93" s="122">
        <f t="shared" si="11"/>
        <v>500000</v>
      </c>
    </row>
    <row r="94" spans="1:7" ht="15">
      <c r="A94" s="191"/>
      <c r="B94" s="189"/>
      <c r="C94" s="190" t="s">
        <v>161</v>
      </c>
      <c r="D94" s="218"/>
      <c r="E94" s="219"/>
      <c r="F94" s="186"/>
      <c r="G94" s="252">
        <f>SUM(G86:G93)</f>
        <v>5108171.1711711707</v>
      </c>
    </row>
    <row r="95" spans="1:7" ht="15">
      <c r="A95" s="111"/>
      <c r="B95" s="112"/>
      <c r="C95" s="253"/>
      <c r="D95" s="254"/>
      <c r="E95" s="255"/>
      <c r="F95" s="114"/>
      <c r="G95" s="256"/>
    </row>
    <row r="96" spans="1:7" ht="15">
      <c r="A96" s="191"/>
      <c r="B96" s="189"/>
      <c r="C96" s="190"/>
      <c r="D96" s="218"/>
      <c r="E96" s="219"/>
      <c r="F96" s="186"/>
      <c r="G96" s="187"/>
    </row>
    <row r="100" spans="6:7" ht="15.6">
      <c r="F100" s="6" t="s">
        <v>782</v>
      </c>
      <c r="G100" s="6"/>
    </row>
    <row r="101" spans="6:7" ht="15.6">
      <c r="F101" s="8" t="s">
        <v>45</v>
      </c>
      <c r="G101" s="8"/>
    </row>
    <row r="102" spans="6:7" ht="15.6">
      <c r="F102" s="3"/>
      <c r="G102" s="3"/>
    </row>
    <row r="103" spans="6:7" ht="15.6">
      <c r="F103" s="3"/>
      <c r="G103" s="3"/>
    </row>
    <row r="104" spans="6:7" ht="15.6">
      <c r="F104" s="3"/>
      <c r="G104" s="3"/>
    </row>
    <row r="105" spans="6:7" ht="15.6">
      <c r="F105" s="6"/>
      <c r="G105" s="6"/>
    </row>
    <row r="106" spans="6:7" ht="15.6">
      <c r="F106" s="6"/>
      <c r="G106" s="6"/>
    </row>
    <row r="107" spans="6:7" ht="15.6">
      <c r="F107" s="7" t="s">
        <v>44</v>
      </c>
      <c r="G107" s="7"/>
    </row>
  </sheetData>
  <mergeCells count="2">
    <mergeCell ref="A2:C2"/>
    <mergeCell ref="A4:C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topLeftCell="C13" zoomScale="85" zoomScaleNormal="85" workbookViewId="0">
      <selection activeCell="F23" sqref="F23"/>
    </sheetView>
  </sheetViews>
  <sheetFormatPr defaultRowHeight="18.600000000000001"/>
  <cols>
    <col min="1" max="1" width="3.33203125" style="289" customWidth="1"/>
    <col min="2" max="2" width="8.77734375" style="291" customWidth="1"/>
    <col min="3" max="3" width="3.109375" style="291" customWidth="1"/>
    <col min="4" max="4" width="14.21875" style="291" customWidth="1"/>
    <col min="5" max="5" width="56.21875" style="291" customWidth="1"/>
    <col min="6" max="6" width="26.77734375" style="291" customWidth="1"/>
    <col min="7" max="7" width="4.88671875" style="292" customWidth="1"/>
    <col min="8" max="8" width="18.44140625" style="292" customWidth="1"/>
    <col min="257" max="257" width="3.33203125" customWidth="1"/>
    <col min="258" max="258" width="8.77734375" customWidth="1"/>
    <col min="259" max="259" width="3.109375" customWidth="1"/>
    <col min="260" max="260" width="14.21875" customWidth="1"/>
    <col min="261" max="261" width="56.21875" customWidth="1"/>
    <col min="262" max="262" width="26.77734375" customWidth="1"/>
    <col min="263" max="263" width="4.88671875" customWidth="1"/>
    <col min="264" max="264" width="18.44140625" customWidth="1"/>
    <col min="513" max="513" width="3.33203125" customWidth="1"/>
    <col min="514" max="514" width="8.77734375" customWidth="1"/>
    <col min="515" max="515" width="3.109375" customWidth="1"/>
    <col min="516" max="516" width="14.21875" customWidth="1"/>
    <col min="517" max="517" width="56.21875" customWidth="1"/>
    <col min="518" max="518" width="26.77734375" customWidth="1"/>
    <col min="519" max="519" width="4.88671875" customWidth="1"/>
    <col min="520" max="520" width="18.44140625" customWidth="1"/>
    <col min="769" max="769" width="3.33203125" customWidth="1"/>
    <col min="770" max="770" width="8.77734375" customWidth="1"/>
    <col min="771" max="771" width="3.109375" customWidth="1"/>
    <col min="772" max="772" width="14.21875" customWidth="1"/>
    <col min="773" max="773" width="56.21875" customWidth="1"/>
    <col min="774" max="774" width="26.77734375" customWidth="1"/>
    <col min="775" max="775" width="4.88671875" customWidth="1"/>
    <col min="776" max="776" width="18.44140625" customWidth="1"/>
    <col min="1025" max="1025" width="3.33203125" customWidth="1"/>
    <col min="1026" max="1026" width="8.77734375" customWidth="1"/>
    <col min="1027" max="1027" width="3.109375" customWidth="1"/>
    <col min="1028" max="1028" width="14.21875" customWidth="1"/>
    <col min="1029" max="1029" width="56.21875" customWidth="1"/>
    <col min="1030" max="1030" width="26.77734375" customWidth="1"/>
    <col min="1031" max="1031" width="4.88671875" customWidth="1"/>
    <col min="1032" max="1032" width="18.44140625" customWidth="1"/>
    <col min="1281" max="1281" width="3.33203125" customWidth="1"/>
    <col min="1282" max="1282" width="8.77734375" customWidth="1"/>
    <col min="1283" max="1283" width="3.109375" customWidth="1"/>
    <col min="1284" max="1284" width="14.21875" customWidth="1"/>
    <col min="1285" max="1285" width="56.21875" customWidth="1"/>
    <col min="1286" max="1286" width="26.77734375" customWidth="1"/>
    <col min="1287" max="1287" width="4.88671875" customWidth="1"/>
    <col min="1288" max="1288" width="18.44140625" customWidth="1"/>
    <col min="1537" max="1537" width="3.33203125" customWidth="1"/>
    <col min="1538" max="1538" width="8.77734375" customWidth="1"/>
    <col min="1539" max="1539" width="3.109375" customWidth="1"/>
    <col min="1540" max="1540" width="14.21875" customWidth="1"/>
    <col min="1541" max="1541" width="56.21875" customWidth="1"/>
    <col min="1542" max="1542" width="26.77734375" customWidth="1"/>
    <col min="1543" max="1543" width="4.88671875" customWidth="1"/>
    <col min="1544" max="1544" width="18.44140625" customWidth="1"/>
    <col min="1793" max="1793" width="3.33203125" customWidth="1"/>
    <col min="1794" max="1794" width="8.77734375" customWidth="1"/>
    <col min="1795" max="1795" width="3.109375" customWidth="1"/>
    <col min="1796" max="1796" width="14.21875" customWidth="1"/>
    <col min="1797" max="1797" width="56.21875" customWidth="1"/>
    <col min="1798" max="1798" width="26.77734375" customWidth="1"/>
    <col min="1799" max="1799" width="4.88671875" customWidth="1"/>
    <col min="1800" max="1800" width="18.44140625" customWidth="1"/>
    <col min="2049" max="2049" width="3.33203125" customWidth="1"/>
    <col min="2050" max="2050" width="8.77734375" customWidth="1"/>
    <col min="2051" max="2051" width="3.109375" customWidth="1"/>
    <col min="2052" max="2052" width="14.21875" customWidth="1"/>
    <col min="2053" max="2053" width="56.21875" customWidth="1"/>
    <col min="2054" max="2054" width="26.77734375" customWidth="1"/>
    <col min="2055" max="2055" width="4.88671875" customWidth="1"/>
    <col min="2056" max="2056" width="18.44140625" customWidth="1"/>
    <col min="2305" max="2305" width="3.33203125" customWidth="1"/>
    <col min="2306" max="2306" width="8.77734375" customWidth="1"/>
    <col min="2307" max="2307" width="3.109375" customWidth="1"/>
    <col min="2308" max="2308" width="14.21875" customWidth="1"/>
    <col min="2309" max="2309" width="56.21875" customWidth="1"/>
    <col min="2310" max="2310" width="26.77734375" customWidth="1"/>
    <col min="2311" max="2311" width="4.88671875" customWidth="1"/>
    <col min="2312" max="2312" width="18.44140625" customWidth="1"/>
    <col min="2561" max="2561" width="3.33203125" customWidth="1"/>
    <col min="2562" max="2562" width="8.77734375" customWidth="1"/>
    <col min="2563" max="2563" width="3.109375" customWidth="1"/>
    <col min="2564" max="2564" width="14.21875" customWidth="1"/>
    <col min="2565" max="2565" width="56.21875" customWidth="1"/>
    <col min="2566" max="2566" width="26.77734375" customWidth="1"/>
    <col min="2567" max="2567" width="4.88671875" customWidth="1"/>
    <col min="2568" max="2568" width="18.44140625" customWidth="1"/>
    <col min="2817" max="2817" width="3.33203125" customWidth="1"/>
    <col min="2818" max="2818" width="8.77734375" customWidth="1"/>
    <col min="2819" max="2819" width="3.109375" customWidth="1"/>
    <col min="2820" max="2820" width="14.21875" customWidth="1"/>
    <col min="2821" max="2821" width="56.21875" customWidth="1"/>
    <col min="2822" max="2822" width="26.77734375" customWidth="1"/>
    <col min="2823" max="2823" width="4.88671875" customWidth="1"/>
    <col min="2824" max="2824" width="18.44140625" customWidth="1"/>
    <col min="3073" max="3073" width="3.33203125" customWidth="1"/>
    <col min="3074" max="3074" width="8.77734375" customWidth="1"/>
    <col min="3075" max="3075" width="3.109375" customWidth="1"/>
    <col min="3076" max="3076" width="14.21875" customWidth="1"/>
    <col min="3077" max="3077" width="56.21875" customWidth="1"/>
    <col min="3078" max="3078" width="26.77734375" customWidth="1"/>
    <col min="3079" max="3079" width="4.88671875" customWidth="1"/>
    <col min="3080" max="3080" width="18.44140625" customWidth="1"/>
    <col min="3329" max="3329" width="3.33203125" customWidth="1"/>
    <col min="3330" max="3330" width="8.77734375" customWidth="1"/>
    <col min="3331" max="3331" width="3.109375" customWidth="1"/>
    <col min="3332" max="3332" width="14.21875" customWidth="1"/>
    <col min="3333" max="3333" width="56.21875" customWidth="1"/>
    <col min="3334" max="3334" width="26.77734375" customWidth="1"/>
    <col min="3335" max="3335" width="4.88671875" customWidth="1"/>
    <col min="3336" max="3336" width="18.44140625" customWidth="1"/>
    <col min="3585" max="3585" width="3.33203125" customWidth="1"/>
    <col min="3586" max="3586" width="8.77734375" customWidth="1"/>
    <col min="3587" max="3587" width="3.109375" customWidth="1"/>
    <col min="3588" max="3588" width="14.21875" customWidth="1"/>
    <col min="3589" max="3589" width="56.21875" customWidth="1"/>
    <col min="3590" max="3590" width="26.77734375" customWidth="1"/>
    <col min="3591" max="3591" width="4.88671875" customWidth="1"/>
    <col min="3592" max="3592" width="18.44140625" customWidth="1"/>
    <col min="3841" max="3841" width="3.33203125" customWidth="1"/>
    <col min="3842" max="3842" width="8.77734375" customWidth="1"/>
    <col min="3843" max="3843" width="3.109375" customWidth="1"/>
    <col min="3844" max="3844" width="14.21875" customWidth="1"/>
    <col min="3845" max="3845" width="56.21875" customWidth="1"/>
    <col min="3846" max="3846" width="26.77734375" customWidth="1"/>
    <col min="3847" max="3847" width="4.88671875" customWidth="1"/>
    <col min="3848" max="3848" width="18.44140625" customWidth="1"/>
    <col min="4097" max="4097" width="3.33203125" customWidth="1"/>
    <col min="4098" max="4098" width="8.77734375" customWidth="1"/>
    <col min="4099" max="4099" width="3.109375" customWidth="1"/>
    <col min="4100" max="4100" width="14.21875" customWidth="1"/>
    <col min="4101" max="4101" width="56.21875" customWidth="1"/>
    <col min="4102" max="4102" width="26.77734375" customWidth="1"/>
    <col min="4103" max="4103" width="4.88671875" customWidth="1"/>
    <col min="4104" max="4104" width="18.44140625" customWidth="1"/>
    <col min="4353" max="4353" width="3.33203125" customWidth="1"/>
    <col min="4354" max="4354" width="8.77734375" customWidth="1"/>
    <col min="4355" max="4355" width="3.109375" customWidth="1"/>
    <col min="4356" max="4356" width="14.21875" customWidth="1"/>
    <col min="4357" max="4357" width="56.21875" customWidth="1"/>
    <col min="4358" max="4358" width="26.77734375" customWidth="1"/>
    <col min="4359" max="4359" width="4.88671875" customWidth="1"/>
    <col min="4360" max="4360" width="18.44140625" customWidth="1"/>
    <col min="4609" max="4609" width="3.33203125" customWidth="1"/>
    <col min="4610" max="4610" width="8.77734375" customWidth="1"/>
    <col min="4611" max="4611" width="3.109375" customWidth="1"/>
    <col min="4612" max="4612" width="14.21875" customWidth="1"/>
    <col min="4613" max="4613" width="56.21875" customWidth="1"/>
    <col min="4614" max="4614" width="26.77734375" customWidth="1"/>
    <col min="4615" max="4615" width="4.88671875" customWidth="1"/>
    <col min="4616" max="4616" width="18.44140625" customWidth="1"/>
    <col min="4865" max="4865" width="3.33203125" customWidth="1"/>
    <col min="4866" max="4866" width="8.77734375" customWidth="1"/>
    <col min="4867" max="4867" width="3.109375" customWidth="1"/>
    <col min="4868" max="4868" width="14.21875" customWidth="1"/>
    <col min="4869" max="4869" width="56.21875" customWidth="1"/>
    <col min="4870" max="4870" width="26.77734375" customWidth="1"/>
    <col min="4871" max="4871" width="4.88671875" customWidth="1"/>
    <col min="4872" max="4872" width="18.44140625" customWidth="1"/>
    <col min="5121" max="5121" width="3.33203125" customWidth="1"/>
    <col min="5122" max="5122" width="8.77734375" customWidth="1"/>
    <col min="5123" max="5123" width="3.109375" customWidth="1"/>
    <col min="5124" max="5124" width="14.21875" customWidth="1"/>
    <col min="5125" max="5125" width="56.21875" customWidth="1"/>
    <col min="5126" max="5126" width="26.77734375" customWidth="1"/>
    <col min="5127" max="5127" width="4.88671875" customWidth="1"/>
    <col min="5128" max="5128" width="18.44140625" customWidth="1"/>
    <col min="5377" max="5377" width="3.33203125" customWidth="1"/>
    <col min="5378" max="5378" width="8.77734375" customWidth="1"/>
    <col min="5379" max="5379" width="3.109375" customWidth="1"/>
    <col min="5380" max="5380" width="14.21875" customWidth="1"/>
    <col min="5381" max="5381" width="56.21875" customWidth="1"/>
    <col min="5382" max="5382" width="26.77734375" customWidth="1"/>
    <col min="5383" max="5383" width="4.88671875" customWidth="1"/>
    <col min="5384" max="5384" width="18.44140625" customWidth="1"/>
    <col min="5633" max="5633" width="3.33203125" customWidth="1"/>
    <col min="5634" max="5634" width="8.77734375" customWidth="1"/>
    <col min="5635" max="5635" width="3.109375" customWidth="1"/>
    <col min="5636" max="5636" width="14.21875" customWidth="1"/>
    <col min="5637" max="5637" width="56.21875" customWidth="1"/>
    <col min="5638" max="5638" width="26.77734375" customWidth="1"/>
    <col min="5639" max="5639" width="4.88671875" customWidth="1"/>
    <col min="5640" max="5640" width="18.44140625" customWidth="1"/>
    <col min="5889" max="5889" width="3.33203125" customWidth="1"/>
    <col min="5890" max="5890" width="8.77734375" customWidth="1"/>
    <col min="5891" max="5891" width="3.109375" customWidth="1"/>
    <col min="5892" max="5892" width="14.21875" customWidth="1"/>
    <col min="5893" max="5893" width="56.21875" customWidth="1"/>
    <col min="5894" max="5894" width="26.77734375" customWidth="1"/>
    <col min="5895" max="5895" width="4.88671875" customWidth="1"/>
    <col min="5896" max="5896" width="18.44140625" customWidth="1"/>
    <col min="6145" max="6145" width="3.33203125" customWidth="1"/>
    <col min="6146" max="6146" width="8.77734375" customWidth="1"/>
    <col min="6147" max="6147" width="3.109375" customWidth="1"/>
    <col min="6148" max="6148" width="14.21875" customWidth="1"/>
    <col min="6149" max="6149" width="56.21875" customWidth="1"/>
    <col min="6150" max="6150" width="26.77734375" customWidth="1"/>
    <col min="6151" max="6151" width="4.88671875" customWidth="1"/>
    <col min="6152" max="6152" width="18.44140625" customWidth="1"/>
    <col min="6401" max="6401" width="3.33203125" customWidth="1"/>
    <col min="6402" max="6402" width="8.77734375" customWidth="1"/>
    <col min="6403" max="6403" width="3.109375" customWidth="1"/>
    <col min="6404" max="6404" width="14.21875" customWidth="1"/>
    <col min="6405" max="6405" width="56.21875" customWidth="1"/>
    <col min="6406" max="6406" width="26.77734375" customWidth="1"/>
    <col min="6407" max="6407" width="4.88671875" customWidth="1"/>
    <col min="6408" max="6408" width="18.44140625" customWidth="1"/>
    <col min="6657" max="6657" width="3.33203125" customWidth="1"/>
    <col min="6658" max="6658" width="8.77734375" customWidth="1"/>
    <col min="6659" max="6659" width="3.109375" customWidth="1"/>
    <col min="6660" max="6660" width="14.21875" customWidth="1"/>
    <col min="6661" max="6661" width="56.21875" customWidth="1"/>
    <col min="6662" max="6662" width="26.77734375" customWidth="1"/>
    <col min="6663" max="6663" width="4.88671875" customWidth="1"/>
    <col min="6664" max="6664" width="18.44140625" customWidth="1"/>
    <col min="6913" max="6913" width="3.33203125" customWidth="1"/>
    <col min="6914" max="6914" width="8.77734375" customWidth="1"/>
    <col min="6915" max="6915" width="3.109375" customWidth="1"/>
    <col min="6916" max="6916" width="14.21875" customWidth="1"/>
    <col min="6917" max="6917" width="56.21875" customWidth="1"/>
    <col min="6918" max="6918" width="26.77734375" customWidth="1"/>
    <col min="6919" max="6919" width="4.88671875" customWidth="1"/>
    <col min="6920" max="6920" width="18.44140625" customWidth="1"/>
    <col min="7169" max="7169" width="3.33203125" customWidth="1"/>
    <col min="7170" max="7170" width="8.77734375" customWidth="1"/>
    <col min="7171" max="7171" width="3.109375" customWidth="1"/>
    <col min="7172" max="7172" width="14.21875" customWidth="1"/>
    <col min="7173" max="7173" width="56.21875" customWidth="1"/>
    <col min="7174" max="7174" width="26.77734375" customWidth="1"/>
    <col min="7175" max="7175" width="4.88671875" customWidth="1"/>
    <col min="7176" max="7176" width="18.44140625" customWidth="1"/>
    <col min="7425" max="7425" width="3.33203125" customWidth="1"/>
    <col min="7426" max="7426" width="8.77734375" customWidth="1"/>
    <col min="7427" max="7427" width="3.109375" customWidth="1"/>
    <col min="7428" max="7428" width="14.21875" customWidth="1"/>
    <col min="7429" max="7429" width="56.21875" customWidth="1"/>
    <col min="7430" max="7430" width="26.77734375" customWidth="1"/>
    <col min="7431" max="7431" width="4.88671875" customWidth="1"/>
    <col min="7432" max="7432" width="18.44140625" customWidth="1"/>
    <col min="7681" max="7681" width="3.33203125" customWidth="1"/>
    <col min="7682" max="7682" width="8.77734375" customWidth="1"/>
    <col min="7683" max="7683" width="3.109375" customWidth="1"/>
    <col min="7684" max="7684" width="14.21875" customWidth="1"/>
    <col min="7685" max="7685" width="56.21875" customWidth="1"/>
    <col min="7686" max="7686" width="26.77734375" customWidth="1"/>
    <col min="7687" max="7687" width="4.88671875" customWidth="1"/>
    <col min="7688" max="7688" width="18.44140625" customWidth="1"/>
    <col min="7937" max="7937" width="3.33203125" customWidth="1"/>
    <col min="7938" max="7938" width="8.77734375" customWidth="1"/>
    <col min="7939" max="7939" width="3.109375" customWidth="1"/>
    <col min="7940" max="7940" width="14.21875" customWidth="1"/>
    <col min="7941" max="7941" width="56.21875" customWidth="1"/>
    <col min="7942" max="7942" width="26.77734375" customWidth="1"/>
    <col min="7943" max="7943" width="4.88671875" customWidth="1"/>
    <col min="7944" max="7944" width="18.44140625" customWidth="1"/>
    <col min="8193" max="8193" width="3.33203125" customWidth="1"/>
    <col min="8194" max="8194" width="8.77734375" customWidth="1"/>
    <col min="8195" max="8195" width="3.109375" customWidth="1"/>
    <col min="8196" max="8196" width="14.21875" customWidth="1"/>
    <col min="8197" max="8197" width="56.21875" customWidth="1"/>
    <col min="8198" max="8198" width="26.77734375" customWidth="1"/>
    <col min="8199" max="8199" width="4.88671875" customWidth="1"/>
    <col min="8200" max="8200" width="18.44140625" customWidth="1"/>
    <col min="8449" max="8449" width="3.33203125" customWidth="1"/>
    <col min="8450" max="8450" width="8.77734375" customWidth="1"/>
    <col min="8451" max="8451" width="3.109375" customWidth="1"/>
    <col min="8452" max="8452" width="14.21875" customWidth="1"/>
    <col min="8453" max="8453" width="56.21875" customWidth="1"/>
    <col min="8454" max="8454" width="26.77734375" customWidth="1"/>
    <col min="8455" max="8455" width="4.88671875" customWidth="1"/>
    <col min="8456" max="8456" width="18.44140625" customWidth="1"/>
    <col min="8705" max="8705" width="3.33203125" customWidth="1"/>
    <col min="8706" max="8706" width="8.77734375" customWidth="1"/>
    <col min="8707" max="8707" width="3.109375" customWidth="1"/>
    <col min="8708" max="8708" width="14.21875" customWidth="1"/>
    <col min="8709" max="8709" width="56.21875" customWidth="1"/>
    <col min="8710" max="8710" width="26.77734375" customWidth="1"/>
    <col min="8711" max="8711" width="4.88671875" customWidth="1"/>
    <col min="8712" max="8712" width="18.44140625" customWidth="1"/>
    <col min="8961" max="8961" width="3.33203125" customWidth="1"/>
    <col min="8962" max="8962" width="8.77734375" customWidth="1"/>
    <col min="8963" max="8963" width="3.109375" customWidth="1"/>
    <col min="8964" max="8964" width="14.21875" customWidth="1"/>
    <col min="8965" max="8965" width="56.21875" customWidth="1"/>
    <col min="8966" max="8966" width="26.77734375" customWidth="1"/>
    <col min="8967" max="8967" width="4.88671875" customWidth="1"/>
    <col min="8968" max="8968" width="18.44140625" customWidth="1"/>
    <col min="9217" max="9217" width="3.33203125" customWidth="1"/>
    <col min="9218" max="9218" width="8.77734375" customWidth="1"/>
    <col min="9219" max="9219" width="3.109375" customWidth="1"/>
    <col min="9220" max="9220" width="14.21875" customWidth="1"/>
    <col min="9221" max="9221" width="56.21875" customWidth="1"/>
    <col min="9222" max="9222" width="26.77734375" customWidth="1"/>
    <col min="9223" max="9223" width="4.88671875" customWidth="1"/>
    <col min="9224" max="9224" width="18.44140625" customWidth="1"/>
    <col min="9473" max="9473" width="3.33203125" customWidth="1"/>
    <col min="9474" max="9474" width="8.77734375" customWidth="1"/>
    <col min="9475" max="9475" width="3.109375" customWidth="1"/>
    <col min="9476" max="9476" width="14.21875" customWidth="1"/>
    <col min="9477" max="9477" width="56.21875" customWidth="1"/>
    <col min="9478" max="9478" width="26.77734375" customWidth="1"/>
    <col min="9479" max="9479" width="4.88671875" customWidth="1"/>
    <col min="9480" max="9480" width="18.44140625" customWidth="1"/>
    <col min="9729" max="9729" width="3.33203125" customWidth="1"/>
    <col min="9730" max="9730" width="8.77734375" customWidth="1"/>
    <col min="9731" max="9731" width="3.109375" customWidth="1"/>
    <col min="9732" max="9732" width="14.21875" customWidth="1"/>
    <col min="9733" max="9733" width="56.21875" customWidth="1"/>
    <col min="9734" max="9734" width="26.77734375" customWidth="1"/>
    <col min="9735" max="9735" width="4.88671875" customWidth="1"/>
    <col min="9736" max="9736" width="18.44140625" customWidth="1"/>
    <col min="9985" max="9985" width="3.33203125" customWidth="1"/>
    <col min="9986" max="9986" width="8.77734375" customWidth="1"/>
    <col min="9987" max="9987" width="3.109375" customWidth="1"/>
    <col min="9988" max="9988" width="14.21875" customWidth="1"/>
    <col min="9989" max="9989" width="56.21875" customWidth="1"/>
    <col min="9990" max="9990" width="26.77734375" customWidth="1"/>
    <col min="9991" max="9991" width="4.88671875" customWidth="1"/>
    <col min="9992" max="9992" width="18.44140625" customWidth="1"/>
    <col min="10241" max="10241" width="3.33203125" customWidth="1"/>
    <col min="10242" max="10242" width="8.77734375" customWidth="1"/>
    <col min="10243" max="10243" width="3.109375" customWidth="1"/>
    <col min="10244" max="10244" width="14.21875" customWidth="1"/>
    <col min="10245" max="10245" width="56.21875" customWidth="1"/>
    <col min="10246" max="10246" width="26.77734375" customWidth="1"/>
    <col min="10247" max="10247" width="4.88671875" customWidth="1"/>
    <col min="10248" max="10248" width="18.44140625" customWidth="1"/>
    <col min="10497" max="10497" width="3.33203125" customWidth="1"/>
    <col min="10498" max="10498" width="8.77734375" customWidth="1"/>
    <col min="10499" max="10499" width="3.109375" customWidth="1"/>
    <col min="10500" max="10500" width="14.21875" customWidth="1"/>
    <col min="10501" max="10501" width="56.21875" customWidth="1"/>
    <col min="10502" max="10502" width="26.77734375" customWidth="1"/>
    <col min="10503" max="10503" width="4.88671875" customWidth="1"/>
    <col min="10504" max="10504" width="18.44140625" customWidth="1"/>
    <col min="10753" max="10753" width="3.33203125" customWidth="1"/>
    <col min="10754" max="10754" width="8.77734375" customWidth="1"/>
    <col min="10755" max="10755" width="3.109375" customWidth="1"/>
    <col min="10756" max="10756" width="14.21875" customWidth="1"/>
    <col min="10757" max="10757" width="56.21875" customWidth="1"/>
    <col min="10758" max="10758" width="26.77734375" customWidth="1"/>
    <col min="10759" max="10759" width="4.88671875" customWidth="1"/>
    <col min="10760" max="10760" width="18.44140625" customWidth="1"/>
    <col min="11009" max="11009" width="3.33203125" customWidth="1"/>
    <col min="11010" max="11010" width="8.77734375" customWidth="1"/>
    <col min="11011" max="11011" width="3.109375" customWidth="1"/>
    <col min="11012" max="11012" width="14.21875" customWidth="1"/>
    <col min="11013" max="11013" width="56.21875" customWidth="1"/>
    <col min="11014" max="11014" width="26.77734375" customWidth="1"/>
    <col min="11015" max="11015" width="4.88671875" customWidth="1"/>
    <col min="11016" max="11016" width="18.44140625" customWidth="1"/>
    <col min="11265" max="11265" width="3.33203125" customWidth="1"/>
    <col min="11266" max="11266" width="8.77734375" customWidth="1"/>
    <col min="11267" max="11267" width="3.109375" customWidth="1"/>
    <col min="11268" max="11268" width="14.21875" customWidth="1"/>
    <col min="11269" max="11269" width="56.21875" customWidth="1"/>
    <col min="11270" max="11270" width="26.77734375" customWidth="1"/>
    <col min="11271" max="11271" width="4.88671875" customWidth="1"/>
    <col min="11272" max="11272" width="18.44140625" customWidth="1"/>
    <col min="11521" max="11521" width="3.33203125" customWidth="1"/>
    <col min="11522" max="11522" width="8.77734375" customWidth="1"/>
    <col min="11523" max="11523" width="3.109375" customWidth="1"/>
    <col min="11524" max="11524" width="14.21875" customWidth="1"/>
    <col min="11525" max="11525" width="56.21875" customWidth="1"/>
    <col min="11526" max="11526" width="26.77734375" customWidth="1"/>
    <col min="11527" max="11527" width="4.88671875" customWidth="1"/>
    <col min="11528" max="11528" width="18.44140625" customWidth="1"/>
    <col min="11777" max="11777" width="3.33203125" customWidth="1"/>
    <col min="11778" max="11778" width="8.77734375" customWidth="1"/>
    <col min="11779" max="11779" width="3.109375" customWidth="1"/>
    <col min="11780" max="11780" width="14.21875" customWidth="1"/>
    <col min="11781" max="11781" width="56.21875" customWidth="1"/>
    <col min="11782" max="11782" width="26.77734375" customWidth="1"/>
    <col min="11783" max="11783" width="4.88671875" customWidth="1"/>
    <col min="11784" max="11784" width="18.44140625" customWidth="1"/>
    <col min="12033" max="12033" width="3.33203125" customWidth="1"/>
    <col min="12034" max="12034" width="8.77734375" customWidth="1"/>
    <col min="12035" max="12035" width="3.109375" customWidth="1"/>
    <col min="12036" max="12036" width="14.21875" customWidth="1"/>
    <col min="12037" max="12037" width="56.21875" customWidth="1"/>
    <col min="12038" max="12038" width="26.77734375" customWidth="1"/>
    <col min="12039" max="12039" width="4.88671875" customWidth="1"/>
    <col min="12040" max="12040" width="18.44140625" customWidth="1"/>
    <col min="12289" max="12289" width="3.33203125" customWidth="1"/>
    <col min="12290" max="12290" width="8.77734375" customWidth="1"/>
    <col min="12291" max="12291" width="3.109375" customWidth="1"/>
    <col min="12292" max="12292" width="14.21875" customWidth="1"/>
    <col min="12293" max="12293" width="56.21875" customWidth="1"/>
    <col min="12294" max="12294" width="26.77734375" customWidth="1"/>
    <col min="12295" max="12295" width="4.88671875" customWidth="1"/>
    <col min="12296" max="12296" width="18.44140625" customWidth="1"/>
    <col min="12545" max="12545" width="3.33203125" customWidth="1"/>
    <col min="12546" max="12546" width="8.77734375" customWidth="1"/>
    <col min="12547" max="12547" width="3.109375" customWidth="1"/>
    <col min="12548" max="12548" width="14.21875" customWidth="1"/>
    <col min="12549" max="12549" width="56.21875" customWidth="1"/>
    <col min="12550" max="12550" width="26.77734375" customWidth="1"/>
    <col min="12551" max="12551" width="4.88671875" customWidth="1"/>
    <col min="12552" max="12552" width="18.44140625" customWidth="1"/>
    <col min="12801" max="12801" width="3.33203125" customWidth="1"/>
    <col min="12802" max="12802" width="8.77734375" customWidth="1"/>
    <col min="12803" max="12803" width="3.109375" customWidth="1"/>
    <col min="12804" max="12804" width="14.21875" customWidth="1"/>
    <col min="12805" max="12805" width="56.21875" customWidth="1"/>
    <col min="12806" max="12806" width="26.77734375" customWidth="1"/>
    <col min="12807" max="12807" width="4.88671875" customWidth="1"/>
    <col min="12808" max="12808" width="18.44140625" customWidth="1"/>
    <col min="13057" max="13057" width="3.33203125" customWidth="1"/>
    <col min="13058" max="13058" width="8.77734375" customWidth="1"/>
    <col min="13059" max="13059" width="3.109375" customWidth="1"/>
    <col min="13060" max="13060" width="14.21875" customWidth="1"/>
    <col min="13061" max="13061" width="56.21875" customWidth="1"/>
    <col min="13062" max="13062" width="26.77734375" customWidth="1"/>
    <col min="13063" max="13063" width="4.88671875" customWidth="1"/>
    <col min="13064" max="13064" width="18.44140625" customWidth="1"/>
    <col min="13313" max="13313" width="3.33203125" customWidth="1"/>
    <col min="13314" max="13314" width="8.77734375" customWidth="1"/>
    <col min="13315" max="13315" width="3.109375" customWidth="1"/>
    <col min="13316" max="13316" width="14.21875" customWidth="1"/>
    <col min="13317" max="13317" width="56.21875" customWidth="1"/>
    <col min="13318" max="13318" width="26.77734375" customWidth="1"/>
    <col min="13319" max="13319" width="4.88671875" customWidth="1"/>
    <col min="13320" max="13320" width="18.44140625" customWidth="1"/>
    <col min="13569" max="13569" width="3.33203125" customWidth="1"/>
    <col min="13570" max="13570" width="8.77734375" customWidth="1"/>
    <col min="13571" max="13571" width="3.109375" customWidth="1"/>
    <col min="13572" max="13572" width="14.21875" customWidth="1"/>
    <col min="13573" max="13573" width="56.21875" customWidth="1"/>
    <col min="13574" max="13574" width="26.77734375" customWidth="1"/>
    <col min="13575" max="13575" width="4.88671875" customWidth="1"/>
    <col min="13576" max="13576" width="18.44140625" customWidth="1"/>
    <col min="13825" max="13825" width="3.33203125" customWidth="1"/>
    <col min="13826" max="13826" width="8.77734375" customWidth="1"/>
    <col min="13827" max="13827" width="3.109375" customWidth="1"/>
    <col min="13828" max="13828" width="14.21875" customWidth="1"/>
    <col min="13829" max="13829" width="56.21875" customWidth="1"/>
    <col min="13830" max="13830" width="26.77734375" customWidth="1"/>
    <col min="13831" max="13831" width="4.88671875" customWidth="1"/>
    <col min="13832" max="13832" width="18.44140625" customWidth="1"/>
    <col min="14081" max="14081" width="3.33203125" customWidth="1"/>
    <col min="14082" max="14082" width="8.77734375" customWidth="1"/>
    <col min="14083" max="14083" width="3.109375" customWidth="1"/>
    <col min="14084" max="14084" width="14.21875" customWidth="1"/>
    <col min="14085" max="14085" width="56.21875" customWidth="1"/>
    <col min="14086" max="14086" width="26.77734375" customWidth="1"/>
    <col min="14087" max="14087" width="4.88671875" customWidth="1"/>
    <col min="14088" max="14088" width="18.44140625" customWidth="1"/>
    <col min="14337" max="14337" width="3.33203125" customWidth="1"/>
    <col min="14338" max="14338" width="8.77734375" customWidth="1"/>
    <col min="14339" max="14339" width="3.109375" customWidth="1"/>
    <col min="14340" max="14340" width="14.21875" customWidth="1"/>
    <col min="14341" max="14341" width="56.21875" customWidth="1"/>
    <col min="14342" max="14342" width="26.77734375" customWidth="1"/>
    <col min="14343" max="14343" width="4.88671875" customWidth="1"/>
    <col min="14344" max="14344" width="18.44140625" customWidth="1"/>
    <col min="14593" max="14593" width="3.33203125" customWidth="1"/>
    <col min="14594" max="14594" width="8.77734375" customWidth="1"/>
    <col min="14595" max="14595" width="3.109375" customWidth="1"/>
    <col min="14596" max="14596" width="14.21875" customWidth="1"/>
    <col min="14597" max="14597" width="56.21875" customWidth="1"/>
    <col min="14598" max="14598" width="26.77734375" customWidth="1"/>
    <col min="14599" max="14599" width="4.88671875" customWidth="1"/>
    <col min="14600" max="14600" width="18.44140625" customWidth="1"/>
    <col min="14849" max="14849" width="3.33203125" customWidth="1"/>
    <col min="14850" max="14850" width="8.77734375" customWidth="1"/>
    <col min="14851" max="14851" width="3.109375" customWidth="1"/>
    <col min="14852" max="14852" width="14.21875" customWidth="1"/>
    <col min="14853" max="14853" width="56.21875" customWidth="1"/>
    <col min="14854" max="14854" width="26.77734375" customWidth="1"/>
    <col min="14855" max="14855" width="4.88671875" customWidth="1"/>
    <col min="14856" max="14856" width="18.44140625" customWidth="1"/>
    <col min="15105" max="15105" width="3.33203125" customWidth="1"/>
    <col min="15106" max="15106" width="8.77734375" customWidth="1"/>
    <col min="15107" max="15107" width="3.109375" customWidth="1"/>
    <col min="15108" max="15108" width="14.21875" customWidth="1"/>
    <col min="15109" max="15109" width="56.21875" customWidth="1"/>
    <col min="15110" max="15110" width="26.77734375" customWidth="1"/>
    <col min="15111" max="15111" width="4.88671875" customWidth="1"/>
    <col min="15112" max="15112" width="18.44140625" customWidth="1"/>
    <col min="15361" max="15361" width="3.33203125" customWidth="1"/>
    <col min="15362" max="15362" width="8.77734375" customWidth="1"/>
    <col min="15363" max="15363" width="3.109375" customWidth="1"/>
    <col min="15364" max="15364" width="14.21875" customWidth="1"/>
    <col min="15365" max="15365" width="56.21875" customWidth="1"/>
    <col min="15366" max="15366" width="26.77734375" customWidth="1"/>
    <col min="15367" max="15367" width="4.88671875" customWidth="1"/>
    <col min="15368" max="15368" width="18.44140625" customWidth="1"/>
    <col min="15617" max="15617" width="3.33203125" customWidth="1"/>
    <col min="15618" max="15618" width="8.77734375" customWidth="1"/>
    <col min="15619" max="15619" width="3.109375" customWidth="1"/>
    <col min="15620" max="15620" width="14.21875" customWidth="1"/>
    <col min="15621" max="15621" width="56.21875" customWidth="1"/>
    <col min="15622" max="15622" width="26.77734375" customWidth="1"/>
    <col min="15623" max="15623" width="4.88671875" customWidth="1"/>
    <col min="15624" max="15624" width="18.44140625" customWidth="1"/>
    <col min="15873" max="15873" width="3.33203125" customWidth="1"/>
    <col min="15874" max="15874" width="8.77734375" customWidth="1"/>
    <col min="15875" max="15875" width="3.109375" customWidth="1"/>
    <col min="15876" max="15876" width="14.21875" customWidth="1"/>
    <col min="15877" max="15877" width="56.21875" customWidth="1"/>
    <col min="15878" max="15878" width="26.77734375" customWidth="1"/>
    <col min="15879" max="15879" width="4.88671875" customWidth="1"/>
    <col min="15880" max="15880" width="18.44140625" customWidth="1"/>
    <col min="16129" max="16129" width="3.33203125" customWidth="1"/>
    <col min="16130" max="16130" width="8.77734375" customWidth="1"/>
    <col min="16131" max="16131" width="3.109375" customWidth="1"/>
    <col min="16132" max="16132" width="14.21875" customWidth="1"/>
    <col min="16133" max="16133" width="56.21875" customWidth="1"/>
    <col min="16134" max="16134" width="26.77734375" customWidth="1"/>
    <col min="16135" max="16135" width="4.88671875" customWidth="1"/>
    <col min="16136" max="16136" width="18.44140625" customWidth="1"/>
  </cols>
  <sheetData>
    <row r="1" spans="1:13" ht="18" customHeight="1">
      <c r="B1" s="290"/>
    </row>
    <row r="2" spans="1:13" ht="18" customHeight="1">
      <c r="B2" s="293" t="s">
        <v>651</v>
      </c>
      <c r="G2" s="294"/>
    </row>
    <row r="3" spans="1:13" s="297" customFormat="1" ht="20.100000000000001" customHeight="1">
      <c r="A3" s="289"/>
      <c r="B3" s="295" t="s">
        <v>777</v>
      </c>
      <c r="C3" s="291"/>
      <c r="D3" s="291"/>
      <c r="E3" s="291"/>
      <c r="F3" s="291"/>
      <c r="G3" s="294"/>
      <c r="H3" s="296"/>
    </row>
    <row r="4" spans="1:13" s="297" customFormat="1" ht="20.100000000000001" customHeight="1">
      <c r="A4" s="289"/>
      <c r="B4" s="293" t="s">
        <v>652</v>
      </c>
      <c r="C4" s="291"/>
      <c r="D4" s="291"/>
      <c r="E4" s="291"/>
      <c r="F4" s="291"/>
      <c r="G4" s="294"/>
      <c r="H4" s="296"/>
    </row>
    <row r="5" spans="1:13" s="297" customFormat="1" ht="20.100000000000001" customHeight="1">
      <c r="A5" s="289"/>
      <c r="B5" s="298"/>
      <c r="C5" s="291"/>
      <c r="D5" s="291"/>
      <c r="E5" s="291"/>
      <c r="F5" s="291"/>
      <c r="G5" s="294"/>
      <c r="H5" s="296"/>
    </row>
    <row r="6" spans="1:13" s="296" customFormat="1" ht="31.5" customHeight="1">
      <c r="A6" s="289"/>
      <c r="B6" s="299" t="s">
        <v>653</v>
      </c>
      <c r="C6" s="300"/>
      <c r="D6" s="301" t="s">
        <v>654</v>
      </c>
      <c r="E6" s="302"/>
      <c r="F6" s="302" t="s">
        <v>650</v>
      </c>
      <c r="G6" s="294"/>
      <c r="H6" s="303"/>
      <c r="I6" s="303"/>
      <c r="J6" s="303"/>
      <c r="K6" s="303"/>
      <c r="L6" s="303"/>
      <c r="M6" s="303"/>
    </row>
    <row r="7" spans="1:13" s="296" customFormat="1">
      <c r="A7" s="289"/>
      <c r="B7" s="304"/>
      <c r="C7" s="305"/>
      <c r="D7" s="306"/>
      <c r="E7" s="307"/>
      <c r="F7" s="308"/>
      <c r="G7" s="294"/>
    </row>
    <row r="8" spans="1:13" s="296" customFormat="1">
      <c r="A8" s="289"/>
      <c r="B8" s="309" t="s">
        <v>655</v>
      </c>
      <c r="C8" s="310"/>
      <c r="D8" s="311" t="s">
        <v>656</v>
      </c>
      <c r="E8" s="312"/>
      <c r="F8" s="313">
        <f>'BQ MAPLE POOL'!F2</f>
        <v>4433680</v>
      </c>
      <c r="G8" s="294"/>
      <c r="H8" s="314"/>
    </row>
    <row r="9" spans="1:13" s="296" customFormat="1">
      <c r="A9" s="289"/>
      <c r="B9" s="309" t="s">
        <v>657</v>
      </c>
      <c r="C9" s="310"/>
      <c r="D9" s="311" t="s">
        <v>658</v>
      </c>
      <c r="E9" s="312"/>
      <c r="F9" s="313">
        <f>'BQ MAPLE POOL'!F13</f>
        <v>9386291</v>
      </c>
      <c r="G9" s="294"/>
      <c r="H9" s="314"/>
    </row>
    <row r="10" spans="1:13" s="296" customFormat="1">
      <c r="A10" s="289"/>
      <c r="B10" s="309" t="s">
        <v>659</v>
      </c>
      <c r="C10" s="310"/>
      <c r="D10" s="311" t="s">
        <v>660</v>
      </c>
      <c r="E10" s="312"/>
      <c r="F10" s="313">
        <f>'BQ MAPLE POOL'!F27</f>
        <v>42793344.703401536</v>
      </c>
      <c r="G10" s="294"/>
      <c r="H10" s="314"/>
    </row>
    <row r="11" spans="1:13" s="296" customFormat="1">
      <c r="A11" s="289"/>
      <c r="B11" s="309" t="s">
        <v>661</v>
      </c>
      <c r="C11" s="310"/>
      <c r="D11" s="311" t="s">
        <v>662</v>
      </c>
      <c r="E11" s="312"/>
      <c r="F11" s="313">
        <f>'BQ MAPLE POOL'!F44+'BQ MAPLE POOL'!F90+'BQ MAPLE POOL'!F119+'BQ MAPLE POOL'!F132</f>
        <v>223083881.64097759</v>
      </c>
      <c r="G11" s="294"/>
      <c r="H11" s="314"/>
    </row>
    <row r="12" spans="1:13" s="296" customFormat="1">
      <c r="A12" s="289"/>
      <c r="B12" s="309" t="s">
        <v>663</v>
      </c>
      <c r="C12" s="310"/>
      <c r="D12" s="311" t="s">
        <v>664</v>
      </c>
      <c r="E12" s="312"/>
      <c r="F12" s="313">
        <f>'BQ MAPLE POOL'!F146+'BQ MAPLE POOL'!F178</f>
        <v>134838237.15561867</v>
      </c>
      <c r="G12" s="294"/>
      <c r="H12" s="314"/>
    </row>
    <row r="13" spans="1:13" s="296" customFormat="1">
      <c r="A13" s="289"/>
      <c r="B13" s="309" t="s">
        <v>665</v>
      </c>
      <c r="C13" s="310"/>
      <c r="D13" s="311" t="s">
        <v>666</v>
      </c>
      <c r="E13" s="312"/>
      <c r="F13" s="313">
        <f>'BQ MAPLE POOL'!F208+'BQ MAPLE POOL'!F218</f>
        <v>16232508.75</v>
      </c>
      <c r="G13" s="294"/>
      <c r="H13" s="314"/>
    </row>
    <row r="14" spans="1:13" s="296" customFormat="1">
      <c r="A14" s="289"/>
      <c r="B14" s="309" t="s">
        <v>667</v>
      </c>
      <c r="C14" s="310"/>
      <c r="D14" s="311" t="s">
        <v>668</v>
      </c>
      <c r="E14" s="312"/>
      <c r="F14" s="313">
        <f>'BQ MAPLE POOL'!F235+'BQ MAPLE POOL'!F245+'BQ MAPLE POOL'!F256+'BQ MAPLE POOL'!F266</f>
        <v>157567060.01349998</v>
      </c>
      <c r="G14" s="294"/>
      <c r="H14" s="315"/>
    </row>
    <row r="15" spans="1:13" s="296" customFormat="1">
      <c r="A15" s="289"/>
      <c r="B15" s="316" t="s">
        <v>669</v>
      </c>
      <c r="C15" s="310"/>
      <c r="D15" s="311" t="s">
        <v>670</v>
      </c>
      <c r="E15" s="312"/>
      <c r="F15" s="313">
        <f>'BQ MAPLE POOL'!F279</f>
        <v>29742367.590090089</v>
      </c>
      <c r="G15" s="294"/>
      <c r="H15" s="315"/>
    </row>
    <row r="16" spans="1:13" s="296" customFormat="1">
      <c r="A16" s="289"/>
      <c r="B16" s="316" t="s">
        <v>671</v>
      </c>
      <c r="C16" s="310"/>
      <c r="D16" s="311" t="s">
        <v>672</v>
      </c>
      <c r="E16" s="312"/>
      <c r="F16" s="313">
        <f>'BQ MAPLE POOL'!F299</f>
        <v>173647733.52252251</v>
      </c>
      <c r="G16" s="294"/>
      <c r="H16" s="314"/>
    </row>
    <row r="17" spans="1:8" s="296" customFormat="1">
      <c r="A17" s="289"/>
      <c r="B17" s="316" t="s">
        <v>673</v>
      </c>
      <c r="C17" s="310"/>
      <c r="D17" s="311" t="s">
        <v>674</v>
      </c>
      <c r="E17" s="312"/>
      <c r="F17" s="313">
        <f>'BQ MAPLE POOL'!F341+'BQ MAPLE POOL'!F351+'BQ MAPLE POOL'!F361+'BQ MAPLE POOL'!F371</f>
        <v>35644290.576091267</v>
      </c>
      <c r="G17" s="294"/>
      <c r="H17" s="314"/>
    </row>
    <row r="18" spans="1:8" s="296" customFormat="1">
      <c r="A18" s="289"/>
      <c r="B18" s="309" t="s">
        <v>675</v>
      </c>
      <c r="C18" s="310"/>
      <c r="D18" s="311" t="s">
        <v>676</v>
      </c>
      <c r="E18" s="312"/>
      <c r="F18" s="313">
        <f>'BQ MAPLE POOL'!F382+'BQ MAPLE POOL'!F417+'BQ MAPLE POOL'!F428+'BQ MAPLE POOL'!F438+'BQ MAPLE POOL'!F448+'BQ MAPLE POOL'!F463</f>
        <v>86960293.333333328</v>
      </c>
      <c r="G18" s="294"/>
      <c r="H18" s="314"/>
    </row>
    <row r="19" spans="1:8" s="296" customFormat="1">
      <c r="A19" s="289"/>
      <c r="B19" s="316" t="s">
        <v>677</v>
      </c>
      <c r="C19" s="310"/>
      <c r="D19" s="311" t="s">
        <v>678</v>
      </c>
      <c r="E19" s="312"/>
      <c r="F19" s="313">
        <f>'BQ MAPLE POOL'!F474+'BQ MAPLE POOL'!F500</f>
        <v>41196000</v>
      </c>
      <c r="G19" s="294"/>
      <c r="H19" s="314"/>
    </row>
    <row r="20" spans="1:8" s="296" customFormat="1" ht="19.5" customHeight="1">
      <c r="A20" s="289"/>
      <c r="B20" s="309" t="s">
        <v>679</v>
      </c>
      <c r="C20" s="310"/>
      <c r="D20" s="311" t="s">
        <v>680</v>
      </c>
      <c r="E20" s="312"/>
      <c r="F20" s="313">
        <f>'BQ MAPLE POOL'!F533</f>
        <v>11909700</v>
      </c>
      <c r="G20" s="294"/>
    </row>
    <row r="21" spans="1:8" s="296" customFormat="1">
      <c r="A21" s="289"/>
      <c r="B21" s="309"/>
      <c r="C21" s="310"/>
      <c r="D21" s="317"/>
      <c r="E21" s="312"/>
      <c r="F21" s="318"/>
      <c r="G21" s="319"/>
      <c r="H21" s="292"/>
    </row>
    <row r="22" spans="1:8" s="296" customFormat="1">
      <c r="A22" s="289"/>
      <c r="B22" s="320"/>
      <c r="C22" s="321"/>
      <c r="D22" s="322"/>
      <c r="E22" s="323"/>
      <c r="F22" s="324"/>
      <c r="G22" s="294"/>
    </row>
    <row r="23" spans="1:8" s="296" customFormat="1" ht="20.25" customHeight="1">
      <c r="A23" s="289"/>
      <c r="B23" s="325"/>
      <c r="C23" s="326"/>
      <c r="D23" s="327"/>
      <c r="E23" s="328" t="s">
        <v>286</v>
      </c>
      <c r="F23" s="329">
        <f>SUM(F7:F22)</f>
        <v>967435388.28553498</v>
      </c>
      <c r="G23" s="294"/>
    </row>
    <row r="24" spans="1:8" s="296" customFormat="1" ht="20.25" customHeight="1">
      <c r="A24" s="289"/>
      <c r="B24" s="330"/>
      <c r="C24" s="331"/>
      <c r="D24" s="332"/>
      <c r="E24" s="333" t="s">
        <v>681</v>
      </c>
      <c r="F24" s="334">
        <f>0.05*F23</f>
        <v>48371769.414276749</v>
      </c>
      <c r="G24" s="294"/>
    </row>
    <row r="25" spans="1:8" s="296" customFormat="1" ht="20.25" customHeight="1">
      <c r="A25" s="289"/>
      <c r="B25" s="330"/>
      <c r="C25" s="331"/>
      <c r="D25" s="332"/>
      <c r="E25" s="333" t="s">
        <v>682</v>
      </c>
      <c r="F25" s="335">
        <f>SUM(F23:F24)</f>
        <v>1015807157.6998117</v>
      </c>
      <c r="G25" s="294"/>
      <c r="H25" s="357">
        <f>F25/195</f>
        <v>5209267.4753836496</v>
      </c>
    </row>
    <row r="26" spans="1:8" s="296" customFormat="1" ht="20.25" customHeight="1">
      <c r="A26" s="289"/>
      <c r="B26" s="330"/>
      <c r="C26" s="331"/>
      <c r="D26" s="332"/>
      <c r="E26" s="333" t="s">
        <v>822</v>
      </c>
      <c r="F26" s="334">
        <f>0.11*F25</f>
        <v>111738787.34697929</v>
      </c>
      <c r="G26" s="294"/>
    </row>
    <row r="27" spans="1:8" s="296" customFormat="1" ht="20.25" customHeight="1">
      <c r="A27" s="289"/>
      <c r="B27" s="330"/>
      <c r="C27" s="331"/>
      <c r="D27" s="332"/>
      <c r="E27" s="333" t="s">
        <v>683</v>
      </c>
      <c r="F27" s="335">
        <f>SUM(F25:F26)</f>
        <v>1127545945.0467911</v>
      </c>
      <c r="G27" s="294"/>
    </row>
    <row r="28" spans="1:8" s="296" customFormat="1" ht="20.25" customHeight="1">
      <c r="A28" s="289"/>
      <c r="B28" s="330"/>
      <c r="C28" s="331"/>
      <c r="D28" s="332"/>
      <c r="E28" s="333" t="s">
        <v>684</v>
      </c>
      <c r="F28" s="336">
        <f>ROUNDDOWN(F27,-3)</f>
        <v>1127545000</v>
      </c>
      <c r="G28" s="294"/>
      <c r="H28" s="357">
        <f>F28/195</f>
        <v>5782282.051282051</v>
      </c>
    </row>
    <row r="29" spans="1:8" s="296" customFormat="1" ht="20.25" customHeight="1">
      <c r="A29" s="289"/>
      <c r="B29" s="337"/>
      <c r="C29" s="338"/>
      <c r="D29" s="339"/>
      <c r="E29" s="340"/>
      <c r="F29" s="341"/>
      <c r="G29" s="294"/>
    </row>
    <row r="30" spans="1:8" s="296" customFormat="1" ht="20.25" customHeight="1">
      <c r="A30" s="289"/>
      <c r="B30" s="298"/>
      <c r="C30" s="291"/>
      <c r="D30" s="332"/>
      <c r="E30" s="332"/>
      <c r="F30" s="342"/>
      <c r="G30" s="294"/>
    </row>
    <row r="31" spans="1:8" s="296" customFormat="1" ht="20.25" customHeight="1">
      <c r="A31" s="289"/>
      <c r="B31" s="298"/>
      <c r="C31" s="343"/>
      <c r="D31" s="344"/>
      <c r="E31" s="345"/>
      <c r="F31" s="291"/>
      <c r="G31" s="294"/>
    </row>
    <row r="32" spans="1:8" s="296" customFormat="1" ht="20.25" customHeight="1">
      <c r="A32" s="289"/>
      <c r="B32" s="407"/>
      <c r="C32" s="343"/>
      <c r="D32" s="344"/>
      <c r="E32" s="346"/>
      <c r="F32" s="346"/>
      <c r="G32" s="294"/>
    </row>
    <row r="33" spans="1:7" s="296" customFormat="1" ht="20.25" customHeight="1">
      <c r="A33" s="289"/>
      <c r="B33" s="298"/>
      <c r="C33" s="343"/>
      <c r="D33" s="347"/>
      <c r="E33" s="346"/>
      <c r="F33" s="346"/>
      <c r="G33" s="294"/>
    </row>
    <row r="34" spans="1:7" s="292" customFormat="1">
      <c r="A34" s="289"/>
      <c r="B34" s="298"/>
      <c r="C34" s="343"/>
      <c r="D34" s="348"/>
      <c r="E34" s="349"/>
      <c r="F34" s="349"/>
      <c r="G34" s="294"/>
    </row>
    <row r="35" spans="1:7" s="292" customFormat="1">
      <c r="A35" s="289"/>
      <c r="B35" s="298"/>
      <c r="C35" s="343"/>
      <c r="D35" s="343"/>
      <c r="E35" s="349"/>
      <c r="F35" s="349"/>
      <c r="G35" s="294"/>
    </row>
    <row r="36" spans="1:7" s="292" customFormat="1">
      <c r="A36" s="289"/>
      <c r="B36" s="291"/>
      <c r="C36" s="343"/>
      <c r="D36" s="350"/>
      <c r="E36" s="346"/>
      <c r="F36" s="346"/>
      <c r="G36" s="294"/>
    </row>
    <row r="37" spans="1:7">
      <c r="C37" s="343"/>
      <c r="D37" s="351"/>
      <c r="E37" s="345"/>
      <c r="G37" s="294"/>
    </row>
    <row r="38" spans="1:7" ht="23.25" customHeight="1">
      <c r="B38" s="349"/>
      <c r="C38" s="352"/>
      <c r="D38" s="353"/>
      <c r="E38" s="346"/>
      <c r="F38" s="349"/>
      <c r="G38" s="354"/>
    </row>
    <row r="39" spans="1:7" ht="23.25" customHeight="1">
      <c r="B39" s="349"/>
      <c r="C39" s="349"/>
      <c r="D39" s="349"/>
      <c r="E39" s="346"/>
      <c r="F39" s="349"/>
      <c r="G39" s="354"/>
    </row>
    <row r="40" spans="1:7">
      <c r="B40" s="349"/>
      <c r="C40" s="349"/>
      <c r="D40" s="349"/>
      <c r="E40" s="349"/>
      <c r="F40" s="349"/>
      <c r="G40" s="354"/>
    </row>
    <row r="41" spans="1:7">
      <c r="B41" s="349"/>
      <c r="C41" s="349"/>
      <c r="D41" s="349"/>
      <c r="E41" s="346"/>
      <c r="F41" s="349"/>
      <c r="G41" s="354"/>
    </row>
    <row r="42" spans="1:7" ht="39" customHeight="1">
      <c r="B42" s="349"/>
      <c r="C42" s="349"/>
      <c r="D42" s="349"/>
      <c r="E42" s="349"/>
      <c r="F42" s="349"/>
      <c r="G42" s="354"/>
    </row>
    <row r="43" spans="1:7">
      <c r="B43" s="448"/>
      <c r="C43" s="448"/>
      <c r="D43" s="448"/>
      <c r="E43" s="448"/>
      <c r="F43" s="448"/>
      <c r="G43" s="448"/>
    </row>
    <row r="44" spans="1:7">
      <c r="B44" s="448"/>
      <c r="C44" s="448"/>
      <c r="D44" s="448"/>
      <c r="E44" s="448"/>
      <c r="F44" s="448"/>
      <c r="G44" s="448"/>
    </row>
    <row r="45" spans="1:7">
      <c r="B45" s="448"/>
      <c r="C45" s="448"/>
      <c r="D45" s="448"/>
      <c r="E45" s="448"/>
      <c r="F45" s="448"/>
      <c r="G45" s="448"/>
    </row>
    <row r="46" spans="1:7">
      <c r="B46" s="448"/>
      <c r="C46" s="448"/>
      <c r="D46" s="448"/>
      <c r="E46" s="448"/>
      <c r="F46" s="448"/>
      <c r="G46" s="448"/>
    </row>
    <row r="47" spans="1:7" ht="78" customHeight="1">
      <c r="B47" s="447"/>
      <c r="C47" s="447"/>
      <c r="D47" s="447"/>
      <c r="E47" s="447"/>
      <c r="F47" s="447"/>
      <c r="G47" s="447"/>
    </row>
    <row r="48" spans="1:7">
      <c r="B48" s="447"/>
      <c r="C48" s="447"/>
      <c r="D48" s="447"/>
      <c r="E48" s="447"/>
      <c r="F48" s="447"/>
      <c r="G48" s="447"/>
    </row>
    <row r="49" spans="2:7">
      <c r="B49" s="447"/>
      <c r="C49" s="447"/>
      <c r="D49" s="447"/>
      <c r="E49" s="447"/>
      <c r="F49" s="447"/>
      <c r="G49" s="447"/>
    </row>
    <row r="50" spans="2:7">
      <c r="B50" s="447"/>
      <c r="C50" s="447"/>
      <c r="D50" s="447"/>
      <c r="E50" s="447"/>
      <c r="F50" s="447"/>
      <c r="G50" s="447"/>
    </row>
    <row r="51" spans="2:7">
      <c r="G51" s="355"/>
    </row>
    <row r="52" spans="2:7">
      <c r="G52" s="355"/>
    </row>
    <row r="53" spans="2:7">
      <c r="G53" s="355"/>
    </row>
    <row r="54" spans="2:7">
      <c r="G54" s="355"/>
    </row>
    <row r="55" spans="2:7">
      <c r="G55" s="355"/>
    </row>
    <row r="56" spans="2:7">
      <c r="G56" s="355"/>
    </row>
    <row r="57" spans="2:7">
      <c r="G57" s="355"/>
    </row>
    <row r="58" spans="2:7">
      <c r="G58" s="355"/>
    </row>
    <row r="59" spans="2:7">
      <c r="G59" s="355"/>
    </row>
    <row r="60" spans="2:7">
      <c r="G60" s="355"/>
    </row>
    <row r="61" spans="2:7">
      <c r="G61" s="355"/>
    </row>
    <row r="62" spans="2:7">
      <c r="G62" s="355"/>
    </row>
    <row r="63" spans="2:7">
      <c r="G63" s="355"/>
    </row>
    <row r="64" spans="2:7">
      <c r="G64" s="355"/>
    </row>
    <row r="65" spans="7:7">
      <c r="G65" s="355"/>
    </row>
    <row r="66" spans="7:7">
      <c r="G66" s="355"/>
    </row>
    <row r="67" spans="7:7">
      <c r="G67" s="355"/>
    </row>
    <row r="68" spans="7:7">
      <c r="G68" s="355"/>
    </row>
    <row r="69" spans="7:7">
      <c r="G69" s="355"/>
    </row>
    <row r="70" spans="7:7">
      <c r="G70" s="355"/>
    </row>
    <row r="71" spans="7:7">
      <c r="G71" s="355"/>
    </row>
    <row r="72" spans="7:7">
      <c r="G72" s="355"/>
    </row>
    <row r="73" spans="7:7">
      <c r="G73" s="355"/>
    </row>
    <row r="74" spans="7:7">
      <c r="G74" s="355"/>
    </row>
    <row r="75" spans="7:7">
      <c r="G75" s="355"/>
    </row>
  </sheetData>
  <mergeCells count="8">
    <mergeCell ref="B49:G49"/>
    <mergeCell ref="B50:G50"/>
    <mergeCell ref="B43:G43"/>
    <mergeCell ref="B44:G44"/>
    <mergeCell ref="B45:G45"/>
    <mergeCell ref="B46:G46"/>
    <mergeCell ref="B47:G47"/>
    <mergeCell ref="B48:G48"/>
  </mergeCells>
  <pageMargins left="0.7" right="0.7" top="0.75" bottom="0.75" header="0.3" footer="0.3"/>
  <pageSetup paperSize="9" orientation="portrait" horizontalDpi="12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M75"/>
  <sheetViews>
    <sheetView topLeftCell="C13" zoomScale="85" zoomScaleNormal="85" workbookViewId="0">
      <selection activeCell="E26" sqref="E26:F26"/>
    </sheetView>
  </sheetViews>
  <sheetFormatPr defaultRowHeight="18.600000000000001"/>
  <cols>
    <col min="1" max="1" width="3.33203125" style="289" customWidth="1"/>
    <col min="2" max="2" width="8.77734375" style="291" customWidth="1"/>
    <col min="3" max="3" width="3.109375" style="291" customWidth="1"/>
    <col min="4" max="4" width="14.21875" style="291" customWidth="1"/>
    <col min="5" max="5" width="56.21875" style="291" customWidth="1"/>
    <col min="6" max="6" width="26.77734375" style="291" customWidth="1"/>
    <col min="7" max="7" width="4.88671875" style="292" customWidth="1"/>
    <col min="8" max="8" width="18.44140625" style="292" customWidth="1"/>
    <col min="10" max="10" width="14.44140625" bestFit="1" customWidth="1"/>
    <col min="11" max="11" width="22.44140625" customWidth="1"/>
    <col min="257" max="257" width="3.33203125" customWidth="1"/>
    <col min="258" max="258" width="8.77734375" customWidth="1"/>
    <col min="259" max="259" width="3.109375" customWidth="1"/>
    <col min="260" max="260" width="14.21875" customWidth="1"/>
    <col min="261" max="261" width="56.21875" customWidth="1"/>
    <col min="262" max="262" width="26.77734375" customWidth="1"/>
    <col min="263" max="263" width="4.88671875" customWidth="1"/>
    <col min="264" max="264" width="18.44140625" customWidth="1"/>
    <col min="513" max="513" width="3.33203125" customWidth="1"/>
    <col min="514" max="514" width="8.77734375" customWidth="1"/>
    <col min="515" max="515" width="3.109375" customWidth="1"/>
    <col min="516" max="516" width="14.21875" customWidth="1"/>
    <col min="517" max="517" width="56.21875" customWidth="1"/>
    <col min="518" max="518" width="26.77734375" customWidth="1"/>
    <col min="519" max="519" width="4.88671875" customWidth="1"/>
    <col min="520" max="520" width="18.44140625" customWidth="1"/>
    <col min="769" max="769" width="3.33203125" customWidth="1"/>
    <col min="770" max="770" width="8.77734375" customWidth="1"/>
    <col min="771" max="771" width="3.109375" customWidth="1"/>
    <col min="772" max="772" width="14.21875" customWidth="1"/>
    <col min="773" max="773" width="56.21875" customWidth="1"/>
    <col min="774" max="774" width="26.77734375" customWidth="1"/>
    <col min="775" max="775" width="4.88671875" customWidth="1"/>
    <col min="776" max="776" width="18.44140625" customWidth="1"/>
    <col min="1025" max="1025" width="3.33203125" customWidth="1"/>
    <col min="1026" max="1026" width="8.77734375" customWidth="1"/>
    <col min="1027" max="1027" width="3.109375" customWidth="1"/>
    <col min="1028" max="1028" width="14.21875" customWidth="1"/>
    <col min="1029" max="1029" width="56.21875" customWidth="1"/>
    <col min="1030" max="1030" width="26.77734375" customWidth="1"/>
    <col min="1031" max="1031" width="4.88671875" customWidth="1"/>
    <col min="1032" max="1032" width="18.44140625" customWidth="1"/>
    <col min="1281" max="1281" width="3.33203125" customWidth="1"/>
    <col min="1282" max="1282" width="8.77734375" customWidth="1"/>
    <col min="1283" max="1283" width="3.109375" customWidth="1"/>
    <col min="1284" max="1284" width="14.21875" customWidth="1"/>
    <col min="1285" max="1285" width="56.21875" customWidth="1"/>
    <col min="1286" max="1286" width="26.77734375" customWidth="1"/>
    <col min="1287" max="1287" width="4.88671875" customWidth="1"/>
    <col min="1288" max="1288" width="18.44140625" customWidth="1"/>
    <col min="1537" max="1537" width="3.33203125" customWidth="1"/>
    <col min="1538" max="1538" width="8.77734375" customWidth="1"/>
    <col min="1539" max="1539" width="3.109375" customWidth="1"/>
    <col min="1540" max="1540" width="14.21875" customWidth="1"/>
    <col min="1541" max="1541" width="56.21875" customWidth="1"/>
    <col min="1542" max="1542" width="26.77734375" customWidth="1"/>
    <col min="1543" max="1543" width="4.88671875" customWidth="1"/>
    <col min="1544" max="1544" width="18.44140625" customWidth="1"/>
    <col min="1793" max="1793" width="3.33203125" customWidth="1"/>
    <col min="1794" max="1794" width="8.77734375" customWidth="1"/>
    <col min="1795" max="1795" width="3.109375" customWidth="1"/>
    <col min="1796" max="1796" width="14.21875" customWidth="1"/>
    <col min="1797" max="1797" width="56.21875" customWidth="1"/>
    <col min="1798" max="1798" width="26.77734375" customWidth="1"/>
    <col min="1799" max="1799" width="4.88671875" customWidth="1"/>
    <col min="1800" max="1800" width="18.44140625" customWidth="1"/>
    <col min="2049" max="2049" width="3.33203125" customWidth="1"/>
    <col min="2050" max="2050" width="8.77734375" customWidth="1"/>
    <col min="2051" max="2051" width="3.109375" customWidth="1"/>
    <col min="2052" max="2052" width="14.21875" customWidth="1"/>
    <col min="2053" max="2053" width="56.21875" customWidth="1"/>
    <col min="2054" max="2054" width="26.77734375" customWidth="1"/>
    <col min="2055" max="2055" width="4.88671875" customWidth="1"/>
    <col min="2056" max="2056" width="18.44140625" customWidth="1"/>
    <col min="2305" max="2305" width="3.33203125" customWidth="1"/>
    <col min="2306" max="2306" width="8.77734375" customWidth="1"/>
    <col min="2307" max="2307" width="3.109375" customWidth="1"/>
    <col min="2308" max="2308" width="14.21875" customWidth="1"/>
    <col min="2309" max="2309" width="56.21875" customWidth="1"/>
    <col min="2310" max="2310" width="26.77734375" customWidth="1"/>
    <col min="2311" max="2311" width="4.88671875" customWidth="1"/>
    <col min="2312" max="2312" width="18.44140625" customWidth="1"/>
    <col min="2561" max="2561" width="3.33203125" customWidth="1"/>
    <col min="2562" max="2562" width="8.77734375" customWidth="1"/>
    <col min="2563" max="2563" width="3.109375" customWidth="1"/>
    <col min="2564" max="2564" width="14.21875" customWidth="1"/>
    <col min="2565" max="2565" width="56.21875" customWidth="1"/>
    <col min="2566" max="2566" width="26.77734375" customWidth="1"/>
    <col min="2567" max="2567" width="4.88671875" customWidth="1"/>
    <col min="2568" max="2568" width="18.44140625" customWidth="1"/>
    <col min="2817" max="2817" width="3.33203125" customWidth="1"/>
    <col min="2818" max="2818" width="8.77734375" customWidth="1"/>
    <col min="2819" max="2819" width="3.109375" customWidth="1"/>
    <col min="2820" max="2820" width="14.21875" customWidth="1"/>
    <col min="2821" max="2821" width="56.21875" customWidth="1"/>
    <col min="2822" max="2822" width="26.77734375" customWidth="1"/>
    <col min="2823" max="2823" width="4.88671875" customWidth="1"/>
    <col min="2824" max="2824" width="18.44140625" customWidth="1"/>
    <col min="3073" max="3073" width="3.33203125" customWidth="1"/>
    <col min="3074" max="3074" width="8.77734375" customWidth="1"/>
    <col min="3075" max="3075" width="3.109375" customWidth="1"/>
    <col min="3076" max="3076" width="14.21875" customWidth="1"/>
    <col min="3077" max="3077" width="56.21875" customWidth="1"/>
    <col min="3078" max="3078" width="26.77734375" customWidth="1"/>
    <col min="3079" max="3079" width="4.88671875" customWidth="1"/>
    <col min="3080" max="3080" width="18.44140625" customWidth="1"/>
    <col min="3329" max="3329" width="3.33203125" customWidth="1"/>
    <col min="3330" max="3330" width="8.77734375" customWidth="1"/>
    <col min="3331" max="3331" width="3.109375" customWidth="1"/>
    <col min="3332" max="3332" width="14.21875" customWidth="1"/>
    <col min="3333" max="3333" width="56.21875" customWidth="1"/>
    <col min="3334" max="3334" width="26.77734375" customWidth="1"/>
    <col min="3335" max="3335" width="4.88671875" customWidth="1"/>
    <col min="3336" max="3336" width="18.44140625" customWidth="1"/>
    <col min="3585" max="3585" width="3.33203125" customWidth="1"/>
    <col min="3586" max="3586" width="8.77734375" customWidth="1"/>
    <col min="3587" max="3587" width="3.109375" customWidth="1"/>
    <col min="3588" max="3588" width="14.21875" customWidth="1"/>
    <col min="3589" max="3589" width="56.21875" customWidth="1"/>
    <col min="3590" max="3590" width="26.77734375" customWidth="1"/>
    <col min="3591" max="3591" width="4.88671875" customWidth="1"/>
    <col min="3592" max="3592" width="18.44140625" customWidth="1"/>
    <col min="3841" max="3841" width="3.33203125" customWidth="1"/>
    <col min="3842" max="3842" width="8.77734375" customWidth="1"/>
    <col min="3843" max="3843" width="3.109375" customWidth="1"/>
    <col min="3844" max="3844" width="14.21875" customWidth="1"/>
    <col min="3845" max="3845" width="56.21875" customWidth="1"/>
    <col min="3846" max="3846" width="26.77734375" customWidth="1"/>
    <col min="3847" max="3847" width="4.88671875" customWidth="1"/>
    <col min="3848" max="3848" width="18.44140625" customWidth="1"/>
    <col min="4097" max="4097" width="3.33203125" customWidth="1"/>
    <col min="4098" max="4098" width="8.77734375" customWidth="1"/>
    <col min="4099" max="4099" width="3.109375" customWidth="1"/>
    <col min="4100" max="4100" width="14.21875" customWidth="1"/>
    <col min="4101" max="4101" width="56.21875" customWidth="1"/>
    <col min="4102" max="4102" width="26.77734375" customWidth="1"/>
    <col min="4103" max="4103" width="4.88671875" customWidth="1"/>
    <col min="4104" max="4104" width="18.44140625" customWidth="1"/>
    <col min="4353" max="4353" width="3.33203125" customWidth="1"/>
    <col min="4354" max="4354" width="8.77734375" customWidth="1"/>
    <col min="4355" max="4355" width="3.109375" customWidth="1"/>
    <col min="4356" max="4356" width="14.21875" customWidth="1"/>
    <col min="4357" max="4357" width="56.21875" customWidth="1"/>
    <col min="4358" max="4358" width="26.77734375" customWidth="1"/>
    <col min="4359" max="4359" width="4.88671875" customWidth="1"/>
    <col min="4360" max="4360" width="18.44140625" customWidth="1"/>
    <col min="4609" max="4609" width="3.33203125" customWidth="1"/>
    <col min="4610" max="4610" width="8.77734375" customWidth="1"/>
    <col min="4611" max="4611" width="3.109375" customWidth="1"/>
    <col min="4612" max="4612" width="14.21875" customWidth="1"/>
    <col min="4613" max="4613" width="56.21875" customWidth="1"/>
    <col min="4614" max="4614" width="26.77734375" customWidth="1"/>
    <col min="4615" max="4615" width="4.88671875" customWidth="1"/>
    <col min="4616" max="4616" width="18.44140625" customWidth="1"/>
    <col min="4865" max="4865" width="3.33203125" customWidth="1"/>
    <col min="4866" max="4866" width="8.77734375" customWidth="1"/>
    <col min="4867" max="4867" width="3.109375" customWidth="1"/>
    <col min="4868" max="4868" width="14.21875" customWidth="1"/>
    <col min="4869" max="4869" width="56.21875" customWidth="1"/>
    <col min="4870" max="4870" width="26.77734375" customWidth="1"/>
    <col min="4871" max="4871" width="4.88671875" customWidth="1"/>
    <col min="4872" max="4872" width="18.44140625" customWidth="1"/>
    <col min="5121" max="5121" width="3.33203125" customWidth="1"/>
    <col min="5122" max="5122" width="8.77734375" customWidth="1"/>
    <col min="5123" max="5123" width="3.109375" customWidth="1"/>
    <col min="5124" max="5124" width="14.21875" customWidth="1"/>
    <col min="5125" max="5125" width="56.21875" customWidth="1"/>
    <col min="5126" max="5126" width="26.77734375" customWidth="1"/>
    <col min="5127" max="5127" width="4.88671875" customWidth="1"/>
    <col min="5128" max="5128" width="18.44140625" customWidth="1"/>
    <col min="5377" max="5377" width="3.33203125" customWidth="1"/>
    <col min="5378" max="5378" width="8.77734375" customWidth="1"/>
    <col min="5379" max="5379" width="3.109375" customWidth="1"/>
    <col min="5380" max="5380" width="14.21875" customWidth="1"/>
    <col min="5381" max="5381" width="56.21875" customWidth="1"/>
    <col min="5382" max="5382" width="26.77734375" customWidth="1"/>
    <col min="5383" max="5383" width="4.88671875" customWidth="1"/>
    <col min="5384" max="5384" width="18.44140625" customWidth="1"/>
    <col min="5633" max="5633" width="3.33203125" customWidth="1"/>
    <col min="5634" max="5634" width="8.77734375" customWidth="1"/>
    <col min="5635" max="5635" width="3.109375" customWidth="1"/>
    <col min="5636" max="5636" width="14.21875" customWidth="1"/>
    <col min="5637" max="5637" width="56.21875" customWidth="1"/>
    <col min="5638" max="5638" width="26.77734375" customWidth="1"/>
    <col min="5639" max="5639" width="4.88671875" customWidth="1"/>
    <col min="5640" max="5640" width="18.44140625" customWidth="1"/>
    <col min="5889" max="5889" width="3.33203125" customWidth="1"/>
    <col min="5890" max="5890" width="8.77734375" customWidth="1"/>
    <col min="5891" max="5891" width="3.109375" customWidth="1"/>
    <col min="5892" max="5892" width="14.21875" customWidth="1"/>
    <col min="5893" max="5893" width="56.21875" customWidth="1"/>
    <col min="5894" max="5894" width="26.77734375" customWidth="1"/>
    <col min="5895" max="5895" width="4.88671875" customWidth="1"/>
    <col min="5896" max="5896" width="18.44140625" customWidth="1"/>
    <col min="6145" max="6145" width="3.33203125" customWidth="1"/>
    <col min="6146" max="6146" width="8.77734375" customWidth="1"/>
    <col min="6147" max="6147" width="3.109375" customWidth="1"/>
    <col min="6148" max="6148" width="14.21875" customWidth="1"/>
    <col min="6149" max="6149" width="56.21875" customWidth="1"/>
    <col min="6150" max="6150" width="26.77734375" customWidth="1"/>
    <col min="6151" max="6151" width="4.88671875" customWidth="1"/>
    <col min="6152" max="6152" width="18.44140625" customWidth="1"/>
    <col min="6401" max="6401" width="3.33203125" customWidth="1"/>
    <col min="6402" max="6402" width="8.77734375" customWidth="1"/>
    <col min="6403" max="6403" width="3.109375" customWidth="1"/>
    <col min="6404" max="6404" width="14.21875" customWidth="1"/>
    <col min="6405" max="6405" width="56.21875" customWidth="1"/>
    <col min="6406" max="6406" width="26.77734375" customWidth="1"/>
    <col min="6407" max="6407" width="4.88671875" customWidth="1"/>
    <col min="6408" max="6408" width="18.44140625" customWidth="1"/>
    <col min="6657" max="6657" width="3.33203125" customWidth="1"/>
    <col min="6658" max="6658" width="8.77734375" customWidth="1"/>
    <col min="6659" max="6659" width="3.109375" customWidth="1"/>
    <col min="6660" max="6660" width="14.21875" customWidth="1"/>
    <col min="6661" max="6661" width="56.21875" customWidth="1"/>
    <col min="6662" max="6662" width="26.77734375" customWidth="1"/>
    <col min="6663" max="6663" width="4.88671875" customWidth="1"/>
    <col min="6664" max="6664" width="18.44140625" customWidth="1"/>
    <col min="6913" max="6913" width="3.33203125" customWidth="1"/>
    <col min="6914" max="6914" width="8.77734375" customWidth="1"/>
    <col min="6915" max="6915" width="3.109375" customWidth="1"/>
    <col min="6916" max="6916" width="14.21875" customWidth="1"/>
    <col min="6917" max="6917" width="56.21875" customWidth="1"/>
    <col min="6918" max="6918" width="26.77734375" customWidth="1"/>
    <col min="6919" max="6919" width="4.88671875" customWidth="1"/>
    <col min="6920" max="6920" width="18.44140625" customWidth="1"/>
    <col min="7169" max="7169" width="3.33203125" customWidth="1"/>
    <col min="7170" max="7170" width="8.77734375" customWidth="1"/>
    <col min="7171" max="7171" width="3.109375" customWidth="1"/>
    <col min="7172" max="7172" width="14.21875" customWidth="1"/>
    <col min="7173" max="7173" width="56.21875" customWidth="1"/>
    <col min="7174" max="7174" width="26.77734375" customWidth="1"/>
    <col min="7175" max="7175" width="4.88671875" customWidth="1"/>
    <col min="7176" max="7176" width="18.44140625" customWidth="1"/>
    <col min="7425" max="7425" width="3.33203125" customWidth="1"/>
    <col min="7426" max="7426" width="8.77734375" customWidth="1"/>
    <col min="7427" max="7427" width="3.109375" customWidth="1"/>
    <col min="7428" max="7428" width="14.21875" customWidth="1"/>
    <col min="7429" max="7429" width="56.21875" customWidth="1"/>
    <col min="7430" max="7430" width="26.77734375" customWidth="1"/>
    <col min="7431" max="7431" width="4.88671875" customWidth="1"/>
    <col min="7432" max="7432" width="18.44140625" customWidth="1"/>
    <col min="7681" max="7681" width="3.33203125" customWidth="1"/>
    <col min="7682" max="7682" width="8.77734375" customWidth="1"/>
    <col min="7683" max="7683" width="3.109375" customWidth="1"/>
    <col min="7684" max="7684" width="14.21875" customWidth="1"/>
    <col min="7685" max="7685" width="56.21875" customWidth="1"/>
    <col min="7686" max="7686" width="26.77734375" customWidth="1"/>
    <col min="7687" max="7687" width="4.88671875" customWidth="1"/>
    <col min="7688" max="7688" width="18.44140625" customWidth="1"/>
    <col min="7937" max="7937" width="3.33203125" customWidth="1"/>
    <col min="7938" max="7938" width="8.77734375" customWidth="1"/>
    <col min="7939" max="7939" width="3.109375" customWidth="1"/>
    <col min="7940" max="7940" width="14.21875" customWidth="1"/>
    <col min="7941" max="7941" width="56.21875" customWidth="1"/>
    <col min="7942" max="7942" width="26.77734375" customWidth="1"/>
    <col min="7943" max="7943" width="4.88671875" customWidth="1"/>
    <col min="7944" max="7944" width="18.44140625" customWidth="1"/>
    <col min="8193" max="8193" width="3.33203125" customWidth="1"/>
    <col min="8194" max="8194" width="8.77734375" customWidth="1"/>
    <col min="8195" max="8195" width="3.109375" customWidth="1"/>
    <col min="8196" max="8196" width="14.21875" customWidth="1"/>
    <col min="8197" max="8197" width="56.21875" customWidth="1"/>
    <col min="8198" max="8198" width="26.77734375" customWidth="1"/>
    <col min="8199" max="8199" width="4.88671875" customWidth="1"/>
    <col min="8200" max="8200" width="18.44140625" customWidth="1"/>
    <col min="8449" max="8449" width="3.33203125" customWidth="1"/>
    <col min="8450" max="8450" width="8.77734375" customWidth="1"/>
    <col min="8451" max="8451" width="3.109375" customWidth="1"/>
    <col min="8452" max="8452" width="14.21875" customWidth="1"/>
    <col min="8453" max="8453" width="56.21875" customWidth="1"/>
    <col min="8454" max="8454" width="26.77734375" customWidth="1"/>
    <col min="8455" max="8455" width="4.88671875" customWidth="1"/>
    <col min="8456" max="8456" width="18.44140625" customWidth="1"/>
    <col min="8705" max="8705" width="3.33203125" customWidth="1"/>
    <col min="8706" max="8706" width="8.77734375" customWidth="1"/>
    <col min="8707" max="8707" width="3.109375" customWidth="1"/>
    <col min="8708" max="8708" width="14.21875" customWidth="1"/>
    <col min="8709" max="8709" width="56.21875" customWidth="1"/>
    <col min="8710" max="8710" width="26.77734375" customWidth="1"/>
    <col min="8711" max="8711" width="4.88671875" customWidth="1"/>
    <col min="8712" max="8712" width="18.44140625" customWidth="1"/>
    <col min="8961" max="8961" width="3.33203125" customWidth="1"/>
    <col min="8962" max="8962" width="8.77734375" customWidth="1"/>
    <col min="8963" max="8963" width="3.109375" customWidth="1"/>
    <col min="8964" max="8964" width="14.21875" customWidth="1"/>
    <col min="8965" max="8965" width="56.21875" customWidth="1"/>
    <col min="8966" max="8966" width="26.77734375" customWidth="1"/>
    <col min="8967" max="8967" width="4.88671875" customWidth="1"/>
    <col min="8968" max="8968" width="18.44140625" customWidth="1"/>
    <col min="9217" max="9217" width="3.33203125" customWidth="1"/>
    <col min="9218" max="9218" width="8.77734375" customWidth="1"/>
    <col min="9219" max="9219" width="3.109375" customWidth="1"/>
    <col min="9220" max="9220" width="14.21875" customWidth="1"/>
    <col min="9221" max="9221" width="56.21875" customWidth="1"/>
    <col min="9222" max="9222" width="26.77734375" customWidth="1"/>
    <col min="9223" max="9223" width="4.88671875" customWidth="1"/>
    <col min="9224" max="9224" width="18.44140625" customWidth="1"/>
    <col min="9473" max="9473" width="3.33203125" customWidth="1"/>
    <col min="9474" max="9474" width="8.77734375" customWidth="1"/>
    <col min="9475" max="9475" width="3.109375" customWidth="1"/>
    <col min="9476" max="9476" width="14.21875" customWidth="1"/>
    <col min="9477" max="9477" width="56.21875" customWidth="1"/>
    <col min="9478" max="9478" width="26.77734375" customWidth="1"/>
    <col min="9479" max="9479" width="4.88671875" customWidth="1"/>
    <col min="9480" max="9480" width="18.44140625" customWidth="1"/>
    <col min="9729" max="9729" width="3.33203125" customWidth="1"/>
    <col min="9730" max="9730" width="8.77734375" customWidth="1"/>
    <col min="9731" max="9731" width="3.109375" customWidth="1"/>
    <col min="9732" max="9732" width="14.21875" customWidth="1"/>
    <col min="9733" max="9733" width="56.21875" customWidth="1"/>
    <col min="9734" max="9734" width="26.77734375" customWidth="1"/>
    <col min="9735" max="9735" width="4.88671875" customWidth="1"/>
    <col min="9736" max="9736" width="18.44140625" customWidth="1"/>
    <col min="9985" max="9985" width="3.33203125" customWidth="1"/>
    <col min="9986" max="9986" width="8.77734375" customWidth="1"/>
    <col min="9987" max="9987" width="3.109375" customWidth="1"/>
    <col min="9988" max="9988" width="14.21875" customWidth="1"/>
    <col min="9989" max="9989" width="56.21875" customWidth="1"/>
    <col min="9990" max="9990" width="26.77734375" customWidth="1"/>
    <col min="9991" max="9991" width="4.88671875" customWidth="1"/>
    <col min="9992" max="9992" width="18.44140625" customWidth="1"/>
    <col min="10241" max="10241" width="3.33203125" customWidth="1"/>
    <col min="10242" max="10242" width="8.77734375" customWidth="1"/>
    <col min="10243" max="10243" width="3.109375" customWidth="1"/>
    <col min="10244" max="10244" width="14.21875" customWidth="1"/>
    <col min="10245" max="10245" width="56.21875" customWidth="1"/>
    <col min="10246" max="10246" width="26.77734375" customWidth="1"/>
    <col min="10247" max="10247" width="4.88671875" customWidth="1"/>
    <col min="10248" max="10248" width="18.44140625" customWidth="1"/>
    <col min="10497" max="10497" width="3.33203125" customWidth="1"/>
    <col min="10498" max="10498" width="8.77734375" customWidth="1"/>
    <col min="10499" max="10499" width="3.109375" customWidth="1"/>
    <col min="10500" max="10500" width="14.21875" customWidth="1"/>
    <col min="10501" max="10501" width="56.21875" customWidth="1"/>
    <col min="10502" max="10502" width="26.77734375" customWidth="1"/>
    <col min="10503" max="10503" width="4.88671875" customWidth="1"/>
    <col min="10504" max="10504" width="18.44140625" customWidth="1"/>
    <col min="10753" max="10753" width="3.33203125" customWidth="1"/>
    <col min="10754" max="10754" width="8.77734375" customWidth="1"/>
    <col min="10755" max="10755" width="3.109375" customWidth="1"/>
    <col min="10756" max="10756" width="14.21875" customWidth="1"/>
    <col min="10757" max="10757" width="56.21875" customWidth="1"/>
    <col min="10758" max="10758" width="26.77734375" customWidth="1"/>
    <col min="10759" max="10759" width="4.88671875" customWidth="1"/>
    <col min="10760" max="10760" width="18.44140625" customWidth="1"/>
    <col min="11009" max="11009" width="3.33203125" customWidth="1"/>
    <col min="11010" max="11010" width="8.77734375" customWidth="1"/>
    <col min="11011" max="11011" width="3.109375" customWidth="1"/>
    <col min="11012" max="11012" width="14.21875" customWidth="1"/>
    <col min="11013" max="11013" width="56.21875" customWidth="1"/>
    <col min="11014" max="11014" width="26.77734375" customWidth="1"/>
    <col min="11015" max="11015" width="4.88671875" customWidth="1"/>
    <col min="11016" max="11016" width="18.44140625" customWidth="1"/>
    <col min="11265" max="11265" width="3.33203125" customWidth="1"/>
    <col min="11266" max="11266" width="8.77734375" customWidth="1"/>
    <col min="11267" max="11267" width="3.109375" customWidth="1"/>
    <col min="11268" max="11268" width="14.21875" customWidth="1"/>
    <col min="11269" max="11269" width="56.21875" customWidth="1"/>
    <col min="11270" max="11270" width="26.77734375" customWidth="1"/>
    <col min="11271" max="11271" width="4.88671875" customWidth="1"/>
    <col min="11272" max="11272" width="18.44140625" customWidth="1"/>
    <col min="11521" max="11521" width="3.33203125" customWidth="1"/>
    <col min="11522" max="11522" width="8.77734375" customWidth="1"/>
    <col min="11523" max="11523" width="3.109375" customWidth="1"/>
    <col min="11524" max="11524" width="14.21875" customWidth="1"/>
    <col min="11525" max="11525" width="56.21875" customWidth="1"/>
    <col min="11526" max="11526" width="26.77734375" customWidth="1"/>
    <col min="11527" max="11527" width="4.88671875" customWidth="1"/>
    <col min="11528" max="11528" width="18.44140625" customWidth="1"/>
    <col min="11777" max="11777" width="3.33203125" customWidth="1"/>
    <col min="11778" max="11778" width="8.77734375" customWidth="1"/>
    <col min="11779" max="11779" width="3.109375" customWidth="1"/>
    <col min="11780" max="11780" width="14.21875" customWidth="1"/>
    <col min="11781" max="11781" width="56.21875" customWidth="1"/>
    <col min="11782" max="11782" width="26.77734375" customWidth="1"/>
    <col min="11783" max="11783" width="4.88671875" customWidth="1"/>
    <col min="11784" max="11784" width="18.44140625" customWidth="1"/>
    <col min="12033" max="12033" width="3.33203125" customWidth="1"/>
    <col min="12034" max="12034" width="8.77734375" customWidth="1"/>
    <col min="12035" max="12035" width="3.109375" customWidth="1"/>
    <col min="12036" max="12036" width="14.21875" customWidth="1"/>
    <col min="12037" max="12037" width="56.21875" customWidth="1"/>
    <col min="12038" max="12038" width="26.77734375" customWidth="1"/>
    <col min="12039" max="12039" width="4.88671875" customWidth="1"/>
    <col min="12040" max="12040" width="18.44140625" customWidth="1"/>
    <col min="12289" max="12289" width="3.33203125" customWidth="1"/>
    <col min="12290" max="12290" width="8.77734375" customWidth="1"/>
    <col min="12291" max="12291" width="3.109375" customWidth="1"/>
    <col min="12292" max="12292" width="14.21875" customWidth="1"/>
    <col min="12293" max="12293" width="56.21875" customWidth="1"/>
    <col min="12294" max="12294" width="26.77734375" customWidth="1"/>
    <col min="12295" max="12295" width="4.88671875" customWidth="1"/>
    <col min="12296" max="12296" width="18.44140625" customWidth="1"/>
    <col min="12545" max="12545" width="3.33203125" customWidth="1"/>
    <col min="12546" max="12546" width="8.77734375" customWidth="1"/>
    <col min="12547" max="12547" width="3.109375" customWidth="1"/>
    <col min="12548" max="12548" width="14.21875" customWidth="1"/>
    <col min="12549" max="12549" width="56.21875" customWidth="1"/>
    <col min="12550" max="12550" width="26.77734375" customWidth="1"/>
    <col min="12551" max="12551" width="4.88671875" customWidth="1"/>
    <col min="12552" max="12552" width="18.44140625" customWidth="1"/>
    <col min="12801" max="12801" width="3.33203125" customWidth="1"/>
    <col min="12802" max="12802" width="8.77734375" customWidth="1"/>
    <col min="12803" max="12803" width="3.109375" customWidth="1"/>
    <col min="12804" max="12804" width="14.21875" customWidth="1"/>
    <col min="12805" max="12805" width="56.21875" customWidth="1"/>
    <col min="12806" max="12806" width="26.77734375" customWidth="1"/>
    <col min="12807" max="12807" width="4.88671875" customWidth="1"/>
    <col min="12808" max="12808" width="18.44140625" customWidth="1"/>
    <col min="13057" max="13057" width="3.33203125" customWidth="1"/>
    <col min="13058" max="13058" width="8.77734375" customWidth="1"/>
    <col min="13059" max="13059" width="3.109375" customWidth="1"/>
    <col min="13060" max="13060" width="14.21875" customWidth="1"/>
    <col min="13061" max="13061" width="56.21875" customWidth="1"/>
    <col min="13062" max="13062" width="26.77734375" customWidth="1"/>
    <col min="13063" max="13063" width="4.88671875" customWidth="1"/>
    <col min="13064" max="13064" width="18.44140625" customWidth="1"/>
    <col min="13313" max="13313" width="3.33203125" customWidth="1"/>
    <col min="13314" max="13314" width="8.77734375" customWidth="1"/>
    <col min="13315" max="13315" width="3.109375" customWidth="1"/>
    <col min="13316" max="13316" width="14.21875" customWidth="1"/>
    <col min="13317" max="13317" width="56.21875" customWidth="1"/>
    <col min="13318" max="13318" width="26.77734375" customWidth="1"/>
    <col min="13319" max="13319" width="4.88671875" customWidth="1"/>
    <col min="13320" max="13320" width="18.44140625" customWidth="1"/>
    <col min="13569" max="13569" width="3.33203125" customWidth="1"/>
    <col min="13570" max="13570" width="8.77734375" customWidth="1"/>
    <col min="13571" max="13571" width="3.109375" customWidth="1"/>
    <col min="13572" max="13572" width="14.21875" customWidth="1"/>
    <col min="13573" max="13573" width="56.21875" customWidth="1"/>
    <col min="13574" max="13574" width="26.77734375" customWidth="1"/>
    <col min="13575" max="13575" width="4.88671875" customWidth="1"/>
    <col min="13576" max="13576" width="18.44140625" customWidth="1"/>
    <col min="13825" max="13825" width="3.33203125" customWidth="1"/>
    <col min="13826" max="13826" width="8.77734375" customWidth="1"/>
    <col min="13827" max="13827" width="3.109375" customWidth="1"/>
    <col min="13828" max="13828" width="14.21875" customWidth="1"/>
    <col min="13829" max="13829" width="56.21875" customWidth="1"/>
    <col min="13830" max="13830" width="26.77734375" customWidth="1"/>
    <col min="13831" max="13831" width="4.88671875" customWidth="1"/>
    <col min="13832" max="13832" width="18.44140625" customWidth="1"/>
    <col min="14081" max="14081" width="3.33203125" customWidth="1"/>
    <col min="14082" max="14082" width="8.77734375" customWidth="1"/>
    <col min="14083" max="14083" width="3.109375" customWidth="1"/>
    <col min="14084" max="14084" width="14.21875" customWidth="1"/>
    <col min="14085" max="14085" width="56.21875" customWidth="1"/>
    <col min="14086" max="14086" width="26.77734375" customWidth="1"/>
    <col min="14087" max="14087" width="4.88671875" customWidth="1"/>
    <col min="14088" max="14088" width="18.44140625" customWidth="1"/>
    <col min="14337" max="14337" width="3.33203125" customWidth="1"/>
    <col min="14338" max="14338" width="8.77734375" customWidth="1"/>
    <col min="14339" max="14339" width="3.109375" customWidth="1"/>
    <col min="14340" max="14340" width="14.21875" customWidth="1"/>
    <col min="14341" max="14341" width="56.21875" customWidth="1"/>
    <col min="14342" max="14342" width="26.77734375" customWidth="1"/>
    <col min="14343" max="14343" width="4.88671875" customWidth="1"/>
    <col min="14344" max="14344" width="18.44140625" customWidth="1"/>
    <col min="14593" max="14593" width="3.33203125" customWidth="1"/>
    <col min="14594" max="14594" width="8.77734375" customWidth="1"/>
    <col min="14595" max="14595" width="3.109375" customWidth="1"/>
    <col min="14596" max="14596" width="14.21875" customWidth="1"/>
    <col min="14597" max="14597" width="56.21875" customWidth="1"/>
    <col min="14598" max="14598" width="26.77734375" customWidth="1"/>
    <col min="14599" max="14599" width="4.88671875" customWidth="1"/>
    <col min="14600" max="14600" width="18.44140625" customWidth="1"/>
    <col min="14849" max="14849" width="3.33203125" customWidth="1"/>
    <col min="14850" max="14850" width="8.77734375" customWidth="1"/>
    <col min="14851" max="14851" width="3.109375" customWidth="1"/>
    <col min="14852" max="14852" width="14.21875" customWidth="1"/>
    <col min="14853" max="14853" width="56.21875" customWidth="1"/>
    <col min="14854" max="14854" width="26.77734375" customWidth="1"/>
    <col min="14855" max="14855" width="4.88671875" customWidth="1"/>
    <col min="14856" max="14856" width="18.44140625" customWidth="1"/>
    <col min="15105" max="15105" width="3.33203125" customWidth="1"/>
    <col min="15106" max="15106" width="8.77734375" customWidth="1"/>
    <col min="15107" max="15107" width="3.109375" customWidth="1"/>
    <col min="15108" max="15108" width="14.21875" customWidth="1"/>
    <col min="15109" max="15109" width="56.21875" customWidth="1"/>
    <col min="15110" max="15110" width="26.77734375" customWidth="1"/>
    <col min="15111" max="15111" width="4.88671875" customWidth="1"/>
    <col min="15112" max="15112" width="18.44140625" customWidth="1"/>
    <col min="15361" max="15361" width="3.33203125" customWidth="1"/>
    <col min="15362" max="15362" width="8.77734375" customWidth="1"/>
    <col min="15363" max="15363" width="3.109375" customWidth="1"/>
    <col min="15364" max="15364" width="14.21875" customWidth="1"/>
    <col min="15365" max="15365" width="56.21875" customWidth="1"/>
    <col min="15366" max="15366" width="26.77734375" customWidth="1"/>
    <col min="15367" max="15367" width="4.88671875" customWidth="1"/>
    <col min="15368" max="15368" width="18.44140625" customWidth="1"/>
    <col min="15617" max="15617" width="3.33203125" customWidth="1"/>
    <col min="15618" max="15618" width="8.77734375" customWidth="1"/>
    <col min="15619" max="15619" width="3.109375" customWidth="1"/>
    <col min="15620" max="15620" width="14.21875" customWidth="1"/>
    <col min="15621" max="15621" width="56.21875" customWidth="1"/>
    <col min="15622" max="15622" width="26.77734375" customWidth="1"/>
    <col min="15623" max="15623" width="4.88671875" customWidth="1"/>
    <col min="15624" max="15624" width="18.44140625" customWidth="1"/>
    <col min="15873" max="15873" width="3.33203125" customWidth="1"/>
    <col min="15874" max="15874" width="8.77734375" customWidth="1"/>
    <col min="15875" max="15875" width="3.109375" customWidth="1"/>
    <col min="15876" max="15876" width="14.21875" customWidth="1"/>
    <col min="15877" max="15877" width="56.21875" customWidth="1"/>
    <col min="15878" max="15878" width="26.77734375" customWidth="1"/>
    <col min="15879" max="15879" width="4.88671875" customWidth="1"/>
    <col min="15880" max="15880" width="18.44140625" customWidth="1"/>
    <col min="16129" max="16129" width="3.33203125" customWidth="1"/>
    <col min="16130" max="16130" width="8.77734375" customWidth="1"/>
    <col min="16131" max="16131" width="3.109375" customWidth="1"/>
    <col min="16132" max="16132" width="14.21875" customWidth="1"/>
    <col min="16133" max="16133" width="56.21875" customWidth="1"/>
    <col min="16134" max="16134" width="26.77734375" customWidth="1"/>
    <col min="16135" max="16135" width="4.88671875" customWidth="1"/>
    <col min="16136" max="16136" width="18.44140625" customWidth="1"/>
  </cols>
  <sheetData>
    <row r="1" spans="1:13" ht="18" customHeight="1">
      <c r="B1" s="290"/>
    </row>
    <row r="2" spans="1:13" ht="18" customHeight="1">
      <c r="B2" s="293" t="s">
        <v>651</v>
      </c>
      <c r="G2" s="294"/>
    </row>
    <row r="3" spans="1:13" s="297" customFormat="1" ht="20.100000000000001" customHeight="1">
      <c r="A3" s="289"/>
      <c r="B3" s="295" t="s">
        <v>779</v>
      </c>
      <c r="C3" s="291"/>
      <c r="D3" s="291"/>
      <c r="E3" s="291"/>
      <c r="F3" s="291"/>
      <c r="G3" s="294"/>
      <c r="H3" s="296"/>
    </row>
    <row r="4" spans="1:13" s="297" customFormat="1" ht="20.100000000000001" customHeight="1">
      <c r="A4" s="289"/>
      <c r="B4" s="293" t="s">
        <v>652</v>
      </c>
      <c r="C4" s="291"/>
      <c r="D4" s="291"/>
      <c r="E4" s="291"/>
      <c r="F4" s="291"/>
      <c r="G4" s="294"/>
      <c r="H4" s="296"/>
    </row>
    <row r="5" spans="1:13" s="297" customFormat="1" ht="20.100000000000001" customHeight="1">
      <c r="A5" s="289"/>
      <c r="B5" s="298"/>
      <c r="C5" s="291"/>
      <c r="D5" s="291"/>
      <c r="E5" s="291"/>
      <c r="F5" s="291"/>
      <c r="G5" s="294"/>
      <c r="H5" s="296"/>
    </row>
    <row r="6" spans="1:13" s="296" customFormat="1" ht="31.5" customHeight="1">
      <c r="A6" s="289"/>
      <c r="B6" s="299" t="s">
        <v>653</v>
      </c>
      <c r="C6" s="300"/>
      <c r="D6" s="301" t="s">
        <v>654</v>
      </c>
      <c r="E6" s="302"/>
      <c r="F6" s="302" t="s">
        <v>650</v>
      </c>
      <c r="G6" s="294"/>
      <c r="H6" s="303"/>
      <c r="I6" s="303"/>
      <c r="J6" s="303"/>
      <c r="K6" s="303"/>
      <c r="L6" s="303"/>
      <c r="M6" s="303"/>
    </row>
    <row r="7" spans="1:13" s="296" customFormat="1">
      <c r="A7" s="289"/>
      <c r="B7" s="304"/>
      <c r="C7" s="305"/>
      <c r="D7" s="306"/>
      <c r="E7" s="307"/>
      <c r="F7" s="308"/>
      <c r="G7" s="294"/>
    </row>
    <row r="8" spans="1:13" s="296" customFormat="1">
      <c r="A8" s="289"/>
      <c r="B8" s="309" t="s">
        <v>655</v>
      </c>
      <c r="C8" s="310"/>
      <c r="D8" s="311" t="s">
        <v>656</v>
      </c>
      <c r="E8" s="312"/>
      <c r="F8" s="313">
        <f>'BQ MAPLE ROOFTOP'!F2</f>
        <v>4433680</v>
      </c>
      <c r="G8" s="294"/>
      <c r="H8" s="408">
        <v>5485520</v>
      </c>
    </row>
    <row r="9" spans="1:13" s="296" customFormat="1">
      <c r="A9" s="289"/>
      <c r="B9" s="309" t="s">
        <v>657</v>
      </c>
      <c r="C9" s="310"/>
      <c r="D9" s="311" t="s">
        <v>658</v>
      </c>
      <c r="E9" s="312"/>
      <c r="F9" s="313">
        <f>'BQ MAPLE ROOFTOP'!F13</f>
        <v>9482051</v>
      </c>
      <c r="G9" s="294"/>
      <c r="H9" s="408">
        <v>9861611</v>
      </c>
    </row>
    <row r="10" spans="1:13" s="296" customFormat="1">
      <c r="A10" s="289"/>
      <c r="B10" s="309" t="s">
        <v>659</v>
      </c>
      <c r="C10" s="310"/>
      <c r="D10" s="311" t="s">
        <v>660</v>
      </c>
      <c r="E10" s="312"/>
      <c r="F10" s="313">
        <f>'BQ MAPLE ROOFTOP'!F27</f>
        <v>43600363.18783816</v>
      </c>
      <c r="G10" s="294"/>
      <c r="H10" s="408">
        <v>40633649.130067244</v>
      </c>
    </row>
    <row r="11" spans="1:13" s="296" customFormat="1">
      <c r="A11" s="289"/>
      <c r="B11" s="309" t="s">
        <v>661</v>
      </c>
      <c r="C11" s="310"/>
      <c r="D11" s="311" t="s">
        <v>662</v>
      </c>
      <c r="E11" s="312"/>
      <c r="F11" s="313">
        <f>'BQ MAPLE ROOFTOP'!F44+'BQ MAPLE ROOFTOP'!F90+'BQ MAPLE ROOFTOP'!F120+'BQ MAPLE ROOFTOP'!F133</f>
        <v>266259016.68881723</v>
      </c>
      <c r="G11" s="294"/>
      <c r="H11" s="408">
        <v>247566616.36427444</v>
      </c>
    </row>
    <row r="12" spans="1:13" s="296" customFormat="1">
      <c r="A12" s="289"/>
      <c r="B12" s="309" t="s">
        <v>663</v>
      </c>
      <c r="C12" s="310"/>
      <c r="D12" s="311" t="s">
        <v>664</v>
      </c>
      <c r="E12" s="312"/>
      <c r="F12" s="313">
        <f>'BQ MAPLE ROOFTOP'!F147+'BQ MAPLE ROOFTOP'!F179</f>
        <v>156637194.57993001</v>
      </c>
      <c r="G12" s="294"/>
      <c r="H12" s="408">
        <v>156734244.98111182</v>
      </c>
    </row>
    <row r="13" spans="1:13" s="296" customFormat="1">
      <c r="A13" s="289"/>
      <c r="B13" s="309" t="s">
        <v>665</v>
      </c>
      <c r="C13" s="310"/>
      <c r="D13" s="311" t="s">
        <v>666</v>
      </c>
      <c r="E13" s="312"/>
      <c r="F13" s="313">
        <f>'BQ MAPLE ROOFTOP'!F209+'BQ MAPLE ROOFTOP'!F219</f>
        <v>18616421.25</v>
      </c>
      <c r="G13" s="294"/>
      <c r="H13" s="408">
        <v>21409583.75</v>
      </c>
    </row>
    <row r="14" spans="1:13" s="296" customFormat="1">
      <c r="A14" s="289"/>
      <c r="B14" s="309" t="s">
        <v>667</v>
      </c>
      <c r="C14" s="310"/>
      <c r="D14" s="311" t="s">
        <v>668</v>
      </c>
      <c r="E14" s="312"/>
      <c r="F14" s="313">
        <f>'BQ MAPLE ROOFTOP'!F236+'BQ MAPLE ROOFTOP'!F246+'BQ MAPLE ROOFTOP'!F257+'BQ MAPLE ROOFTOP'!F267</f>
        <v>171228569.51449999</v>
      </c>
      <c r="G14" s="294"/>
      <c r="H14" s="408">
        <v>171228569.51449999</v>
      </c>
    </row>
    <row r="15" spans="1:13" s="296" customFormat="1">
      <c r="A15" s="289"/>
      <c r="B15" s="316" t="s">
        <v>669</v>
      </c>
      <c r="C15" s="310"/>
      <c r="D15" s="311" t="s">
        <v>670</v>
      </c>
      <c r="E15" s="312"/>
      <c r="F15" s="313">
        <f>'BQ MAPLE ROOFTOP'!F280</f>
        <v>26490103.569819819</v>
      </c>
      <c r="G15" s="294"/>
      <c r="H15" s="408">
        <v>26490103.569819819</v>
      </c>
    </row>
    <row r="16" spans="1:13" s="296" customFormat="1">
      <c r="A16" s="289"/>
      <c r="B16" s="316" t="s">
        <v>671</v>
      </c>
      <c r="C16" s="310"/>
      <c r="D16" s="311" t="s">
        <v>672</v>
      </c>
      <c r="E16" s="312"/>
      <c r="F16" s="313">
        <f>'BQ MAPLE ROOFTOP'!F300</f>
        <v>205347733.52252251</v>
      </c>
      <c r="G16" s="294"/>
      <c r="H16" s="408">
        <v>208347733.52252251</v>
      </c>
    </row>
    <row r="17" spans="1:11" s="296" customFormat="1">
      <c r="A17" s="289"/>
      <c r="B17" s="316" t="s">
        <v>673</v>
      </c>
      <c r="C17" s="310"/>
      <c r="D17" s="311" t="s">
        <v>674</v>
      </c>
      <c r="E17" s="312"/>
      <c r="F17" s="313">
        <f>'BQ MAPLE ROOFTOP'!F342+'BQ MAPLE ROOFTOP'!F352+'BQ MAPLE ROOFTOP'!F362+'BQ MAPLE ROOFTOP'!F372</f>
        <v>38429038.978869051</v>
      </c>
      <c r="G17" s="294"/>
      <c r="H17" s="408">
        <v>38429038.978869051</v>
      </c>
    </row>
    <row r="18" spans="1:11" s="296" customFormat="1">
      <c r="A18" s="289"/>
      <c r="B18" s="309" t="s">
        <v>675</v>
      </c>
      <c r="C18" s="310"/>
      <c r="D18" s="311" t="s">
        <v>676</v>
      </c>
      <c r="E18" s="312"/>
      <c r="F18" s="313">
        <f>'BQ MAPLE ROOFTOP'!F383+'BQ MAPLE ROOFTOP'!F418+'BQ MAPLE ROOFTOP'!F429+'BQ MAPLE ROOFTOP'!F439+'BQ MAPLE ROOFTOP'!F449+'BQ MAPLE ROOFTOP'!F464</f>
        <v>90453149.189189196</v>
      </c>
      <c r="G18" s="294"/>
      <c r="H18" s="408">
        <v>90453149.189189196</v>
      </c>
    </row>
    <row r="19" spans="1:11" s="296" customFormat="1">
      <c r="A19" s="289"/>
      <c r="B19" s="316" t="s">
        <v>677</v>
      </c>
      <c r="C19" s="310"/>
      <c r="D19" s="311" t="s">
        <v>678</v>
      </c>
      <c r="E19" s="312"/>
      <c r="F19" s="313">
        <f>'BQ MAPLE ROOFTOP'!F475+'BQ MAPLE ROOFTOP'!F501</f>
        <v>47363000</v>
      </c>
      <c r="G19" s="294"/>
      <c r="H19" s="408">
        <v>50627000</v>
      </c>
    </row>
    <row r="20" spans="1:11" s="296" customFormat="1" ht="19.5" customHeight="1">
      <c r="A20" s="289"/>
      <c r="B20" s="309" t="s">
        <v>679</v>
      </c>
      <c r="C20" s="310"/>
      <c r="D20" s="311" t="s">
        <v>680</v>
      </c>
      <c r="E20" s="312"/>
      <c r="F20" s="313">
        <f>'BQ MAPLE ROOFTOP'!F534</f>
        <v>19889200</v>
      </c>
      <c r="G20" s="294"/>
      <c r="H20" s="408">
        <v>19889200</v>
      </c>
    </row>
    <row r="21" spans="1:11" s="296" customFormat="1">
      <c r="A21" s="289"/>
      <c r="B21" s="309"/>
      <c r="C21" s="310"/>
      <c r="D21" s="317"/>
      <c r="E21" s="312"/>
      <c r="F21" s="318"/>
      <c r="G21" s="319"/>
      <c r="H21" s="292"/>
    </row>
    <row r="22" spans="1:11" s="296" customFormat="1">
      <c r="A22" s="289"/>
      <c r="B22" s="320"/>
      <c r="C22" s="321"/>
      <c r="D22" s="322"/>
      <c r="E22" s="323"/>
      <c r="F22" s="324"/>
      <c r="G22" s="294"/>
    </row>
    <row r="23" spans="1:11" s="296" customFormat="1" ht="20.25" customHeight="1">
      <c r="A23" s="289"/>
      <c r="B23" s="325"/>
      <c r="C23" s="326"/>
      <c r="D23" s="327"/>
      <c r="E23" s="328" t="s">
        <v>286</v>
      </c>
      <c r="F23" s="329">
        <f>SUM(F7:F22)</f>
        <v>1098229521.4814858</v>
      </c>
      <c r="G23" s="294"/>
    </row>
    <row r="24" spans="1:11" s="296" customFormat="1" ht="20.25" customHeight="1">
      <c r="A24" s="289"/>
      <c r="B24" s="330"/>
      <c r="C24" s="331"/>
      <c r="D24" s="332"/>
      <c r="E24" s="333" t="s">
        <v>681</v>
      </c>
      <c r="F24" s="334">
        <f>0.0472*F23</f>
        <v>51836433.413926132</v>
      </c>
      <c r="G24" s="294"/>
    </row>
    <row r="25" spans="1:11" s="296" customFormat="1" ht="20.25" customHeight="1">
      <c r="A25" s="289"/>
      <c r="B25" s="330"/>
      <c r="C25" s="331"/>
      <c r="D25" s="332"/>
      <c r="E25" s="333" t="s">
        <v>682</v>
      </c>
      <c r="F25" s="335">
        <f>SUM(F23:F24)</f>
        <v>1150065954.895412</v>
      </c>
      <c r="G25" s="294"/>
      <c r="H25" s="357">
        <f>F25/228.5</f>
        <v>5033111.3999799211</v>
      </c>
      <c r="J25" s="357">
        <f>F25-'REKAP MAPLE'!F25</f>
        <v>132247694.57305777</v>
      </c>
      <c r="K25" s="408">
        <v>1150000000</v>
      </c>
    </row>
    <row r="26" spans="1:11" s="296" customFormat="1" ht="20.25" customHeight="1">
      <c r="A26" s="289"/>
      <c r="B26" s="330"/>
      <c r="C26" s="331"/>
      <c r="D26" s="332"/>
      <c r="E26" s="333" t="s">
        <v>684</v>
      </c>
      <c r="F26" s="445">
        <f>ROUNDDOWN(F25,-6)</f>
        <v>1150000000</v>
      </c>
      <c r="G26" s="294"/>
      <c r="H26" s="357"/>
      <c r="J26" s="357"/>
      <c r="K26" s="408"/>
    </row>
    <row r="27" spans="1:11" s="296" customFormat="1" ht="20.25" customHeight="1">
      <c r="A27" s="289"/>
      <c r="B27" s="330"/>
      <c r="C27" s="331"/>
      <c r="D27" s="332"/>
      <c r="E27" s="333" t="s">
        <v>822</v>
      </c>
      <c r="F27" s="334">
        <f>0.11*F26</f>
        <v>126500000</v>
      </c>
      <c r="G27" s="294"/>
    </row>
    <row r="28" spans="1:11" s="296" customFormat="1" ht="20.25" customHeight="1">
      <c r="A28" s="289"/>
      <c r="B28" s="330"/>
      <c r="C28" s="331"/>
      <c r="D28" s="332"/>
      <c r="E28" s="333" t="s">
        <v>683</v>
      </c>
      <c r="F28" s="335">
        <f>F26+F27</f>
        <v>1276500000</v>
      </c>
      <c r="G28" s="294"/>
    </row>
    <row r="29" spans="1:11" s="296" customFormat="1" ht="20.25" customHeight="1">
      <c r="A29" s="289"/>
      <c r="B29" s="337"/>
      <c r="C29" s="338"/>
      <c r="D29" s="339"/>
      <c r="E29" s="340"/>
      <c r="F29" s="341"/>
      <c r="G29" s="294"/>
    </row>
    <row r="30" spans="1:11" s="296" customFormat="1" ht="20.25" customHeight="1">
      <c r="A30" s="289"/>
      <c r="B30" s="298"/>
      <c r="C30" s="291"/>
      <c r="D30" s="332"/>
      <c r="E30" s="332"/>
      <c r="F30" s="342"/>
      <c r="G30" s="294"/>
    </row>
    <row r="31" spans="1:11" s="296" customFormat="1" ht="20.25" customHeight="1">
      <c r="A31" s="289"/>
      <c r="B31" s="298"/>
      <c r="C31" s="343"/>
      <c r="D31" s="344"/>
      <c r="E31" s="345"/>
      <c r="F31" s="291"/>
      <c r="G31" s="294"/>
    </row>
    <row r="32" spans="1:11" s="296" customFormat="1" ht="20.25" customHeight="1">
      <c r="A32" s="289"/>
      <c r="B32" s="407"/>
      <c r="C32" s="343"/>
      <c r="D32" s="344"/>
      <c r="E32" s="346"/>
      <c r="F32" s="346"/>
      <c r="G32" s="294"/>
    </row>
    <row r="33" spans="1:7" s="296" customFormat="1" ht="20.25" customHeight="1">
      <c r="A33" s="289"/>
      <c r="B33" s="298"/>
      <c r="C33" s="343"/>
      <c r="D33" s="347"/>
      <c r="E33" s="346"/>
      <c r="F33" s="346"/>
      <c r="G33" s="294"/>
    </row>
    <row r="34" spans="1:7" s="292" customFormat="1">
      <c r="A34" s="289"/>
      <c r="B34" s="298"/>
      <c r="C34" s="343"/>
      <c r="D34" s="348"/>
      <c r="E34" s="349"/>
      <c r="F34" s="349"/>
      <c r="G34" s="294"/>
    </row>
    <row r="35" spans="1:7" s="292" customFormat="1">
      <c r="A35" s="289"/>
      <c r="B35" s="298"/>
      <c r="C35" s="343"/>
      <c r="D35" s="343"/>
      <c r="E35" s="349"/>
      <c r="F35" s="349"/>
      <c r="G35" s="294"/>
    </row>
    <row r="36" spans="1:7" s="292" customFormat="1">
      <c r="A36" s="289"/>
      <c r="B36" s="291"/>
      <c r="C36" s="343"/>
      <c r="D36" s="350"/>
      <c r="E36" s="346"/>
      <c r="F36" s="346"/>
      <c r="G36" s="294"/>
    </row>
    <row r="37" spans="1:7">
      <c r="C37" s="343"/>
      <c r="D37" s="351"/>
      <c r="E37" s="345"/>
      <c r="G37" s="294"/>
    </row>
    <row r="38" spans="1:7" ht="23.25" customHeight="1">
      <c r="B38" s="349"/>
      <c r="C38" s="352"/>
      <c r="D38" s="353"/>
      <c r="E38" s="346"/>
      <c r="F38" s="349"/>
      <c r="G38" s="354"/>
    </row>
    <row r="39" spans="1:7" ht="23.25" customHeight="1">
      <c r="B39" s="349"/>
      <c r="C39" s="349"/>
      <c r="D39" s="349"/>
      <c r="E39" s="346"/>
      <c r="F39" s="349"/>
      <c r="G39" s="354"/>
    </row>
    <row r="40" spans="1:7">
      <c r="B40" s="349"/>
      <c r="C40" s="349"/>
      <c r="D40" s="349"/>
      <c r="E40" s="349"/>
      <c r="F40" s="349"/>
      <c r="G40" s="354"/>
    </row>
    <row r="41" spans="1:7">
      <c r="B41" s="349"/>
      <c r="C41" s="349"/>
      <c r="D41" s="349"/>
      <c r="E41" s="346"/>
      <c r="F41" s="349"/>
      <c r="G41" s="354"/>
    </row>
    <row r="42" spans="1:7" ht="39" customHeight="1">
      <c r="B42" s="349"/>
      <c r="C42" s="349"/>
      <c r="D42" s="349"/>
      <c r="E42" s="349"/>
      <c r="F42" s="349"/>
      <c r="G42" s="354"/>
    </row>
    <row r="43" spans="1:7">
      <c r="B43" s="448"/>
      <c r="C43" s="448"/>
      <c r="D43" s="448"/>
      <c r="E43" s="448"/>
      <c r="F43" s="448"/>
      <c r="G43" s="448"/>
    </row>
    <row r="44" spans="1:7">
      <c r="B44" s="448"/>
      <c r="C44" s="448"/>
      <c r="D44" s="448"/>
      <c r="E44" s="448"/>
      <c r="F44" s="448"/>
      <c r="G44" s="448"/>
    </row>
    <row r="45" spans="1:7">
      <c r="B45" s="448"/>
      <c r="C45" s="448"/>
      <c r="D45" s="448"/>
      <c r="E45" s="448"/>
      <c r="F45" s="448"/>
      <c r="G45" s="448"/>
    </row>
    <row r="46" spans="1:7">
      <c r="B46" s="448"/>
      <c r="C46" s="448"/>
      <c r="D46" s="448"/>
      <c r="E46" s="448"/>
      <c r="F46" s="448"/>
      <c r="G46" s="448"/>
    </row>
    <row r="47" spans="1:7" ht="78" customHeight="1">
      <c r="B47" s="447"/>
      <c r="C47" s="447"/>
      <c r="D47" s="447"/>
      <c r="E47" s="447"/>
      <c r="F47" s="447"/>
      <c r="G47" s="447"/>
    </row>
    <row r="48" spans="1:7">
      <c r="B48" s="447"/>
      <c r="C48" s="447"/>
      <c r="D48" s="447"/>
      <c r="E48" s="447"/>
      <c r="F48" s="447"/>
      <c r="G48" s="447"/>
    </row>
    <row r="49" spans="2:7">
      <c r="B49" s="447"/>
      <c r="C49" s="447"/>
      <c r="D49" s="447"/>
      <c r="E49" s="447"/>
      <c r="F49" s="447"/>
      <c r="G49" s="447"/>
    </row>
    <row r="50" spans="2:7">
      <c r="B50" s="447"/>
      <c r="C50" s="447"/>
      <c r="D50" s="447"/>
      <c r="E50" s="447"/>
      <c r="F50" s="447"/>
      <c r="G50" s="447"/>
    </row>
    <row r="51" spans="2:7">
      <c r="G51" s="355"/>
    </row>
    <row r="52" spans="2:7">
      <c r="G52" s="355"/>
    </row>
    <row r="53" spans="2:7">
      <c r="G53" s="355"/>
    </row>
    <row r="54" spans="2:7">
      <c r="G54" s="355"/>
    </row>
    <row r="55" spans="2:7">
      <c r="G55" s="355"/>
    </row>
    <row r="56" spans="2:7">
      <c r="G56" s="355"/>
    </row>
    <row r="57" spans="2:7">
      <c r="G57" s="355"/>
    </row>
    <row r="58" spans="2:7">
      <c r="G58" s="355"/>
    </row>
    <row r="59" spans="2:7">
      <c r="G59" s="355"/>
    </row>
    <row r="60" spans="2:7">
      <c r="G60" s="355"/>
    </row>
    <row r="61" spans="2:7">
      <c r="G61" s="355"/>
    </row>
    <row r="62" spans="2:7">
      <c r="G62" s="355"/>
    </row>
    <row r="63" spans="2:7">
      <c r="G63" s="355"/>
    </row>
    <row r="64" spans="2:7">
      <c r="G64" s="355"/>
    </row>
    <row r="65" spans="7:7">
      <c r="G65" s="355"/>
    </row>
    <row r="66" spans="7:7">
      <c r="G66" s="355"/>
    </row>
    <row r="67" spans="7:7">
      <c r="G67" s="355"/>
    </row>
    <row r="68" spans="7:7">
      <c r="G68" s="355"/>
    </row>
    <row r="69" spans="7:7">
      <c r="G69" s="355"/>
    </row>
    <row r="70" spans="7:7">
      <c r="G70" s="355"/>
    </row>
    <row r="71" spans="7:7">
      <c r="G71" s="355"/>
    </row>
    <row r="72" spans="7:7">
      <c r="G72" s="355"/>
    </row>
    <row r="73" spans="7:7">
      <c r="G73" s="355"/>
    </row>
    <row r="74" spans="7:7">
      <c r="G74" s="355"/>
    </row>
    <row r="75" spans="7:7">
      <c r="G75" s="355"/>
    </row>
  </sheetData>
  <mergeCells count="8">
    <mergeCell ref="B49:G49"/>
    <mergeCell ref="B50:G50"/>
    <mergeCell ref="B43:G43"/>
    <mergeCell ref="B44:G44"/>
    <mergeCell ref="B45:G45"/>
    <mergeCell ref="B46:G46"/>
    <mergeCell ref="B47:G47"/>
    <mergeCell ref="B48:G48"/>
  </mergeCells>
  <pageMargins left="0.7" right="0.7" top="0.75" bottom="0.75" header="0.3" footer="0.3"/>
  <pageSetup paperSize="9" orientation="portrait" horizontalDpi="12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M75"/>
  <sheetViews>
    <sheetView topLeftCell="C10" zoomScale="85" zoomScaleNormal="85" workbookViewId="0">
      <selection activeCell="F26" sqref="F26"/>
    </sheetView>
  </sheetViews>
  <sheetFormatPr defaultRowHeight="18.600000000000001"/>
  <cols>
    <col min="1" max="1" width="3.33203125" style="289" customWidth="1"/>
    <col min="2" max="2" width="8.77734375" style="291" customWidth="1"/>
    <col min="3" max="3" width="3.109375" style="291" customWidth="1"/>
    <col min="4" max="4" width="14.21875" style="291" customWidth="1"/>
    <col min="5" max="5" width="56.21875" style="291" customWidth="1"/>
    <col min="6" max="6" width="26.77734375" style="291" customWidth="1"/>
    <col min="7" max="7" width="4.88671875" style="292" customWidth="1"/>
    <col min="8" max="8" width="18.44140625" style="292" customWidth="1"/>
    <col min="9" max="9" width="14.44140625" bestFit="1" customWidth="1"/>
    <col min="10" max="10" width="25" customWidth="1"/>
    <col min="257" max="257" width="3.33203125" customWidth="1"/>
    <col min="258" max="258" width="8.77734375" customWidth="1"/>
    <col min="259" max="259" width="3.109375" customWidth="1"/>
    <col min="260" max="260" width="14.21875" customWidth="1"/>
    <col min="261" max="261" width="56.21875" customWidth="1"/>
    <col min="262" max="262" width="26.77734375" customWidth="1"/>
    <col min="263" max="263" width="4.88671875" customWidth="1"/>
    <col min="264" max="264" width="18.44140625" customWidth="1"/>
    <col min="513" max="513" width="3.33203125" customWidth="1"/>
    <col min="514" max="514" width="8.77734375" customWidth="1"/>
    <col min="515" max="515" width="3.109375" customWidth="1"/>
    <col min="516" max="516" width="14.21875" customWidth="1"/>
    <col min="517" max="517" width="56.21875" customWidth="1"/>
    <col min="518" max="518" width="26.77734375" customWidth="1"/>
    <col min="519" max="519" width="4.88671875" customWidth="1"/>
    <col min="520" max="520" width="18.44140625" customWidth="1"/>
    <col min="769" max="769" width="3.33203125" customWidth="1"/>
    <col min="770" max="770" width="8.77734375" customWidth="1"/>
    <col min="771" max="771" width="3.109375" customWidth="1"/>
    <col min="772" max="772" width="14.21875" customWidth="1"/>
    <col min="773" max="773" width="56.21875" customWidth="1"/>
    <col min="774" max="774" width="26.77734375" customWidth="1"/>
    <col min="775" max="775" width="4.88671875" customWidth="1"/>
    <col min="776" max="776" width="18.44140625" customWidth="1"/>
    <col min="1025" max="1025" width="3.33203125" customWidth="1"/>
    <col min="1026" max="1026" width="8.77734375" customWidth="1"/>
    <col min="1027" max="1027" width="3.109375" customWidth="1"/>
    <col min="1028" max="1028" width="14.21875" customWidth="1"/>
    <col min="1029" max="1029" width="56.21875" customWidth="1"/>
    <col min="1030" max="1030" width="26.77734375" customWidth="1"/>
    <col min="1031" max="1031" width="4.88671875" customWidth="1"/>
    <col min="1032" max="1032" width="18.44140625" customWidth="1"/>
    <col min="1281" max="1281" width="3.33203125" customWidth="1"/>
    <col min="1282" max="1282" width="8.77734375" customWidth="1"/>
    <col min="1283" max="1283" width="3.109375" customWidth="1"/>
    <col min="1284" max="1284" width="14.21875" customWidth="1"/>
    <col min="1285" max="1285" width="56.21875" customWidth="1"/>
    <col min="1286" max="1286" width="26.77734375" customWidth="1"/>
    <col min="1287" max="1287" width="4.88671875" customWidth="1"/>
    <col min="1288" max="1288" width="18.44140625" customWidth="1"/>
    <col min="1537" max="1537" width="3.33203125" customWidth="1"/>
    <col min="1538" max="1538" width="8.77734375" customWidth="1"/>
    <col min="1539" max="1539" width="3.109375" customWidth="1"/>
    <col min="1540" max="1540" width="14.21875" customWidth="1"/>
    <col min="1541" max="1541" width="56.21875" customWidth="1"/>
    <col min="1542" max="1542" width="26.77734375" customWidth="1"/>
    <col min="1543" max="1543" width="4.88671875" customWidth="1"/>
    <col min="1544" max="1544" width="18.44140625" customWidth="1"/>
    <col min="1793" max="1793" width="3.33203125" customWidth="1"/>
    <col min="1794" max="1794" width="8.77734375" customWidth="1"/>
    <col min="1795" max="1795" width="3.109375" customWidth="1"/>
    <col min="1796" max="1796" width="14.21875" customWidth="1"/>
    <col min="1797" max="1797" width="56.21875" customWidth="1"/>
    <col min="1798" max="1798" width="26.77734375" customWidth="1"/>
    <col min="1799" max="1799" width="4.88671875" customWidth="1"/>
    <col min="1800" max="1800" width="18.44140625" customWidth="1"/>
    <col min="2049" max="2049" width="3.33203125" customWidth="1"/>
    <col min="2050" max="2050" width="8.77734375" customWidth="1"/>
    <col min="2051" max="2051" width="3.109375" customWidth="1"/>
    <col min="2052" max="2052" width="14.21875" customWidth="1"/>
    <col min="2053" max="2053" width="56.21875" customWidth="1"/>
    <col min="2054" max="2054" width="26.77734375" customWidth="1"/>
    <col min="2055" max="2055" width="4.88671875" customWidth="1"/>
    <col min="2056" max="2056" width="18.44140625" customWidth="1"/>
    <col min="2305" max="2305" width="3.33203125" customWidth="1"/>
    <col min="2306" max="2306" width="8.77734375" customWidth="1"/>
    <col min="2307" max="2307" width="3.109375" customWidth="1"/>
    <col min="2308" max="2308" width="14.21875" customWidth="1"/>
    <col min="2309" max="2309" width="56.21875" customWidth="1"/>
    <col min="2310" max="2310" width="26.77734375" customWidth="1"/>
    <col min="2311" max="2311" width="4.88671875" customWidth="1"/>
    <col min="2312" max="2312" width="18.44140625" customWidth="1"/>
    <col min="2561" max="2561" width="3.33203125" customWidth="1"/>
    <col min="2562" max="2562" width="8.77734375" customWidth="1"/>
    <col min="2563" max="2563" width="3.109375" customWidth="1"/>
    <col min="2564" max="2564" width="14.21875" customWidth="1"/>
    <col min="2565" max="2565" width="56.21875" customWidth="1"/>
    <col min="2566" max="2566" width="26.77734375" customWidth="1"/>
    <col min="2567" max="2567" width="4.88671875" customWidth="1"/>
    <col min="2568" max="2568" width="18.44140625" customWidth="1"/>
    <col min="2817" max="2817" width="3.33203125" customWidth="1"/>
    <col min="2818" max="2818" width="8.77734375" customWidth="1"/>
    <col min="2819" max="2819" width="3.109375" customWidth="1"/>
    <col min="2820" max="2820" width="14.21875" customWidth="1"/>
    <col min="2821" max="2821" width="56.21875" customWidth="1"/>
    <col min="2822" max="2822" width="26.77734375" customWidth="1"/>
    <col min="2823" max="2823" width="4.88671875" customWidth="1"/>
    <col min="2824" max="2824" width="18.44140625" customWidth="1"/>
    <col min="3073" max="3073" width="3.33203125" customWidth="1"/>
    <col min="3074" max="3074" width="8.77734375" customWidth="1"/>
    <col min="3075" max="3075" width="3.109375" customWidth="1"/>
    <col min="3076" max="3076" width="14.21875" customWidth="1"/>
    <col min="3077" max="3077" width="56.21875" customWidth="1"/>
    <col min="3078" max="3078" width="26.77734375" customWidth="1"/>
    <col min="3079" max="3079" width="4.88671875" customWidth="1"/>
    <col min="3080" max="3080" width="18.44140625" customWidth="1"/>
    <col min="3329" max="3329" width="3.33203125" customWidth="1"/>
    <col min="3330" max="3330" width="8.77734375" customWidth="1"/>
    <col min="3331" max="3331" width="3.109375" customWidth="1"/>
    <col min="3332" max="3332" width="14.21875" customWidth="1"/>
    <col min="3333" max="3333" width="56.21875" customWidth="1"/>
    <col min="3334" max="3334" width="26.77734375" customWidth="1"/>
    <col min="3335" max="3335" width="4.88671875" customWidth="1"/>
    <col min="3336" max="3336" width="18.44140625" customWidth="1"/>
    <col min="3585" max="3585" width="3.33203125" customWidth="1"/>
    <col min="3586" max="3586" width="8.77734375" customWidth="1"/>
    <col min="3587" max="3587" width="3.109375" customWidth="1"/>
    <col min="3588" max="3588" width="14.21875" customWidth="1"/>
    <col min="3589" max="3589" width="56.21875" customWidth="1"/>
    <col min="3590" max="3590" width="26.77734375" customWidth="1"/>
    <col min="3591" max="3591" width="4.88671875" customWidth="1"/>
    <col min="3592" max="3592" width="18.44140625" customWidth="1"/>
    <col min="3841" max="3841" width="3.33203125" customWidth="1"/>
    <col min="3842" max="3842" width="8.77734375" customWidth="1"/>
    <col min="3843" max="3843" width="3.109375" customWidth="1"/>
    <col min="3844" max="3844" width="14.21875" customWidth="1"/>
    <col min="3845" max="3845" width="56.21875" customWidth="1"/>
    <col min="3846" max="3846" width="26.77734375" customWidth="1"/>
    <col min="3847" max="3847" width="4.88671875" customWidth="1"/>
    <col min="3848" max="3848" width="18.44140625" customWidth="1"/>
    <col min="4097" max="4097" width="3.33203125" customWidth="1"/>
    <col min="4098" max="4098" width="8.77734375" customWidth="1"/>
    <col min="4099" max="4099" width="3.109375" customWidth="1"/>
    <col min="4100" max="4100" width="14.21875" customWidth="1"/>
    <col min="4101" max="4101" width="56.21875" customWidth="1"/>
    <col min="4102" max="4102" width="26.77734375" customWidth="1"/>
    <col min="4103" max="4103" width="4.88671875" customWidth="1"/>
    <col min="4104" max="4104" width="18.44140625" customWidth="1"/>
    <col min="4353" max="4353" width="3.33203125" customWidth="1"/>
    <col min="4354" max="4354" width="8.77734375" customWidth="1"/>
    <col min="4355" max="4355" width="3.109375" customWidth="1"/>
    <col min="4356" max="4356" width="14.21875" customWidth="1"/>
    <col min="4357" max="4357" width="56.21875" customWidth="1"/>
    <col min="4358" max="4358" width="26.77734375" customWidth="1"/>
    <col min="4359" max="4359" width="4.88671875" customWidth="1"/>
    <col min="4360" max="4360" width="18.44140625" customWidth="1"/>
    <col min="4609" max="4609" width="3.33203125" customWidth="1"/>
    <col min="4610" max="4610" width="8.77734375" customWidth="1"/>
    <col min="4611" max="4611" width="3.109375" customWidth="1"/>
    <col min="4612" max="4612" width="14.21875" customWidth="1"/>
    <col min="4613" max="4613" width="56.21875" customWidth="1"/>
    <col min="4614" max="4614" width="26.77734375" customWidth="1"/>
    <col min="4615" max="4615" width="4.88671875" customWidth="1"/>
    <col min="4616" max="4616" width="18.44140625" customWidth="1"/>
    <col min="4865" max="4865" width="3.33203125" customWidth="1"/>
    <col min="4866" max="4866" width="8.77734375" customWidth="1"/>
    <col min="4867" max="4867" width="3.109375" customWidth="1"/>
    <col min="4868" max="4868" width="14.21875" customWidth="1"/>
    <col min="4869" max="4869" width="56.21875" customWidth="1"/>
    <col min="4870" max="4870" width="26.77734375" customWidth="1"/>
    <col min="4871" max="4871" width="4.88671875" customWidth="1"/>
    <col min="4872" max="4872" width="18.44140625" customWidth="1"/>
    <col min="5121" max="5121" width="3.33203125" customWidth="1"/>
    <col min="5122" max="5122" width="8.77734375" customWidth="1"/>
    <col min="5123" max="5123" width="3.109375" customWidth="1"/>
    <col min="5124" max="5124" width="14.21875" customWidth="1"/>
    <col min="5125" max="5125" width="56.21875" customWidth="1"/>
    <col min="5126" max="5126" width="26.77734375" customWidth="1"/>
    <col min="5127" max="5127" width="4.88671875" customWidth="1"/>
    <col min="5128" max="5128" width="18.44140625" customWidth="1"/>
    <col min="5377" max="5377" width="3.33203125" customWidth="1"/>
    <col min="5378" max="5378" width="8.77734375" customWidth="1"/>
    <col min="5379" max="5379" width="3.109375" customWidth="1"/>
    <col min="5380" max="5380" width="14.21875" customWidth="1"/>
    <col min="5381" max="5381" width="56.21875" customWidth="1"/>
    <col min="5382" max="5382" width="26.77734375" customWidth="1"/>
    <col min="5383" max="5383" width="4.88671875" customWidth="1"/>
    <col min="5384" max="5384" width="18.44140625" customWidth="1"/>
    <col min="5633" max="5633" width="3.33203125" customWidth="1"/>
    <col min="5634" max="5634" width="8.77734375" customWidth="1"/>
    <col min="5635" max="5635" width="3.109375" customWidth="1"/>
    <col min="5636" max="5636" width="14.21875" customWidth="1"/>
    <col min="5637" max="5637" width="56.21875" customWidth="1"/>
    <col min="5638" max="5638" width="26.77734375" customWidth="1"/>
    <col min="5639" max="5639" width="4.88671875" customWidth="1"/>
    <col min="5640" max="5640" width="18.44140625" customWidth="1"/>
    <col min="5889" max="5889" width="3.33203125" customWidth="1"/>
    <col min="5890" max="5890" width="8.77734375" customWidth="1"/>
    <col min="5891" max="5891" width="3.109375" customWidth="1"/>
    <col min="5892" max="5892" width="14.21875" customWidth="1"/>
    <col min="5893" max="5893" width="56.21875" customWidth="1"/>
    <col min="5894" max="5894" width="26.77734375" customWidth="1"/>
    <col min="5895" max="5895" width="4.88671875" customWidth="1"/>
    <col min="5896" max="5896" width="18.44140625" customWidth="1"/>
    <col min="6145" max="6145" width="3.33203125" customWidth="1"/>
    <col min="6146" max="6146" width="8.77734375" customWidth="1"/>
    <col min="6147" max="6147" width="3.109375" customWidth="1"/>
    <col min="6148" max="6148" width="14.21875" customWidth="1"/>
    <col min="6149" max="6149" width="56.21875" customWidth="1"/>
    <col min="6150" max="6150" width="26.77734375" customWidth="1"/>
    <col min="6151" max="6151" width="4.88671875" customWidth="1"/>
    <col min="6152" max="6152" width="18.44140625" customWidth="1"/>
    <col min="6401" max="6401" width="3.33203125" customWidth="1"/>
    <col min="6402" max="6402" width="8.77734375" customWidth="1"/>
    <col min="6403" max="6403" width="3.109375" customWidth="1"/>
    <col min="6404" max="6404" width="14.21875" customWidth="1"/>
    <col min="6405" max="6405" width="56.21875" customWidth="1"/>
    <col min="6406" max="6406" width="26.77734375" customWidth="1"/>
    <col min="6407" max="6407" width="4.88671875" customWidth="1"/>
    <col min="6408" max="6408" width="18.44140625" customWidth="1"/>
    <col min="6657" max="6657" width="3.33203125" customWidth="1"/>
    <col min="6658" max="6658" width="8.77734375" customWidth="1"/>
    <col min="6659" max="6659" width="3.109375" customWidth="1"/>
    <col min="6660" max="6660" width="14.21875" customWidth="1"/>
    <col min="6661" max="6661" width="56.21875" customWidth="1"/>
    <col min="6662" max="6662" width="26.77734375" customWidth="1"/>
    <col min="6663" max="6663" width="4.88671875" customWidth="1"/>
    <col min="6664" max="6664" width="18.44140625" customWidth="1"/>
    <col min="6913" max="6913" width="3.33203125" customWidth="1"/>
    <col min="6914" max="6914" width="8.77734375" customWidth="1"/>
    <col min="6915" max="6915" width="3.109375" customWidth="1"/>
    <col min="6916" max="6916" width="14.21875" customWidth="1"/>
    <col min="6917" max="6917" width="56.21875" customWidth="1"/>
    <col min="6918" max="6918" width="26.77734375" customWidth="1"/>
    <col min="6919" max="6919" width="4.88671875" customWidth="1"/>
    <col min="6920" max="6920" width="18.44140625" customWidth="1"/>
    <col min="7169" max="7169" width="3.33203125" customWidth="1"/>
    <col min="7170" max="7170" width="8.77734375" customWidth="1"/>
    <col min="7171" max="7171" width="3.109375" customWidth="1"/>
    <col min="7172" max="7172" width="14.21875" customWidth="1"/>
    <col min="7173" max="7173" width="56.21875" customWidth="1"/>
    <col min="7174" max="7174" width="26.77734375" customWidth="1"/>
    <col min="7175" max="7175" width="4.88671875" customWidth="1"/>
    <col min="7176" max="7176" width="18.44140625" customWidth="1"/>
    <col min="7425" max="7425" width="3.33203125" customWidth="1"/>
    <col min="7426" max="7426" width="8.77734375" customWidth="1"/>
    <col min="7427" max="7427" width="3.109375" customWidth="1"/>
    <col min="7428" max="7428" width="14.21875" customWidth="1"/>
    <col min="7429" max="7429" width="56.21875" customWidth="1"/>
    <col min="7430" max="7430" width="26.77734375" customWidth="1"/>
    <col min="7431" max="7431" width="4.88671875" customWidth="1"/>
    <col min="7432" max="7432" width="18.44140625" customWidth="1"/>
    <col min="7681" max="7681" width="3.33203125" customWidth="1"/>
    <col min="7682" max="7682" width="8.77734375" customWidth="1"/>
    <col min="7683" max="7683" width="3.109375" customWidth="1"/>
    <col min="7684" max="7684" width="14.21875" customWidth="1"/>
    <col min="7685" max="7685" width="56.21875" customWidth="1"/>
    <col min="7686" max="7686" width="26.77734375" customWidth="1"/>
    <col min="7687" max="7687" width="4.88671875" customWidth="1"/>
    <col min="7688" max="7688" width="18.44140625" customWidth="1"/>
    <col min="7937" max="7937" width="3.33203125" customWidth="1"/>
    <col min="7938" max="7938" width="8.77734375" customWidth="1"/>
    <col min="7939" max="7939" width="3.109375" customWidth="1"/>
    <col min="7940" max="7940" width="14.21875" customWidth="1"/>
    <col min="7941" max="7941" width="56.21875" customWidth="1"/>
    <col min="7942" max="7942" width="26.77734375" customWidth="1"/>
    <col min="7943" max="7943" width="4.88671875" customWidth="1"/>
    <col min="7944" max="7944" width="18.44140625" customWidth="1"/>
    <col min="8193" max="8193" width="3.33203125" customWidth="1"/>
    <col min="8194" max="8194" width="8.77734375" customWidth="1"/>
    <col min="8195" max="8195" width="3.109375" customWidth="1"/>
    <col min="8196" max="8196" width="14.21875" customWidth="1"/>
    <col min="8197" max="8197" width="56.21875" customWidth="1"/>
    <col min="8198" max="8198" width="26.77734375" customWidth="1"/>
    <col min="8199" max="8199" width="4.88671875" customWidth="1"/>
    <col min="8200" max="8200" width="18.44140625" customWidth="1"/>
    <col min="8449" max="8449" width="3.33203125" customWidth="1"/>
    <col min="8450" max="8450" width="8.77734375" customWidth="1"/>
    <col min="8451" max="8451" width="3.109375" customWidth="1"/>
    <col min="8452" max="8452" width="14.21875" customWidth="1"/>
    <col min="8453" max="8453" width="56.21875" customWidth="1"/>
    <col min="8454" max="8454" width="26.77734375" customWidth="1"/>
    <col min="8455" max="8455" width="4.88671875" customWidth="1"/>
    <col min="8456" max="8456" width="18.44140625" customWidth="1"/>
    <col min="8705" max="8705" width="3.33203125" customWidth="1"/>
    <col min="8706" max="8706" width="8.77734375" customWidth="1"/>
    <col min="8707" max="8707" width="3.109375" customWidth="1"/>
    <col min="8708" max="8708" width="14.21875" customWidth="1"/>
    <col min="8709" max="8709" width="56.21875" customWidth="1"/>
    <col min="8710" max="8710" width="26.77734375" customWidth="1"/>
    <col min="8711" max="8711" width="4.88671875" customWidth="1"/>
    <col min="8712" max="8712" width="18.44140625" customWidth="1"/>
    <col min="8961" max="8961" width="3.33203125" customWidth="1"/>
    <col min="8962" max="8962" width="8.77734375" customWidth="1"/>
    <col min="8963" max="8963" width="3.109375" customWidth="1"/>
    <col min="8964" max="8964" width="14.21875" customWidth="1"/>
    <col min="8965" max="8965" width="56.21875" customWidth="1"/>
    <col min="8966" max="8966" width="26.77734375" customWidth="1"/>
    <col min="8967" max="8967" width="4.88671875" customWidth="1"/>
    <col min="8968" max="8968" width="18.44140625" customWidth="1"/>
    <col min="9217" max="9217" width="3.33203125" customWidth="1"/>
    <col min="9218" max="9218" width="8.77734375" customWidth="1"/>
    <col min="9219" max="9219" width="3.109375" customWidth="1"/>
    <col min="9220" max="9220" width="14.21875" customWidth="1"/>
    <col min="9221" max="9221" width="56.21875" customWidth="1"/>
    <col min="9222" max="9222" width="26.77734375" customWidth="1"/>
    <col min="9223" max="9223" width="4.88671875" customWidth="1"/>
    <col min="9224" max="9224" width="18.44140625" customWidth="1"/>
    <col min="9473" max="9473" width="3.33203125" customWidth="1"/>
    <col min="9474" max="9474" width="8.77734375" customWidth="1"/>
    <col min="9475" max="9475" width="3.109375" customWidth="1"/>
    <col min="9476" max="9476" width="14.21875" customWidth="1"/>
    <col min="9477" max="9477" width="56.21875" customWidth="1"/>
    <col min="9478" max="9478" width="26.77734375" customWidth="1"/>
    <col min="9479" max="9479" width="4.88671875" customWidth="1"/>
    <col min="9480" max="9480" width="18.44140625" customWidth="1"/>
    <col min="9729" max="9729" width="3.33203125" customWidth="1"/>
    <col min="9730" max="9730" width="8.77734375" customWidth="1"/>
    <col min="9731" max="9731" width="3.109375" customWidth="1"/>
    <col min="9732" max="9732" width="14.21875" customWidth="1"/>
    <col min="9733" max="9733" width="56.21875" customWidth="1"/>
    <col min="9734" max="9734" width="26.77734375" customWidth="1"/>
    <col min="9735" max="9735" width="4.88671875" customWidth="1"/>
    <col min="9736" max="9736" width="18.44140625" customWidth="1"/>
    <col min="9985" max="9985" width="3.33203125" customWidth="1"/>
    <col min="9986" max="9986" width="8.77734375" customWidth="1"/>
    <col min="9987" max="9987" width="3.109375" customWidth="1"/>
    <col min="9988" max="9988" width="14.21875" customWidth="1"/>
    <col min="9989" max="9989" width="56.21875" customWidth="1"/>
    <col min="9990" max="9990" width="26.77734375" customWidth="1"/>
    <col min="9991" max="9991" width="4.88671875" customWidth="1"/>
    <col min="9992" max="9992" width="18.44140625" customWidth="1"/>
    <col min="10241" max="10241" width="3.33203125" customWidth="1"/>
    <col min="10242" max="10242" width="8.77734375" customWidth="1"/>
    <col min="10243" max="10243" width="3.109375" customWidth="1"/>
    <col min="10244" max="10244" width="14.21875" customWidth="1"/>
    <col min="10245" max="10245" width="56.21875" customWidth="1"/>
    <col min="10246" max="10246" width="26.77734375" customWidth="1"/>
    <col min="10247" max="10247" width="4.88671875" customWidth="1"/>
    <col min="10248" max="10248" width="18.44140625" customWidth="1"/>
    <col min="10497" max="10497" width="3.33203125" customWidth="1"/>
    <col min="10498" max="10498" width="8.77734375" customWidth="1"/>
    <col min="10499" max="10499" width="3.109375" customWidth="1"/>
    <col min="10500" max="10500" width="14.21875" customWidth="1"/>
    <col min="10501" max="10501" width="56.21875" customWidth="1"/>
    <col min="10502" max="10502" width="26.77734375" customWidth="1"/>
    <col min="10503" max="10503" width="4.88671875" customWidth="1"/>
    <col min="10504" max="10504" width="18.44140625" customWidth="1"/>
    <col min="10753" max="10753" width="3.33203125" customWidth="1"/>
    <col min="10754" max="10754" width="8.77734375" customWidth="1"/>
    <col min="10755" max="10755" width="3.109375" customWidth="1"/>
    <col min="10756" max="10756" width="14.21875" customWidth="1"/>
    <col min="10757" max="10757" width="56.21875" customWidth="1"/>
    <col min="10758" max="10758" width="26.77734375" customWidth="1"/>
    <col min="10759" max="10759" width="4.88671875" customWidth="1"/>
    <col min="10760" max="10760" width="18.44140625" customWidth="1"/>
    <col min="11009" max="11009" width="3.33203125" customWidth="1"/>
    <col min="11010" max="11010" width="8.77734375" customWidth="1"/>
    <col min="11011" max="11011" width="3.109375" customWidth="1"/>
    <col min="11012" max="11012" width="14.21875" customWidth="1"/>
    <col min="11013" max="11013" width="56.21875" customWidth="1"/>
    <col min="11014" max="11014" width="26.77734375" customWidth="1"/>
    <col min="11015" max="11015" width="4.88671875" customWidth="1"/>
    <col min="11016" max="11016" width="18.44140625" customWidth="1"/>
    <col min="11265" max="11265" width="3.33203125" customWidth="1"/>
    <col min="11266" max="11266" width="8.77734375" customWidth="1"/>
    <col min="11267" max="11267" width="3.109375" customWidth="1"/>
    <col min="11268" max="11268" width="14.21875" customWidth="1"/>
    <col min="11269" max="11269" width="56.21875" customWidth="1"/>
    <col min="11270" max="11270" width="26.77734375" customWidth="1"/>
    <col min="11271" max="11271" width="4.88671875" customWidth="1"/>
    <col min="11272" max="11272" width="18.44140625" customWidth="1"/>
    <col min="11521" max="11521" width="3.33203125" customWidth="1"/>
    <col min="11522" max="11522" width="8.77734375" customWidth="1"/>
    <col min="11523" max="11523" width="3.109375" customWidth="1"/>
    <col min="11524" max="11524" width="14.21875" customWidth="1"/>
    <col min="11525" max="11525" width="56.21875" customWidth="1"/>
    <col min="11526" max="11526" width="26.77734375" customWidth="1"/>
    <col min="11527" max="11527" width="4.88671875" customWidth="1"/>
    <col min="11528" max="11528" width="18.44140625" customWidth="1"/>
    <col min="11777" max="11777" width="3.33203125" customWidth="1"/>
    <col min="11778" max="11778" width="8.77734375" customWidth="1"/>
    <col min="11779" max="11779" width="3.109375" customWidth="1"/>
    <col min="11780" max="11780" width="14.21875" customWidth="1"/>
    <col min="11781" max="11781" width="56.21875" customWidth="1"/>
    <col min="11782" max="11782" width="26.77734375" customWidth="1"/>
    <col min="11783" max="11783" width="4.88671875" customWidth="1"/>
    <col min="11784" max="11784" width="18.44140625" customWidth="1"/>
    <col min="12033" max="12033" width="3.33203125" customWidth="1"/>
    <col min="12034" max="12034" width="8.77734375" customWidth="1"/>
    <col min="12035" max="12035" width="3.109375" customWidth="1"/>
    <col min="12036" max="12036" width="14.21875" customWidth="1"/>
    <col min="12037" max="12037" width="56.21875" customWidth="1"/>
    <col min="12038" max="12038" width="26.77734375" customWidth="1"/>
    <col min="12039" max="12039" width="4.88671875" customWidth="1"/>
    <col min="12040" max="12040" width="18.44140625" customWidth="1"/>
    <col min="12289" max="12289" width="3.33203125" customWidth="1"/>
    <col min="12290" max="12290" width="8.77734375" customWidth="1"/>
    <col min="12291" max="12291" width="3.109375" customWidth="1"/>
    <col min="12292" max="12292" width="14.21875" customWidth="1"/>
    <col min="12293" max="12293" width="56.21875" customWidth="1"/>
    <col min="12294" max="12294" width="26.77734375" customWidth="1"/>
    <col min="12295" max="12295" width="4.88671875" customWidth="1"/>
    <col min="12296" max="12296" width="18.44140625" customWidth="1"/>
    <col min="12545" max="12545" width="3.33203125" customWidth="1"/>
    <col min="12546" max="12546" width="8.77734375" customWidth="1"/>
    <col min="12547" max="12547" width="3.109375" customWidth="1"/>
    <col min="12548" max="12548" width="14.21875" customWidth="1"/>
    <col min="12549" max="12549" width="56.21875" customWidth="1"/>
    <col min="12550" max="12550" width="26.77734375" customWidth="1"/>
    <col min="12551" max="12551" width="4.88671875" customWidth="1"/>
    <col min="12552" max="12552" width="18.44140625" customWidth="1"/>
    <col min="12801" max="12801" width="3.33203125" customWidth="1"/>
    <col min="12802" max="12802" width="8.77734375" customWidth="1"/>
    <col min="12803" max="12803" width="3.109375" customWidth="1"/>
    <col min="12804" max="12804" width="14.21875" customWidth="1"/>
    <col min="12805" max="12805" width="56.21875" customWidth="1"/>
    <col min="12806" max="12806" width="26.77734375" customWidth="1"/>
    <col min="12807" max="12807" width="4.88671875" customWidth="1"/>
    <col min="12808" max="12808" width="18.44140625" customWidth="1"/>
    <col min="13057" max="13057" width="3.33203125" customWidth="1"/>
    <col min="13058" max="13058" width="8.77734375" customWidth="1"/>
    <col min="13059" max="13059" width="3.109375" customWidth="1"/>
    <col min="13060" max="13060" width="14.21875" customWidth="1"/>
    <col min="13061" max="13061" width="56.21875" customWidth="1"/>
    <col min="13062" max="13062" width="26.77734375" customWidth="1"/>
    <col min="13063" max="13063" width="4.88671875" customWidth="1"/>
    <col min="13064" max="13064" width="18.44140625" customWidth="1"/>
    <col min="13313" max="13313" width="3.33203125" customWidth="1"/>
    <col min="13314" max="13314" width="8.77734375" customWidth="1"/>
    <col min="13315" max="13315" width="3.109375" customWidth="1"/>
    <col min="13316" max="13316" width="14.21875" customWidth="1"/>
    <col min="13317" max="13317" width="56.21875" customWidth="1"/>
    <col min="13318" max="13318" width="26.77734375" customWidth="1"/>
    <col min="13319" max="13319" width="4.88671875" customWidth="1"/>
    <col min="13320" max="13320" width="18.44140625" customWidth="1"/>
    <col min="13569" max="13569" width="3.33203125" customWidth="1"/>
    <col min="13570" max="13570" width="8.77734375" customWidth="1"/>
    <col min="13571" max="13571" width="3.109375" customWidth="1"/>
    <col min="13572" max="13572" width="14.21875" customWidth="1"/>
    <col min="13573" max="13573" width="56.21875" customWidth="1"/>
    <col min="13574" max="13574" width="26.77734375" customWidth="1"/>
    <col min="13575" max="13575" width="4.88671875" customWidth="1"/>
    <col min="13576" max="13576" width="18.44140625" customWidth="1"/>
    <col min="13825" max="13825" width="3.33203125" customWidth="1"/>
    <col min="13826" max="13826" width="8.77734375" customWidth="1"/>
    <col min="13827" max="13827" width="3.109375" customWidth="1"/>
    <col min="13828" max="13828" width="14.21875" customWidth="1"/>
    <col min="13829" max="13829" width="56.21875" customWidth="1"/>
    <col min="13830" max="13830" width="26.77734375" customWidth="1"/>
    <col min="13831" max="13831" width="4.88671875" customWidth="1"/>
    <col min="13832" max="13832" width="18.44140625" customWidth="1"/>
    <col min="14081" max="14081" width="3.33203125" customWidth="1"/>
    <col min="14082" max="14082" width="8.77734375" customWidth="1"/>
    <col min="14083" max="14083" width="3.109375" customWidth="1"/>
    <col min="14084" max="14084" width="14.21875" customWidth="1"/>
    <col min="14085" max="14085" width="56.21875" customWidth="1"/>
    <col min="14086" max="14086" width="26.77734375" customWidth="1"/>
    <col min="14087" max="14087" width="4.88671875" customWidth="1"/>
    <col min="14088" max="14088" width="18.44140625" customWidth="1"/>
    <col min="14337" max="14337" width="3.33203125" customWidth="1"/>
    <col min="14338" max="14338" width="8.77734375" customWidth="1"/>
    <col min="14339" max="14339" width="3.109375" customWidth="1"/>
    <col min="14340" max="14340" width="14.21875" customWidth="1"/>
    <col min="14341" max="14341" width="56.21875" customWidth="1"/>
    <col min="14342" max="14342" width="26.77734375" customWidth="1"/>
    <col min="14343" max="14343" width="4.88671875" customWidth="1"/>
    <col min="14344" max="14344" width="18.44140625" customWidth="1"/>
    <col min="14593" max="14593" width="3.33203125" customWidth="1"/>
    <col min="14594" max="14594" width="8.77734375" customWidth="1"/>
    <col min="14595" max="14595" width="3.109375" customWidth="1"/>
    <col min="14596" max="14596" width="14.21875" customWidth="1"/>
    <col min="14597" max="14597" width="56.21875" customWidth="1"/>
    <col min="14598" max="14598" width="26.77734375" customWidth="1"/>
    <col min="14599" max="14599" width="4.88671875" customWidth="1"/>
    <col min="14600" max="14600" width="18.44140625" customWidth="1"/>
    <col min="14849" max="14849" width="3.33203125" customWidth="1"/>
    <col min="14850" max="14850" width="8.77734375" customWidth="1"/>
    <col min="14851" max="14851" width="3.109375" customWidth="1"/>
    <col min="14852" max="14852" width="14.21875" customWidth="1"/>
    <col min="14853" max="14853" width="56.21875" customWidth="1"/>
    <col min="14854" max="14854" width="26.77734375" customWidth="1"/>
    <col min="14855" max="14855" width="4.88671875" customWidth="1"/>
    <col min="14856" max="14856" width="18.44140625" customWidth="1"/>
    <col min="15105" max="15105" width="3.33203125" customWidth="1"/>
    <col min="15106" max="15106" width="8.77734375" customWidth="1"/>
    <col min="15107" max="15107" width="3.109375" customWidth="1"/>
    <col min="15108" max="15108" width="14.21875" customWidth="1"/>
    <col min="15109" max="15109" width="56.21875" customWidth="1"/>
    <col min="15110" max="15110" width="26.77734375" customWidth="1"/>
    <col min="15111" max="15111" width="4.88671875" customWidth="1"/>
    <col min="15112" max="15112" width="18.44140625" customWidth="1"/>
    <col min="15361" max="15361" width="3.33203125" customWidth="1"/>
    <col min="15362" max="15362" width="8.77734375" customWidth="1"/>
    <col min="15363" max="15363" width="3.109375" customWidth="1"/>
    <col min="15364" max="15364" width="14.21875" customWidth="1"/>
    <col min="15365" max="15365" width="56.21875" customWidth="1"/>
    <col min="15366" max="15366" width="26.77734375" customWidth="1"/>
    <col min="15367" max="15367" width="4.88671875" customWidth="1"/>
    <col min="15368" max="15368" width="18.44140625" customWidth="1"/>
    <col min="15617" max="15617" width="3.33203125" customWidth="1"/>
    <col min="15618" max="15618" width="8.77734375" customWidth="1"/>
    <col min="15619" max="15619" width="3.109375" customWidth="1"/>
    <col min="15620" max="15620" width="14.21875" customWidth="1"/>
    <col min="15621" max="15621" width="56.21875" customWidth="1"/>
    <col min="15622" max="15622" width="26.77734375" customWidth="1"/>
    <col min="15623" max="15623" width="4.88671875" customWidth="1"/>
    <col min="15624" max="15624" width="18.44140625" customWidth="1"/>
    <col min="15873" max="15873" width="3.33203125" customWidth="1"/>
    <col min="15874" max="15874" width="8.77734375" customWidth="1"/>
    <col min="15875" max="15875" width="3.109375" customWidth="1"/>
    <col min="15876" max="15876" width="14.21875" customWidth="1"/>
    <col min="15877" max="15877" width="56.21875" customWidth="1"/>
    <col min="15878" max="15878" width="26.77734375" customWidth="1"/>
    <col min="15879" max="15879" width="4.88671875" customWidth="1"/>
    <col min="15880" max="15880" width="18.44140625" customWidth="1"/>
    <col min="16129" max="16129" width="3.33203125" customWidth="1"/>
    <col min="16130" max="16130" width="8.77734375" customWidth="1"/>
    <col min="16131" max="16131" width="3.109375" customWidth="1"/>
    <col min="16132" max="16132" width="14.21875" customWidth="1"/>
    <col min="16133" max="16133" width="56.21875" customWidth="1"/>
    <col min="16134" max="16134" width="26.77734375" customWidth="1"/>
    <col min="16135" max="16135" width="4.88671875" customWidth="1"/>
    <col min="16136" max="16136" width="18.44140625" customWidth="1"/>
  </cols>
  <sheetData>
    <row r="1" spans="1:13" ht="18" customHeight="1">
      <c r="B1" s="290"/>
    </row>
    <row r="2" spans="1:13" ht="18" customHeight="1">
      <c r="B2" s="293" t="s">
        <v>651</v>
      </c>
      <c r="G2" s="294"/>
    </row>
    <row r="3" spans="1:13" s="297" customFormat="1" ht="20.100000000000001" customHeight="1">
      <c r="A3" s="289"/>
      <c r="B3" s="295" t="s">
        <v>778</v>
      </c>
      <c r="C3" s="291"/>
      <c r="D3" s="291"/>
      <c r="E3" s="291"/>
      <c r="F3" s="291"/>
      <c r="G3" s="294"/>
      <c r="H3" s="296"/>
    </row>
    <row r="4" spans="1:13" s="297" customFormat="1" ht="20.100000000000001" customHeight="1">
      <c r="A4" s="289"/>
      <c r="B4" s="293" t="s">
        <v>652</v>
      </c>
      <c r="C4" s="291"/>
      <c r="D4" s="291"/>
      <c r="E4" s="291"/>
      <c r="F4" s="291"/>
      <c r="G4" s="294"/>
      <c r="H4" s="296"/>
    </row>
    <row r="5" spans="1:13" s="297" customFormat="1" ht="20.100000000000001" customHeight="1">
      <c r="A5" s="289"/>
      <c r="B5" s="298"/>
      <c r="C5" s="291"/>
      <c r="D5" s="291"/>
      <c r="E5" s="291"/>
      <c r="F5" s="291"/>
      <c r="G5" s="294"/>
      <c r="H5" s="296"/>
    </row>
    <row r="6" spans="1:13" s="296" customFormat="1" ht="31.5" customHeight="1">
      <c r="A6" s="289"/>
      <c r="B6" s="299" t="s">
        <v>653</v>
      </c>
      <c r="C6" s="300"/>
      <c r="D6" s="301" t="s">
        <v>654</v>
      </c>
      <c r="E6" s="302"/>
      <c r="F6" s="302" t="s">
        <v>650</v>
      </c>
      <c r="G6" s="294"/>
      <c r="H6" s="303"/>
      <c r="I6" s="303"/>
      <c r="J6" s="303"/>
      <c r="K6" s="303"/>
      <c r="L6" s="303"/>
      <c r="M6" s="303"/>
    </row>
    <row r="7" spans="1:13" s="296" customFormat="1">
      <c r="A7" s="289"/>
      <c r="B7" s="304"/>
      <c r="C7" s="305"/>
      <c r="D7" s="306"/>
      <c r="E7" s="307"/>
      <c r="F7" s="308"/>
      <c r="G7" s="294"/>
    </row>
    <row r="8" spans="1:13" s="296" customFormat="1">
      <c r="A8" s="289"/>
      <c r="B8" s="309" t="s">
        <v>655</v>
      </c>
      <c r="C8" s="310"/>
      <c r="D8" s="311" t="s">
        <v>656</v>
      </c>
      <c r="E8" s="312"/>
      <c r="F8" s="313">
        <f>'BQ MAPLE POOL ROOFTOP'!F2</f>
        <v>4433680</v>
      </c>
      <c r="G8" s="294"/>
      <c r="H8" s="314"/>
    </row>
    <row r="9" spans="1:13" s="296" customFormat="1">
      <c r="A9" s="289"/>
      <c r="B9" s="309" t="s">
        <v>657</v>
      </c>
      <c r="C9" s="310"/>
      <c r="D9" s="311" t="s">
        <v>658</v>
      </c>
      <c r="E9" s="312"/>
      <c r="F9" s="313">
        <f>'BQ MAPLE POOL ROOFTOP'!F13</f>
        <v>10148731</v>
      </c>
      <c r="G9" s="294"/>
      <c r="H9" s="314"/>
    </row>
    <row r="10" spans="1:13" s="296" customFormat="1">
      <c r="A10" s="289"/>
      <c r="B10" s="309" t="s">
        <v>659</v>
      </c>
      <c r="C10" s="310"/>
      <c r="D10" s="311" t="s">
        <v>660</v>
      </c>
      <c r="E10" s="312"/>
      <c r="F10" s="313">
        <f>'BQ MAPLE POOL ROOFTOP'!F27</f>
        <v>43600363.18783816</v>
      </c>
      <c r="G10" s="294"/>
      <c r="H10" s="314"/>
    </row>
    <row r="11" spans="1:13" s="296" customFormat="1">
      <c r="A11" s="289"/>
      <c r="B11" s="309" t="s">
        <v>661</v>
      </c>
      <c r="C11" s="310"/>
      <c r="D11" s="311" t="s">
        <v>662</v>
      </c>
      <c r="E11" s="312"/>
      <c r="F11" s="313">
        <f>'BQ MAPLE POOL ROOFTOP'!F44+'BQ MAPLE POOL ROOFTOP'!F90+'BQ MAPLE POOL ROOFTOP'!F120+'BQ MAPLE POOL ROOFTOP'!F133</f>
        <v>267084876.72897318</v>
      </c>
      <c r="G11" s="294"/>
      <c r="H11" s="314"/>
    </row>
    <row r="12" spans="1:13" s="296" customFormat="1">
      <c r="A12" s="289"/>
      <c r="B12" s="309" t="s">
        <v>663</v>
      </c>
      <c r="C12" s="310"/>
      <c r="D12" s="311" t="s">
        <v>664</v>
      </c>
      <c r="E12" s="312"/>
      <c r="F12" s="313">
        <f>'BQ MAPLE POOL ROOFTOP'!F147+'BQ MAPLE POOL ROOFTOP'!F179</f>
        <v>154242135.07490999</v>
      </c>
      <c r="G12" s="294"/>
      <c r="H12" s="314"/>
    </row>
    <row r="13" spans="1:13" s="296" customFormat="1">
      <c r="A13" s="289"/>
      <c r="B13" s="309" t="s">
        <v>665</v>
      </c>
      <c r="C13" s="310"/>
      <c r="D13" s="311" t="s">
        <v>666</v>
      </c>
      <c r="E13" s="312"/>
      <c r="F13" s="313">
        <f>'BQ MAPLE POOL ROOFTOP'!F209+'BQ MAPLE POOL ROOFTOP'!F219</f>
        <v>18616421.25</v>
      </c>
      <c r="G13" s="294"/>
      <c r="H13" s="314"/>
    </row>
    <row r="14" spans="1:13" s="296" customFormat="1">
      <c r="A14" s="289"/>
      <c r="B14" s="309" t="s">
        <v>667</v>
      </c>
      <c r="C14" s="310"/>
      <c r="D14" s="311" t="s">
        <v>668</v>
      </c>
      <c r="E14" s="312"/>
      <c r="F14" s="313">
        <f>'BQ MAPLE POOL ROOFTOP'!F236+'BQ MAPLE POOL ROOFTOP'!F246+'BQ MAPLE POOL ROOFTOP'!F257+'BQ MAPLE POOL ROOFTOP'!F267</f>
        <v>171228569.51449999</v>
      </c>
      <c r="G14" s="294"/>
      <c r="H14" s="315"/>
    </row>
    <row r="15" spans="1:13" s="296" customFormat="1">
      <c r="A15" s="289"/>
      <c r="B15" s="316" t="s">
        <v>669</v>
      </c>
      <c r="C15" s="310"/>
      <c r="D15" s="311" t="s">
        <v>670</v>
      </c>
      <c r="E15" s="312"/>
      <c r="F15" s="313">
        <f>'BQ MAPLE POOL ROOFTOP'!F280</f>
        <v>26490103.569819819</v>
      </c>
      <c r="G15" s="294"/>
      <c r="H15" s="315"/>
    </row>
    <row r="16" spans="1:13" s="296" customFormat="1">
      <c r="A16" s="289"/>
      <c r="B16" s="316" t="s">
        <v>671</v>
      </c>
      <c r="C16" s="310"/>
      <c r="D16" s="311" t="s">
        <v>672</v>
      </c>
      <c r="E16" s="312"/>
      <c r="F16" s="313">
        <f>'BQ MAPLE POOL ROOFTOP'!F300</f>
        <v>205347733.52252251</v>
      </c>
      <c r="G16" s="294"/>
      <c r="H16" s="314"/>
    </row>
    <row r="17" spans="1:10" s="296" customFormat="1">
      <c r="A17" s="289"/>
      <c r="B17" s="316" t="s">
        <v>673</v>
      </c>
      <c r="C17" s="310"/>
      <c r="D17" s="311" t="s">
        <v>674</v>
      </c>
      <c r="E17" s="312"/>
      <c r="F17" s="313">
        <f>'BQ MAPLE POOL ROOFTOP'!F342+'BQ MAPLE POOL ROOFTOP'!F352+'BQ MAPLE POOL ROOFTOP'!F362+'BQ MAPLE POOL ROOFTOP'!F372</f>
        <v>38429038.978869051</v>
      </c>
      <c r="G17" s="294"/>
      <c r="H17" s="314"/>
    </row>
    <row r="18" spans="1:10" s="296" customFormat="1">
      <c r="A18" s="289"/>
      <c r="B18" s="309" t="s">
        <v>675</v>
      </c>
      <c r="C18" s="310"/>
      <c r="D18" s="311" t="s">
        <v>676</v>
      </c>
      <c r="E18" s="312"/>
      <c r="F18" s="313">
        <f>'BQ MAPLE POOL ROOFTOP'!F383+'BQ MAPLE POOL ROOFTOP'!F418+'BQ MAPLE POOL ROOFTOP'!F429+'BQ MAPLE POOL ROOFTOP'!F439+'BQ MAPLE POOL ROOFTOP'!F449+'BQ MAPLE POOL ROOFTOP'!F464</f>
        <v>90453149.189189196</v>
      </c>
      <c r="G18" s="294"/>
      <c r="H18" s="314"/>
    </row>
    <row r="19" spans="1:10" s="296" customFormat="1">
      <c r="A19" s="289"/>
      <c r="B19" s="316" t="s">
        <v>677</v>
      </c>
      <c r="C19" s="310"/>
      <c r="D19" s="311" t="s">
        <v>678</v>
      </c>
      <c r="E19" s="312"/>
      <c r="F19" s="313">
        <f>'BQ MAPLE POOL ROOFTOP'!F475+'BQ MAPLE POOL ROOFTOP'!F501</f>
        <v>48345500</v>
      </c>
      <c r="G19" s="294"/>
      <c r="H19" s="314"/>
    </row>
    <row r="20" spans="1:10" s="296" customFormat="1" ht="19.5" customHeight="1">
      <c r="A20" s="289"/>
      <c r="B20" s="309" t="s">
        <v>679</v>
      </c>
      <c r="C20" s="310"/>
      <c r="D20" s="311" t="s">
        <v>680</v>
      </c>
      <c r="E20" s="312"/>
      <c r="F20" s="313">
        <f>'BQ MAPLE POOL ROOFTOP'!F534</f>
        <v>19889200</v>
      </c>
      <c r="G20" s="294"/>
    </row>
    <row r="21" spans="1:10" s="296" customFormat="1">
      <c r="A21" s="289"/>
      <c r="B21" s="309"/>
      <c r="C21" s="310"/>
      <c r="D21" s="317"/>
      <c r="E21" s="312"/>
      <c r="F21" s="318"/>
      <c r="G21" s="319"/>
      <c r="H21" s="292"/>
    </row>
    <row r="22" spans="1:10" s="296" customFormat="1">
      <c r="A22" s="289"/>
      <c r="B22" s="320"/>
      <c r="C22" s="321"/>
      <c r="D22" s="322"/>
      <c r="E22" s="323"/>
      <c r="F22" s="324"/>
      <c r="G22" s="294"/>
    </row>
    <row r="23" spans="1:10" s="296" customFormat="1" ht="20.25" customHeight="1">
      <c r="A23" s="289"/>
      <c r="B23" s="325"/>
      <c r="C23" s="326"/>
      <c r="D23" s="327"/>
      <c r="E23" s="328" t="s">
        <v>286</v>
      </c>
      <c r="F23" s="329">
        <f>SUM(F7:F22)</f>
        <v>1098309502.0166221</v>
      </c>
      <c r="G23" s="294"/>
    </row>
    <row r="24" spans="1:10" s="296" customFormat="1" ht="20.25" customHeight="1">
      <c r="A24" s="289"/>
      <c r="B24" s="330"/>
      <c r="C24" s="331"/>
      <c r="D24" s="332"/>
      <c r="E24" s="333" t="s">
        <v>681</v>
      </c>
      <c r="F24" s="334">
        <f>0.0426*F23</f>
        <v>46787984.785908096</v>
      </c>
      <c r="G24" s="294"/>
    </row>
    <row r="25" spans="1:10" s="296" customFormat="1" ht="20.25" customHeight="1">
      <c r="A25" s="289"/>
      <c r="B25" s="330"/>
      <c r="C25" s="331"/>
      <c r="D25" s="332"/>
      <c r="E25" s="333" t="s">
        <v>682</v>
      </c>
      <c r="F25" s="335">
        <f>SUM(F23:F24)</f>
        <v>1145097486.8025301</v>
      </c>
      <c r="G25" s="294"/>
      <c r="H25" s="357">
        <f>F25/228.5</f>
        <v>5011367.5571226701</v>
      </c>
      <c r="I25" s="357">
        <f>F25-'REKAP MAPLE POOL'!F25</f>
        <v>129290329.10271835</v>
      </c>
      <c r="J25" s="408">
        <v>1145000000</v>
      </c>
    </row>
    <row r="26" spans="1:10" s="296" customFormat="1" ht="20.25" customHeight="1">
      <c r="A26" s="289"/>
      <c r="B26" s="330"/>
      <c r="C26" s="331"/>
      <c r="D26" s="332"/>
      <c r="E26" s="333" t="s">
        <v>684</v>
      </c>
      <c r="F26" s="445">
        <f>ROUNDDOWN(F25,-5)</f>
        <v>1145000000</v>
      </c>
      <c r="G26" s="294"/>
      <c r="H26" s="357"/>
      <c r="I26" s="357"/>
      <c r="J26" s="408"/>
    </row>
    <row r="27" spans="1:10" s="296" customFormat="1" ht="20.25" customHeight="1">
      <c r="A27" s="289"/>
      <c r="B27" s="330"/>
      <c r="C27" s="331"/>
      <c r="D27" s="332"/>
      <c r="E27" s="333" t="s">
        <v>822</v>
      </c>
      <c r="F27" s="334">
        <f>0.11*F26</f>
        <v>125950000</v>
      </c>
      <c r="G27" s="294"/>
    </row>
    <row r="28" spans="1:10" s="296" customFormat="1" ht="20.25" customHeight="1">
      <c r="A28" s="289"/>
      <c r="B28" s="330"/>
      <c r="C28" s="331"/>
      <c r="D28" s="332"/>
      <c r="E28" s="333" t="s">
        <v>683</v>
      </c>
      <c r="F28" s="335">
        <f>F26+F27</f>
        <v>1270950000</v>
      </c>
      <c r="G28" s="294"/>
    </row>
    <row r="29" spans="1:10" s="296" customFormat="1" ht="20.25" customHeight="1">
      <c r="A29" s="289"/>
      <c r="B29" s="337"/>
      <c r="C29" s="338"/>
      <c r="D29" s="339"/>
      <c r="E29" s="340"/>
      <c r="F29" s="341"/>
      <c r="G29" s="294"/>
    </row>
    <row r="30" spans="1:10" s="296" customFormat="1" ht="20.25" customHeight="1">
      <c r="A30" s="289"/>
      <c r="B30" s="298"/>
      <c r="C30" s="291"/>
      <c r="D30" s="332"/>
      <c r="E30" s="332"/>
      <c r="F30" s="342"/>
      <c r="G30" s="294"/>
    </row>
    <row r="31" spans="1:10" s="296" customFormat="1" ht="20.25" customHeight="1">
      <c r="A31" s="289"/>
      <c r="B31" s="298"/>
      <c r="C31" s="343"/>
      <c r="D31" s="344"/>
      <c r="E31" s="345"/>
      <c r="F31" s="291"/>
      <c r="G31" s="294"/>
    </row>
    <row r="32" spans="1:10" s="296" customFormat="1" ht="20.25" customHeight="1">
      <c r="A32" s="289"/>
      <c r="B32" s="407"/>
      <c r="C32" s="343"/>
      <c r="D32" s="344"/>
      <c r="E32" s="346"/>
      <c r="F32" s="346"/>
      <c r="G32" s="294"/>
    </row>
    <row r="33" spans="1:7" s="296" customFormat="1" ht="20.25" customHeight="1">
      <c r="A33" s="289"/>
      <c r="B33" s="298"/>
      <c r="C33" s="343"/>
      <c r="D33" s="347"/>
      <c r="E33" s="346"/>
      <c r="F33" s="346"/>
      <c r="G33" s="294"/>
    </row>
    <row r="34" spans="1:7" s="292" customFormat="1">
      <c r="A34" s="289"/>
      <c r="B34" s="298"/>
      <c r="C34" s="343"/>
      <c r="D34" s="348"/>
      <c r="E34" s="349"/>
      <c r="F34" s="349"/>
      <c r="G34" s="294"/>
    </row>
    <row r="35" spans="1:7" s="292" customFormat="1">
      <c r="A35" s="289"/>
      <c r="B35" s="298"/>
      <c r="C35" s="343"/>
      <c r="D35" s="343"/>
      <c r="E35" s="349"/>
      <c r="F35" s="349"/>
      <c r="G35" s="294"/>
    </row>
    <row r="36" spans="1:7" s="292" customFormat="1">
      <c r="A36" s="289"/>
      <c r="B36" s="291"/>
      <c r="C36" s="343"/>
      <c r="D36" s="350"/>
      <c r="E36" s="346"/>
      <c r="F36" s="346"/>
      <c r="G36" s="294"/>
    </row>
    <row r="37" spans="1:7">
      <c r="C37" s="343"/>
      <c r="D37" s="351"/>
      <c r="E37" s="345"/>
      <c r="G37" s="294"/>
    </row>
    <row r="38" spans="1:7" ht="23.25" customHeight="1">
      <c r="B38" s="349"/>
      <c r="C38" s="352"/>
      <c r="D38" s="353"/>
      <c r="E38" s="346"/>
      <c r="F38" s="349"/>
      <c r="G38" s="354"/>
    </row>
    <row r="39" spans="1:7" ht="23.25" customHeight="1">
      <c r="B39" s="349"/>
      <c r="C39" s="349"/>
      <c r="D39" s="349"/>
      <c r="E39" s="346"/>
      <c r="F39" s="349"/>
      <c r="G39" s="354"/>
    </row>
    <row r="40" spans="1:7">
      <c r="B40" s="349"/>
      <c r="C40" s="349"/>
      <c r="D40" s="349"/>
      <c r="E40" s="349"/>
      <c r="F40" s="349"/>
      <c r="G40" s="354"/>
    </row>
    <row r="41" spans="1:7">
      <c r="B41" s="349"/>
      <c r="C41" s="349"/>
      <c r="D41" s="349"/>
      <c r="E41" s="346"/>
      <c r="F41" s="349"/>
      <c r="G41" s="354"/>
    </row>
    <row r="42" spans="1:7" ht="39" customHeight="1">
      <c r="B42" s="349"/>
      <c r="C42" s="349"/>
      <c r="D42" s="349"/>
      <c r="E42" s="349"/>
      <c r="F42" s="349"/>
      <c r="G42" s="354"/>
    </row>
    <row r="43" spans="1:7">
      <c r="B43" s="448"/>
      <c r="C43" s="448"/>
      <c r="D43" s="448"/>
      <c r="E43" s="448"/>
      <c r="F43" s="448"/>
      <c r="G43" s="448"/>
    </row>
    <row r="44" spans="1:7">
      <c r="B44" s="448"/>
      <c r="C44" s="448"/>
      <c r="D44" s="448"/>
      <c r="E44" s="448"/>
      <c r="F44" s="448"/>
      <c r="G44" s="448"/>
    </row>
    <row r="45" spans="1:7">
      <c r="B45" s="448"/>
      <c r="C45" s="448"/>
      <c r="D45" s="448"/>
      <c r="E45" s="448"/>
      <c r="F45" s="448"/>
      <c r="G45" s="448"/>
    </row>
    <row r="46" spans="1:7">
      <c r="B46" s="448"/>
      <c r="C46" s="448"/>
      <c r="D46" s="448"/>
      <c r="E46" s="448"/>
      <c r="F46" s="448"/>
      <c r="G46" s="448"/>
    </row>
    <row r="47" spans="1:7" ht="78" customHeight="1">
      <c r="B47" s="447"/>
      <c r="C47" s="447"/>
      <c r="D47" s="447"/>
      <c r="E47" s="447"/>
      <c r="F47" s="447"/>
      <c r="G47" s="447"/>
    </row>
    <row r="48" spans="1:7">
      <c r="B48" s="447"/>
      <c r="C48" s="447"/>
      <c r="D48" s="447"/>
      <c r="E48" s="447"/>
      <c r="F48" s="447"/>
      <c r="G48" s="447"/>
    </row>
    <row r="49" spans="2:7">
      <c r="B49" s="447"/>
      <c r="C49" s="447"/>
      <c r="D49" s="447"/>
      <c r="E49" s="447"/>
      <c r="F49" s="447"/>
      <c r="G49" s="447"/>
    </row>
    <row r="50" spans="2:7">
      <c r="B50" s="447"/>
      <c r="C50" s="447"/>
      <c r="D50" s="447"/>
      <c r="E50" s="447"/>
      <c r="F50" s="447"/>
      <c r="G50" s="447"/>
    </row>
    <row r="51" spans="2:7">
      <c r="G51" s="355"/>
    </row>
    <row r="52" spans="2:7">
      <c r="G52" s="355"/>
    </row>
    <row r="53" spans="2:7">
      <c r="G53" s="355"/>
    </row>
    <row r="54" spans="2:7">
      <c r="G54" s="355"/>
    </row>
    <row r="55" spans="2:7">
      <c r="G55" s="355"/>
    </row>
    <row r="56" spans="2:7">
      <c r="G56" s="355"/>
    </row>
    <row r="57" spans="2:7">
      <c r="G57" s="355"/>
    </row>
    <row r="58" spans="2:7">
      <c r="G58" s="355"/>
    </row>
    <row r="59" spans="2:7">
      <c r="G59" s="355"/>
    </row>
    <row r="60" spans="2:7">
      <c r="G60" s="355"/>
    </row>
    <row r="61" spans="2:7">
      <c r="G61" s="355"/>
    </row>
    <row r="62" spans="2:7">
      <c r="G62" s="355"/>
    </row>
    <row r="63" spans="2:7">
      <c r="G63" s="355"/>
    </row>
    <row r="64" spans="2:7">
      <c r="G64" s="355"/>
    </row>
    <row r="65" spans="7:7">
      <c r="G65" s="355"/>
    </row>
    <row r="66" spans="7:7">
      <c r="G66" s="355"/>
    </row>
    <row r="67" spans="7:7">
      <c r="G67" s="355"/>
    </row>
    <row r="68" spans="7:7">
      <c r="G68" s="355"/>
    </row>
    <row r="69" spans="7:7">
      <c r="G69" s="355"/>
    </row>
    <row r="70" spans="7:7">
      <c r="G70" s="355"/>
    </row>
    <row r="71" spans="7:7">
      <c r="G71" s="355"/>
    </row>
    <row r="72" spans="7:7">
      <c r="G72" s="355"/>
    </row>
    <row r="73" spans="7:7">
      <c r="G73" s="355"/>
    </row>
    <row r="74" spans="7:7">
      <c r="G74" s="355"/>
    </row>
    <row r="75" spans="7:7">
      <c r="G75" s="355"/>
    </row>
  </sheetData>
  <mergeCells count="8">
    <mergeCell ref="B49:G49"/>
    <mergeCell ref="B50:G50"/>
    <mergeCell ref="B43:G43"/>
    <mergeCell ref="B44:G44"/>
    <mergeCell ref="B45:G45"/>
    <mergeCell ref="B46:G46"/>
    <mergeCell ref="B47:G47"/>
    <mergeCell ref="B48:G48"/>
  </mergeCells>
  <pageMargins left="0.7" right="0.7" top="0.75" bottom="0.75" header="0.3" footer="0.3"/>
  <pageSetup paperSize="9" orientation="portrait" horizontalDpi="12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73"/>
  <sheetViews>
    <sheetView zoomScaleNormal="100" workbookViewId="0">
      <pane ySplit="1" topLeftCell="A146" activePane="bottomLeft" state="frozen"/>
      <selection pane="bottomLeft" activeCell="B154" sqref="B154"/>
    </sheetView>
  </sheetViews>
  <sheetFormatPr defaultRowHeight="14.4"/>
  <cols>
    <col min="1" max="1" width="11.33203125" bestFit="1" customWidth="1"/>
    <col min="2" max="2" width="39.6640625" customWidth="1"/>
    <col min="3" max="3" width="8.44140625" bestFit="1" customWidth="1"/>
    <col min="4" max="4" width="6.44140625" bestFit="1" customWidth="1"/>
    <col min="5" max="5" width="14" style="288" customWidth="1"/>
    <col min="6" max="6" width="14.21875" style="288" bestFit="1" customWidth="1"/>
    <col min="7" max="7" width="10.77734375" bestFit="1" customWidth="1"/>
    <col min="8" max="8" width="14.88671875" bestFit="1" customWidth="1"/>
  </cols>
  <sheetData>
    <row r="1" spans="1:7">
      <c r="A1" s="280" t="s">
        <v>0</v>
      </c>
      <c r="B1" s="280" t="s">
        <v>1</v>
      </c>
      <c r="C1" s="280" t="s">
        <v>2</v>
      </c>
      <c r="D1" s="280" t="s">
        <v>177</v>
      </c>
      <c r="E1" s="281" t="s">
        <v>3</v>
      </c>
      <c r="F1" s="281" t="s">
        <v>4</v>
      </c>
    </row>
    <row r="2" spans="1:7">
      <c r="A2" s="282" t="s">
        <v>178</v>
      </c>
      <c r="B2" s="282" t="s">
        <v>179</v>
      </c>
      <c r="C2" s="282"/>
      <c r="D2" s="282" t="s">
        <v>6</v>
      </c>
      <c r="E2" s="283"/>
      <c r="F2" s="284">
        <f>SUM(F3:F11)</f>
        <v>4433680</v>
      </c>
      <c r="G2" s="397" t="s">
        <v>823</v>
      </c>
    </row>
    <row r="3" spans="1:7">
      <c r="A3" s="285"/>
      <c r="B3" s="280" t="s">
        <v>180</v>
      </c>
      <c r="C3" s="280"/>
      <c r="D3" s="280" t="s">
        <v>6</v>
      </c>
      <c r="E3" s="281"/>
      <c r="F3" s="281">
        <f>+C3*E3</f>
        <v>0</v>
      </c>
    </row>
    <row r="4" spans="1:7">
      <c r="A4" s="285"/>
      <c r="B4" s="280" t="s">
        <v>181</v>
      </c>
      <c r="C4" s="280">
        <v>1</v>
      </c>
      <c r="D4" s="280" t="s">
        <v>6</v>
      </c>
      <c r="E4" s="281">
        <v>500000</v>
      </c>
      <c r="F4" s="281">
        <f>+C4*E4</f>
        <v>500000</v>
      </c>
    </row>
    <row r="5" spans="1:7">
      <c r="A5" s="285"/>
      <c r="B5" s="280" t="s">
        <v>182</v>
      </c>
      <c r="C5" s="280">
        <v>1</v>
      </c>
      <c r="D5" s="280" t="s">
        <v>6</v>
      </c>
      <c r="E5" s="410">
        <f>2000000-1000000</f>
        <v>1000000</v>
      </c>
      <c r="F5" s="281">
        <f t="shared" ref="F5:F11" si="0">+C5*E5</f>
        <v>1000000</v>
      </c>
    </row>
    <row r="6" spans="1:7">
      <c r="A6" s="285"/>
      <c r="B6" s="280" t="s">
        <v>183</v>
      </c>
      <c r="C6" s="396">
        <f>54</f>
        <v>54</v>
      </c>
      <c r="D6" s="280" t="s">
        <v>8</v>
      </c>
      <c r="E6" s="281">
        <f>Analisa!F13</f>
        <v>21920</v>
      </c>
      <c r="F6" s="281">
        <f t="shared" si="0"/>
        <v>1183680</v>
      </c>
    </row>
    <row r="7" spans="1:7">
      <c r="A7" s="285"/>
      <c r="B7" s="280" t="s">
        <v>184</v>
      </c>
      <c r="C7" s="280">
        <v>1</v>
      </c>
      <c r="D7" s="280" t="s">
        <v>6</v>
      </c>
      <c r="E7" s="281">
        <v>750000</v>
      </c>
      <c r="F7" s="281">
        <f t="shared" si="0"/>
        <v>750000</v>
      </c>
    </row>
    <row r="8" spans="1:7">
      <c r="A8" s="285"/>
      <c r="B8" s="280" t="s">
        <v>185</v>
      </c>
      <c r="C8" s="280">
        <v>1</v>
      </c>
      <c r="D8" s="280" t="s">
        <v>6</v>
      </c>
      <c r="E8" s="281">
        <v>1000000</v>
      </c>
      <c r="F8" s="281">
        <f t="shared" si="0"/>
        <v>1000000</v>
      </c>
    </row>
    <row r="9" spans="1:7">
      <c r="A9" s="285"/>
      <c r="B9" s="286" t="s">
        <v>397</v>
      </c>
      <c r="C9" s="280"/>
      <c r="D9" s="280"/>
      <c r="E9" s="281"/>
      <c r="F9" s="281">
        <f t="shared" si="0"/>
        <v>0</v>
      </c>
    </row>
    <row r="10" spans="1:7">
      <c r="A10" s="285"/>
      <c r="B10" s="286" t="s">
        <v>398</v>
      </c>
      <c r="C10" s="280"/>
      <c r="D10" s="280"/>
      <c r="E10" s="281"/>
      <c r="F10" s="281">
        <f t="shared" si="0"/>
        <v>0</v>
      </c>
    </row>
    <row r="11" spans="1:7">
      <c r="A11" s="285"/>
      <c r="B11" s="286" t="s">
        <v>399</v>
      </c>
      <c r="C11" s="280"/>
      <c r="D11" s="280"/>
      <c r="E11" s="281"/>
      <c r="F11" s="281">
        <f t="shared" si="0"/>
        <v>0</v>
      </c>
    </row>
    <row r="12" spans="1:7">
      <c r="A12" s="285"/>
      <c r="B12" s="280"/>
      <c r="C12" s="280"/>
      <c r="D12" s="280"/>
      <c r="E12" s="281"/>
      <c r="F12" s="281"/>
    </row>
    <row r="13" spans="1:7">
      <c r="A13" s="282" t="s">
        <v>186</v>
      </c>
      <c r="B13" s="282" t="s">
        <v>187</v>
      </c>
      <c r="C13" s="282"/>
      <c r="D13" s="282" t="s">
        <v>6</v>
      </c>
      <c r="E13" s="283">
        <v>0</v>
      </c>
      <c r="F13" s="284">
        <f>SUM(F14:F25)</f>
        <v>9849763</v>
      </c>
    </row>
    <row r="14" spans="1:7">
      <c r="A14" s="285"/>
      <c r="B14" s="280" t="s">
        <v>188</v>
      </c>
      <c r="C14" s="280"/>
      <c r="D14" s="280" t="s">
        <v>6</v>
      </c>
      <c r="E14" s="281"/>
      <c r="F14" s="281">
        <f>+C14*E14</f>
        <v>0</v>
      </c>
    </row>
    <row r="15" spans="1:7" ht="27.6">
      <c r="A15" s="285"/>
      <c r="B15" s="280" t="s">
        <v>189</v>
      </c>
      <c r="C15" s="401">
        <f>8*0</f>
        <v>0</v>
      </c>
      <c r="D15" s="280" t="s">
        <v>10</v>
      </c>
      <c r="E15" s="281">
        <f>Analisa!F235</f>
        <v>190900</v>
      </c>
      <c r="F15" s="281">
        <f t="shared" ref="F15:F25" si="1">+C15*E15</f>
        <v>0</v>
      </c>
    </row>
    <row r="16" spans="1:7">
      <c r="A16" s="285"/>
      <c r="B16" s="280" t="s">
        <v>313</v>
      </c>
      <c r="C16" s="402">
        <f>(3.85*2.3+7.7*0.97+8*9.8+2*2.15+2*1.6)*0.25</f>
        <v>25.556000000000001</v>
      </c>
      <c r="D16" s="280" t="s">
        <v>9</v>
      </c>
      <c r="E16" s="281">
        <f>Analisa!F87</f>
        <v>150000</v>
      </c>
      <c r="F16" s="281">
        <f t="shared" si="1"/>
        <v>3833400</v>
      </c>
    </row>
    <row r="17" spans="1:6">
      <c r="A17" s="285"/>
      <c r="B17" s="280" t="s">
        <v>400</v>
      </c>
      <c r="C17" s="402">
        <f>6.2*5*0.4</f>
        <v>12.4</v>
      </c>
      <c r="D17" s="280" t="s">
        <v>9</v>
      </c>
      <c r="E17" s="281">
        <f>E16</f>
        <v>150000</v>
      </c>
      <c r="F17" s="281">
        <f t="shared" si="1"/>
        <v>1860000</v>
      </c>
    </row>
    <row r="18" spans="1:6">
      <c r="A18" s="285"/>
      <c r="B18" s="280" t="s">
        <v>190</v>
      </c>
      <c r="C18" s="402">
        <f>(162.4*0.25*0.4)+(0.5*0.5*26+1*0.5*5+1.5*0.5)*0.6*0.9</f>
        <v>21.505000000000003</v>
      </c>
      <c r="D18" s="280" t="s">
        <v>9</v>
      </c>
      <c r="E18" s="281">
        <v>75000</v>
      </c>
      <c r="F18" s="281">
        <f t="shared" si="1"/>
        <v>1612875.0000000002</v>
      </c>
    </row>
    <row r="19" spans="1:6">
      <c r="A19" s="285"/>
      <c r="B19" s="280" t="s">
        <v>191</v>
      </c>
      <c r="C19" s="402">
        <f>C18*0.6</f>
        <v>12.903</v>
      </c>
      <c r="D19" s="280" t="s">
        <v>9</v>
      </c>
      <c r="E19" s="281">
        <v>75000</v>
      </c>
      <c r="F19" s="281">
        <f t="shared" si="1"/>
        <v>967725</v>
      </c>
    </row>
    <row r="20" spans="1:6">
      <c r="A20" s="285"/>
      <c r="B20" s="280" t="s">
        <v>192</v>
      </c>
      <c r="C20" s="402">
        <f>C18*0.4</f>
        <v>8.6020000000000021</v>
      </c>
      <c r="D20" s="280" t="s">
        <v>9</v>
      </c>
      <c r="E20" s="281">
        <v>60000</v>
      </c>
      <c r="F20" s="281">
        <f t="shared" si="1"/>
        <v>516120.00000000012</v>
      </c>
    </row>
    <row r="21" spans="1:6">
      <c r="A21" s="285"/>
      <c r="B21" s="280" t="s">
        <v>401</v>
      </c>
      <c r="C21" s="402">
        <f>133.22</f>
        <v>133.22</v>
      </c>
      <c r="D21" s="280" t="s">
        <v>5</v>
      </c>
      <c r="E21" s="281">
        <f>Analisa!F91</f>
        <v>3150</v>
      </c>
      <c r="F21" s="281">
        <f t="shared" si="1"/>
        <v>419643</v>
      </c>
    </row>
    <row r="22" spans="1:6">
      <c r="A22" s="285"/>
      <c r="B22" s="280" t="s">
        <v>193</v>
      </c>
      <c r="C22" s="402">
        <v>32</v>
      </c>
      <c r="D22" s="280" t="s">
        <v>10</v>
      </c>
      <c r="E22" s="281">
        <f>25000-5000</f>
        <v>20000</v>
      </c>
      <c r="F22" s="281">
        <f t="shared" si="1"/>
        <v>640000</v>
      </c>
    </row>
    <row r="23" spans="1:6">
      <c r="A23" s="285"/>
      <c r="B23" s="286" t="s">
        <v>397</v>
      </c>
      <c r="C23" s="280"/>
      <c r="D23" s="280"/>
      <c r="E23" s="281"/>
      <c r="F23" s="281">
        <f t="shared" si="1"/>
        <v>0</v>
      </c>
    </row>
    <row r="24" spans="1:6">
      <c r="A24" s="285"/>
      <c r="B24" s="286" t="s">
        <v>398</v>
      </c>
      <c r="C24" s="280"/>
      <c r="D24" s="280"/>
      <c r="E24" s="281"/>
      <c r="F24" s="281">
        <f t="shared" si="1"/>
        <v>0</v>
      </c>
    </row>
    <row r="25" spans="1:6">
      <c r="A25" s="285"/>
      <c r="B25" s="286" t="s">
        <v>399</v>
      </c>
      <c r="C25" s="280"/>
      <c r="D25" s="280"/>
      <c r="E25" s="281"/>
      <c r="F25" s="281">
        <f t="shared" si="1"/>
        <v>0</v>
      </c>
    </row>
    <row r="26" spans="1:6">
      <c r="A26" s="285"/>
      <c r="B26" s="280"/>
      <c r="C26" s="280"/>
      <c r="D26" s="280"/>
      <c r="E26" s="281"/>
      <c r="F26" s="281"/>
    </row>
    <row r="27" spans="1:6">
      <c r="A27" s="282" t="s">
        <v>194</v>
      </c>
      <c r="B27" s="282" t="s">
        <v>195</v>
      </c>
      <c r="C27" s="282"/>
      <c r="D27" s="282" t="s">
        <v>6</v>
      </c>
      <c r="E27" s="283"/>
      <c r="F27" s="284">
        <f>SUM(F28:F42)</f>
        <v>44272698.64841263</v>
      </c>
    </row>
    <row r="28" spans="1:6">
      <c r="A28" s="285"/>
      <c r="B28" s="280" t="s">
        <v>196</v>
      </c>
      <c r="C28" s="280"/>
      <c r="D28" s="280" t="s">
        <v>6</v>
      </c>
      <c r="E28" s="281"/>
      <c r="F28" s="281">
        <f t="shared" ref="F28:F42" si="2">+C28*E28</f>
        <v>0</v>
      </c>
    </row>
    <row r="29" spans="1:6">
      <c r="A29" s="285"/>
      <c r="B29" s="280" t="s">
        <v>857</v>
      </c>
      <c r="C29" s="421">
        <f>0.4*0.4*0.4*14</f>
        <v>0.89600000000000024</v>
      </c>
      <c r="D29" s="280" t="s">
        <v>9</v>
      </c>
      <c r="E29" s="281">
        <f>'AN BETON TYPE MAPLE'!F80</f>
        <v>3852484.2317997543</v>
      </c>
      <c r="F29" s="281">
        <f>+C29*E29</f>
        <v>3451825.8716925806</v>
      </c>
    </row>
    <row r="30" spans="1:6">
      <c r="A30" s="285"/>
      <c r="B30" s="280" t="s">
        <v>856</v>
      </c>
      <c r="C30" s="421">
        <f>0.4*0.4*0.4*8</f>
        <v>0.51200000000000012</v>
      </c>
      <c r="D30" s="280" t="s">
        <v>9</v>
      </c>
      <c r="E30" s="281">
        <f>'AN BETON TYPE MAPLE'!F86</f>
        <v>3852484.2317997543</v>
      </c>
      <c r="F30" s="281">
        <f t="shared" si="2"/>
        <v>1972471.9266814748</v>
      </c>
    </row>
    <row r="31" spans="1:6">
      <c r="A31" s="285"/>
      <c r="B31" s="280" t="s">
        <v>395</v>
      </c>
      <c r="C31" s="361">
        <f>0.6*0.5*0.4*4</f>
        <v>0.48</v>
      </c>
      <c r="D31" s="280" t="s">
        <v>9</v>
      </c>
      <c r="E31" s="281">
        <f>'AN BETON TYPE MAPLE'!F92</f>
        <v>3498750.737496247</v>
      </c>
      <c r="F31" s="281">
        <f t="shared" si="2"/>
        <v>1679400.3539981984</v>
      </c>
    </row>
    <row r="32" spans="1:6">
      <c r="A32" s="285"/>
      <c r="B32" s="280" t="s">
        <v>402</v>
      </c>
      <c r="C32" s="361">
        <f>1*0.5*0.5*5</f>
        <v>1.25</v>
      </c>
      <c r="D32" s="280" t="s">
        <v>9</v>
      </c>
      <c r="E32" s="281">
        <f>'AN BETON TYPE MAPLE'!F104</f>
        <v>2647171.0161464373</v>
      </c>
      <c r="F32" s="281">
        <f t="shared" si="2"/>
        <v>3308963.7701830463</v>
      </c>
    </row>
    <row r="33" spans="1:8">
      <c r="A33" s="285"/>
      <c r="B33" s="280" t="s">
        <v>403</v>
      </c>
      <c r="C33" s="361">
        <f>1.5*0.5*0.5*1</f>
        <v>0.375</v>
      </c>
      <c r="D33" s="280" t="s">
        <v>9</v>
      </c>
      <c r="E33" s="281">
        <f>'AN BETON TYPE MAPLE'!F109</f>
        <v>2578922.5388660226</v>
      </c>
      <c r="F33" s="281">
        <f t="shared" si="2"/>
        <v>967095.95207475848</v>
      </c>
    </row>
    <row r="34" spans="1:8">
      <c r="A34" s="285"/>
      <c r="B34" s="280" t="s">
        <v>404</v>
      </c>
      <c r="C34" s="361">
        <f>0.15*0.3*3.9</f>
        <v>0.17549999999999999</v>
      </c>
      <c r="D34" s="280" t="s">
        <v>9</v>
      </c>
      <c r="E34" s="281">
        <f>'AN BETON TYPE MAPLE'!F14</f>
        <v>3073435.9402093007</v>
      </c>
      <c r="F34" s="281">
        <f t="shared" si="2"/>
        <v>539388.00750673225</v>
      </c>
    </row>
    <row r="35" spans="1:8">
      <c r="A35" s="285"/>
      <c r="B35" s="280" t="s">
        <v>405</v>
      </c>
      <c r="C35" s="361">
        <f>0.15*0.3*2.15</f>
        <v>9.6749999999999989E-2</v>
      </c>
      <c r="D35" s="280" t="s">
        <v>9</v>
      </c>
      <c r="E35" s="281">
        <f>'AN BETON TYPE MAPLE'!F20</f>
        <v>3580111.2173264176</v>
      </c>
      <c r="F35" s="281">
        <f t="shared" si="2"/>
        <v>346375.76027633087</v>
      </c>
    </row>
    <row r="36" spans="1:8">
      <c r="A36" s="285"/>
      <c r="B36" s="280" t="s">
        <v>406</v>
      </c>
      <c r="C36" s="361">
        <f>0.15*0.4*4.6</f>
        <v>0.27599999999999997</v>
      </c>
      <c r="D36" s="280" t="s">
        <v>9</v>
      </c>
      <c r="E36" s="281">
        <f>'AN BETON TYPE MAPLE'!F26</f>
        <v>2858270.2165206117</v>
      </c>
      <c r="F36" s="281">
        <f t="shared" si="2"/>
        <v>788882.5797596887</v>
      </c>
      <c r="H36" s="358"/>
    </row>
    <row r="37" spans="1:8">
      <c r="A37" s="285"/>
      <c r="B37" s="280" t="s">
        <v>407</v>
      </c>
      <c r="C37" s="361">
        <f>0.15*0.4*146.65</f>
        <v>8.7989999999999995</v>
      </c>
      <c r="D37" s="280" t="s">
        <v>9</v>
      </c>
      <c r="E37" s="281">
        <f>'AN BETON TYPE MAPLE'!F32</f>
        <v>3238276.6743584499</v>
      </c>
      <c r="F37" s="281">
        <f>+C37*E37</f>
        <v>28493596.457679998</v>
      </c>
      <c r="H37" s="358"/>
    </row>
    <row r="38" spans="1:8">
      <c r="A38" s="285"/>
      <c r="B38" s="280" t="s">
        <v>408</v>
      </c>
      <c r="C38" s="361">
        <f>0.15*0.4*5.1</f>
        <v>0.30599999999999999</v>
      </c>
      <c r="D38" s="280" t="s">
        <v>9</v>
      </c>
      <c r="E38" s="281">
        <f>'AN BETON TYPE MAPLE'!F50</f>
        <v>3355063.5290131043</v>
      </c>
      <c r="F38" s="281">
        <f t="shared" si="2"/>
        <v>1026649.4398780098</v>
      </c>
    </row>
    <row r="39" spans="1:8" ht="27.6">
      <c r="A39" s="285"/>
      <c r="B39" s="280" t="s">
        <v>409</v>
      </c>
      <c r="C39" s="361">
        <f>(162.4*0.2+0.5*0.5*26+1*0.5*5+1.5*0.5)*0.05</f>
        <v>2.1115000000000004</v>
      </c>
      <c r="D39" s="280" t="s">
        <v>9</v>
      </c>
      <c r="E39" s="281">
        <f>Analisa!F48</f>
        <v>804190.63636363635</v>
      </c>
      <c r="F39" s="281">
        <f t="shared" si="2"/>
        <v>1698048.5286818184</v>
      </c>
    </row>
    <row r="40" spans="1:8">
      <c r="A40" s="285"/>
      <c r="B40" s="286" t="s">
        <v>397</v>
      </c>
      <c r="C40" s="361"/>
      <c r="D40" s="280"/>
      <c r="E40" s="281"/>
      <c r="F40" s="281">
        <f t="shared" si="2"/>
        <v>0</v>
      </c>
    </row>
    <row r="41" spans="1:8">
      <c r="A41" s="285"/>
      <c r="B41" s="286" t="s">
        <v>398</v>
      </c>
      <c r="C41" s="361"/>
      <c r="D41" s="280"/>
      <c r="E41" s="281"/>
      <c r="F41" s="281">
        <f t="shared" si="2"/>
        <v>0</v>
      </c>
    </row>
    <row r="42" spans="1:8">
      <c r="A42" s="285"/>
      <c r="B42" s="286" t="s">
        <v>399</v>
      </c>
      <c r="C42" s="361"/>
      <c r="D42" s="280"/>
      <c r="E42" s="281"/>
      <c r="F42" s="281">
        <f t="shared" si="2"/>
        <v>0</v>
      </c>
    </row>
    <row r="43" spans="1:8">
      <c r="A43" s="285"/>
      <c r="B43" s="280"/>
      <c r="C43" s="361"/>
      <c r="D43" s="280"/>
      <c r="E43" s="281"/>
      <c r="F43" s="281"/>
    </row>
    <row r="44" spans="1:8">
      <c r="A44" s="282" t="s">
        <v>11</v>
      </c>
      <c r="B44" s="282" t="s">
        <v>175</v>
      </c>
      <c r="C44" s="375">
        <v>1</v>
      </c>
      <c r="D44" s="282" t="s">
        <v>9</v>
      </c>
      <c r="E44" s="283">
        <v>0</v>
      </c>
      <c r="F44" s="284">
        <f>SUM(F45:F88)</f>
        <v>119842382.26743573</v>
      </c>
    </row>
    <row r="45" spans="1:8">
      <c r="A45" s="285"/>
      <c r="B45" s="280" t="s">
        <v>197</v>
      </c>
      <c r="C45" s="361">
        <v>1</v>
      </c>
      <c r="D45" s="280" t="s">
        <v>9</v>
      </c>
      <c r="E45" s="281">
        <v>0</v>
      </c>
      <c r="F45" s="281">
        <f>+C45*E45</f>
        <v>0</v>
      </c>
    </row>
    <row r="46" spans="1:8">
      <c r="A46" s="285"/>
      <c r="B46" s="280" t="s">
        <v>198</v>
      </c>
      <c r="C46" s="361"/>
      <c r="D46" s="285"/>
      <c r="E46" s="281"/>
      <c r="F46" s="281">
        <f t="shared" ref="F46:F88" si="3">+C46*E46</f>
        <v>0</v>
      </c>
    </row>
    <row r="47" spans="1:8" ht="27.6">
      <c r="A47" s="285"/>
      <c r="B47" s="280" t="s">
        <v>410</v>
      </c>
      <c r="C47" s="361">
        <f>(3.85*2.3+7.7*0.97+8*9.8+2*2.15+2*1.6)*0.08</f>
        <v>8.1779200000000003</v>
      </c>
      <c r="D47" s="280" t="s">
        <v>9</v>
      </c>
      <c r="E47" s="281">
        <f>'AN BETON TYPE MAPLE'!F448</f>
        <v>1351330.8531746031</v>
      </c>
      <c r="F47" s="281">
        <f t="shared" si="3"/>
        <v>11051075.61079365</v>
      </c>
    </row>
    <row r="48" spans="1:8" ht="27.6">
      <c r="A48" s="285"/>
      <c r="B48" s="280" t="s">
        <v>411</v>
      </c>
      <c r="C48" s="361">
        <f>6.2*5*0.1</f>
        <v>3.1</v>
      </c>
      <c r="D48" s="280" t="s">
        <v>9</v>
      </c>
      <c r="E48" s="281">
        <f>'AN BETON TYPE MAPLE'!F444</f>
        <v>1378456.7901234569</v>
      </c>
      <c r="F48" s="281">
        <f t="shared" si="3"/>
        <v>4273216.0493827164</v>
      </c>
    </row>
    <row r="49" spans="1:6">
      <c r="A49" s="285"/>
      <c r="B49" s="280" t="s">
        <v>864</v>
      </c>
      <c r="C49" s="361">
        <f>0.12*0.12*4.25*22</f>
        <v>1.3464</v>
      </c>
      <c r="D49" s="280" t="s">
        <v>9</v>
      </c>
      <c r="E49" s="281">
        <f>'AN BETON TYPE MAPLE'!F115</f>
        <v>5921152.0207294449</v>
      </c>
      <c r="F49" s="281">
        <f t="shared" si="3"/>
        <v>7972239.0807101252</v>
      </c>
    </row>
    <row r="50" spans="1:6">
      <c r="A50" s="285"/>
      <c r="B50" s="280" t="s">
        <v>412</v>
      </c>
      <c r="C50" s="361">
        <f>0.13*0.2*4.25*2</f>
        <v>0.22100000000000003</v>
      </c>
      <c r="D50" s="280" t="s">
        <v>9</v>
      </c>
      <c r="E50" s="281">
        <f>'AN BETON TYPE MAPLE'!F133</f>
        <v>6620256.3551628552</v>
      </c>
      <c r="F50" s="281">
        <f t="shared" si="3"/>
        <v>1463076.6544909913</v>
      </c>
    </row>
    <row r="51" spans="1:6">
      <c r="A51" s="285"/>
      <c r="B51" s="280" t="s">
        <v>413</v>
      </c>
      <c r="C51" s="361">
        <f>0.13*0.4*4.25*6</f>
        <v>1.3260000000000001</v>
      </c>
      <c r="D51" s="280" t="s">
        <v>9</v>
      </c>
      <c r="E51" s="281">
        <f>'AN BETON TYPE MAPLE'!F145</f>
        <v>5533660.8068890572</v>
      </c>
      <c r="F51" s="281">
        <f t="shared" si="3"/>
        <v>7337634.2299348898</v>
      </c>
    </row>
    <row r="52" spans="1:6">
      <c r="A52" s="285"/>
      <c r="B52" s="280" t="s">
        <v>414</v>
      </c>
      <c r="C52" s="361">
        <f>0.13*0.5*4.25*5</f>
        <v>1.3812500000000001</v>
      </c>
      <c r="D52" s="280" t="s">
        <v>9</v>
      </c>
      <c r="E52" s="281">
        <f>'AN BETON TYPE MAPLE'!F151</f>
        <v>5071334.3098469097</v>
      </c>
      <c r="F52" s="281">
        <f t="shared" si="3"/>
        <v>7004780.5154760443</v>
      </c>
    </row>
    <row r="53" spans="1:6">
      <c r="A53" s="285"/>
      <c r="B53" s="280" t="s">
        <v>415</v>
      </c>
      <c r="C53" s="361">
        <f>0.13*0.6*4.25*2</f>
        <v>0.66300000000000003</v>
      </c>
      <c r="D53" s="280" t="s">
        <v>9</v>
      </c>
      <c r="E53" s="281">
        <f>'AN BETON TYPE MAPLE'!F157</f>
        <v>5138794.6391461398</v>
      </c>
      <c r="F53" s="281">
        <f t="shared" si="3"/>
        <v>3407020.8457538909</v>
      </c>
    </row>
    <row r="54" spans="1:6">
      <c r="A54" s="285"/>
      <c r="B54" s="280" t="s">
        <v>416</v>
      </c>
      <c r="C54" s="356">
        <v>0</v>
      </c>
      <c r="D54" s="280" t="s">
        <v>9</v>
      </c>
      <c r="E54" s="281">
        <f>'AN BETON TYPE MAPLE'!F163</f>
        <v>4864970.8795078788</v>
      </c>
      <c r="F54" s="281">
        <f t="shared" si="3"/>
        <v>0</v>
      </c>
    </row>
    <row r="55" spans="1:6">
      <c r="A55" s="285"/>
      <c r="B55" s="280" t="s">
        <v>417</v>
      </c>
      <c r="C55" s="356">
        <v>0</v>
      </c>
      <c r="D55" s="280" t="s">
        <v>9</v>
      </c>
      <c r="E55" s="281">
        <f>'AN BETON TYPE MAPLE'!F169</f>
        <v>5002613.4021215271</v>
      </c>
      <c r="F55" s="281">
        <f t="shared" si="3"/>
        <v>0</v>
      </c>
    </row>
    <row r="56" spans="1:6">
      <c r="A56" s="285"/>
      <c r="B56" s="280" t="s">
        <v>418</v>
      </c>
      <c r="C56" s="361">
        <f>0.13*0.9*4.25*1</f>
        <v>0.49725000000000003</v>
      </c>
      <c r="D56" s="280" t="s">
        <v>9</v>
      </c>
      <c r="E56" s="281">
        <f>'AN BETON TYPE MAPLE'!F175</f>
        <v>5129894.2004137011</v>
      </c>
      <c r="F56" s="281">
        <f t="shared" si="3"/>
        <v>2550839.8911557132</v>
      </c>
    </row>
    <row r="57" spans="1:6">
      <c r="A57" s="285"/>
      <c r="B57" s="280" t="s">
        <v>419</v>
      </c>
      <c r="C57" s="361">
        <f>0.15*0.9*4.25*1</f>
        <v>0.57374999999999998</v>
      </c>
      <c r="D57" s="280" t="s">
        <v>9</v>
      </c>
      <c r="E57" s="281">
        <f>'AN BETON TYPE MAPLE'!F181</f>
        <v>4999268.1412650412</v>
      </c>
      <c r="F57" s="281">
        <f t="shared" si="3"/>
        <v>2868330.0960508175</v>
      </c>
    </row>
    <row r="58" spans="1:6">
      <c r="A58" s="285"/>
      <c r="B58" s="280" t="s">
        <v>420</v>
      </c>
      <c r="C58" s="361">
        <f>0.13*0.53*4.25*1</f>
        <v>0.292825</v>
      </c>
      <c r="D58" s="280" t="s">
        <v>9</v>
      </c>
      <c r="E58" s="281">
        <f>'AN BETON TYPE MAPLE'!F187</f>
        <v>6219604.4888366628</v>
      </c>
      <c r="F58" s="281">
        <f t="shared" si="3"/>
        <v>1821255.6844435958</v>
      </c>
    </row>
    <row r="59" spans="1:6">
      <c r="A59" s="285"/>
      <c r="B59" s="280" t="s">
        <v>421</v>
      </c>
      <c r="C59" s="361">
        <f>0.13*0.93*4.25*1</f>
        <v>0.51382499999999998</v>
      </c>
      <c r="D59" s="280" t="s">
        <v>9</v>
      </c>
      <c r="E59" s="281">
        <f>'AN BETON TYPE MAPLE'!F193</f>
        <v>5712394.3039721549</v>
      </c>
      <c r="F59" s="281">
        <f t="shared" si="3"/>
        <v>2935171.0032384922</v>
      </c>
    </row>
    <row r="60" spans="1:6">
      <c r="A60" s="285"/>
      <c r="B60" s="285"/>
      <c r="C60" s="361"/>
      <c r="D60" s="285"/>
      <c r="E60" s="281"/>
      <c r="F60" s="281">
        <f t="shared" si="3"/>
        <v>0</v>
      </c>
    </row>
    <row r="61" spans="1:6">
      <c r="A61" s="285"/>
      <c r="B61" s="280" t="s">
        <v>199</v>
      </c>
      <c r="C61" s="361"/>
      <c r="D61" s="285"/>
      <c r="E61" s="281"/>
      <c r="F61" s="281">
        <f t="shared" si="3"/>
        <v>0</v>
      </c>
    </row>
    <row r="62" spans="1:6">
      <c r="A62" s="285"/>
      <c r="B62" s="280" t="s">
        <v>865</v>
      </c>
      <c r="C62" s="361">
        <f>0.12*0.12*3.8*34</f>
        <v>1.8604799999999999</v>
      </c>
      <c r="D62" s="280" t="s">
        <v>9</v>
      </c>
      <c r="E62" s="281">
        <f>E49</f>
        <v>5921152.0207294449</v>
      </c>
      <c r="F62" s="281">
        <f t="shared" si="3"/>
        <v>11016184.911526717</v>
      </c>
    </row>
    <row r="63" spans="1:6">
      <c r="A63" s="285"/>
      <c r="B63" s="280" t="s">
        <v>422</v>
      </c>
      <c r="C63" s="361">
        <f>0.13*0.2*3.8</f>
        <v>9.8799999999999999E-2</v>
      </c>
      <c r="D63" s="280" t="s">
        <v>9</v>
      </c>
      <c r="E63" s="281">
        <f>E50</f>
        <v>6620256.3551628552</v>
      </c>
      <c r="F63" s="281">
        <f t="shared" si="3"/>
        <v>654081.32789009006</v>
      </c>
    </row>
    <row r="64" spans="1:6">
      <c r="A64" s="285"/>
      <c r="B64" s="280" t="s">
        <v>423</v>
      </c>
      <c r="C64" s="361">
        <f>0.13*0.3*3.8*18</f>
        <v>2.6676000000000002</v>
      </c>
      <c r="D64" s="280" t="s">
        <v>9</v>
      </c>
      <c r="E64" s="281">
        <f>'AN BETON TYPE MAPLE'!F139</f>
        <v>5552848.9806379806</v>
      </c>
      <c r="F64" s="281">
        <f t="shared" si="3"/>
        <v>14812779.940749878</v>
      </c>
    </row>
    <row r="65" spans="1:6">
      <c r="A65" s="285"/>
      <c r="B65" s="280" t="s">
        <v>424</v>
      </c>
      <c r="C65" s="356">
        <v>0</v>
      </c>
      <c r="D65" s="280" t="s">
        <v>9</v>
      </c>
      <c r="E65" s="281">
        <f>'AN BETON TYPE MAPLE'!F145</f>
        <v>5533660.8068890572</v>
      </c>
      <c r="F65" s="281">
        <f t="shared" si="3"/>
        <v>0</v>
      </c>
    </row>
    <row r="66" spans="1:6">
      <c r="A66" s="285"/>
      <c r="B66" s="280" t="s">
        <v>425</v>
      </c>
      <c r="C66" s="361">
        <f>0.13*0.3*18.8</f>
        <v>0.73320000000000007</v>
      </c>
      <c r="D66" s="280" t="s">
        <v>9</v>
      </c>
      <c r="E66" s="281">
        <f>'AN BETON TYPE MAPLE'!F259</f>
        <v>3569825.4991925494</v>
      </c>
      <c r="F66" s="281">
        <f t="shared" si="3"/>
        <v>2617396.0560079776</v>
      </c>
    </row>
    <row r="67" spans="1:6">
      <c r="A67" s="285"/>
      <c r="B67" s="280" t="s">
        <v>426</v>
      </c>
      <c r="C67" s="361">
        <f>0.13*0.3*18</f>
        <v>0.70199999999999996</v>
      </c>
      <c r="D67" s="280" t="s">
        <v>9</v>
      </c>
      <c r="E67" s="281">
        <f>'AN BETON TYPE MAPLE'!F265</f>
        <v>4154450.8189430698</v>
      </c>
      <c r="F67" s="281">
        <f t="shared" si="3"/>
        <v>2916424.4748980347</v>
      </c>
    </row>
    <row r="68" spans="1:6">
      <c r="A68" s="285"/>
      <c r="B68" s="280" t="s">
        <v>427</v>
      </c>
      <c r="C68" s="361">
        <f>0.13*0.4*69.15</f>
        <v>3.5958000000000006</v>
      </c>
      <c r="D68" s="280" t="s">
        <v>9</v>
      </c>
      <c r="E68" s="281">
        <f>'AN BETON TYPE MAPLE'!F289</f>
        <v>3844926.4927038052</v>
      </c>
      <c r="F68" s="281">
        <f t="shared" si="3"/>
        <v>13825586.682464344</v>
      </c>
    </row>
    <row r="69" spans="1:6">
      <c r="A69" s="285"/>
      <c r="B69" s="280" t="s">
        <v>428</v>
      </c>
      <c r="C69" s="361">
        <f>0.13*0.4*7.2</f>
        <v>0.37440000000000007</v>
      </c>
      <c r="D69" s="280" t="s">
        <v>9</v>
      </c>
      <c r="E69" s="281">
        <f>'AN BETON TYPE MAPLE'!F301</f>
        <v>4771420.6536099035</v>
      </c>
      <c r="F69" s="281">
        <f t="shared" si="3"/>
        <v>1786419.8927115481</v>
      </c>
    </row>
    <row r="70" spans="1:6">
      <c r="A70" s="285"/>
      <c r="B70" s="280" t="s">
        <v>429</v>
      </c>
      <c r="C70" s="361">
        <f>0.13*0.4*4.7</f>
        <v>0.24440000000000003</v>
      </c>
      <c r="D70" s="280" t="s">
        <v>9</v>
      </c>
      <c r="E70" s="281">
        <f>'AN BETON TYPE MAPLE'!F319</f>
        <v>3979680.5557668684</v>
      </c>
      <c r="F70" s="281">
        <f t="shared" si="3"/>
        <v>972633.92782942276</v>
      </c>
    </row>
    <row r="71" spans="1:6">
      <c r="A71" s="285"/>
      <c r="B71" s="280" t="s">
        <v>430</v>
      </c>
      <c r="C71" s="361">
        <f>0.13*0.4*3.7</f>
        <v>0.19240000000000002</v>
      </c>
      <c r="D71" s="280" t="s">
        <v>9</v>
      </c>
      <c r="E71" s="281">
        <f>'AN BETON TYPE MAPLE'!F325</f>
        <v>4022733.6567284069</v>
      </c>
      <c r="F71" s="281">
        <f t="shared" si="3"/>
        <v>773973.95555454551</v>
      </c>
    </row>
    <row r="72" spans="1:6">
      <c r="A72" s="285"/>
      <c r="B72" s="280" t="s">
        <v>431</v>
      </c>
      <c r="C72" s="356">
        <v>0</v>
      </c>
      <c r="D72" s="280" t="s">
        <v>9</v>
      </c>
      <c r="E72" s="360">
        <v>0</v>
      </c>
      <c r="F72" s="281">
        <f t="shared" si="3"/>
        <v>0</v>
      </c>
    </row>
    <row r="73" spans="1:6">
      <c r="A73" s="285"/>
      <c r="B73" s="280" t="s">
        <v>432</v>
      </c>
      <c r="C73" s="361">
        <f>0.13*0.4*3.7</f>
        <v>0.19240000000000002</v>
      </c>
      <c r="D73" s="280" t="s">
        <v>9</v>
      </c>
      <c r="E73" s="281">
        <f>'AN BETON TYPE MAPLE'!F337</f>
        <v>4426995.8459175956</v>
      </c>
      <c r="F73" s="281">
        <f t="shared" si="3"/>
        <v>851754.00075454544</v>
      </c>
    </row>
    <row r="74" spans="1:6">
      <c r="A74" s="285"/>
      <c r="B74" s="280" t="s">
        <v>433</v>
      </c>
      <c r="C74" s="361">
        <f>0.13*0.5*8.4</f>
        <v>0.54600000000000004</v>
      </c>
      <c r="D74" s="280" t="s">
        <v>9</v>
      </c>
      <c r="E74" s="281">
        <f>'AN BETON TYPE MAPLE'!F344</f>
        <v>3808462.6469602468</v>
      </c>
      <c r="F74" s="281">
        <f t="shared" si="3"/>
        <v>2079420.6052402949</v>
      </c>
    </row>
    <row r="75" spans="1:6">
      <c r="A75" s="285"/>
      <c r="B75" s="280" t="s">
        <v>434</v>
      </c>
      <c r="C75" s="361">
        <f>0.13*0.5*7.9</f>
        <v>0.51350000000000007</v>
      </c>
      <c r="D75" s="280" t="s">
        <v>9</v>
      </c>
      <c r="E75" s="281">
        <f>'AN BETON TYPE MAPLE'!F351</f>
        <v>4223719.0136962142</v>
      </c>
      <c r="F75" s="281">
        <f t="shared" si="3"/>
        <v>2168879.7135330061</v>
      </c>
    </row>
    <row r="76" spans="1:6">
      <c r="A76" s="285"/>
      <c r="B76" s="280" t="s">
        <v>435</v>
      </c>
      <c r="C76" s="361">
        <f>0.13*0.5*5.8</f>
        <v>0.377</v>
      </c>
      <c r="D76" s="280" t="s">
        <v>9</v>
      </c>
      <c r="E76" s="281">
        <f>'AN BETON TYPE MAPLE'!F358</f>
        <v>4453335.5521577522</v>
      </c>
      <c r="F76" s="281">
        <f t="shared" si="3"/>
        <v>1678907.5031634725</v>
      </c>
    </row>
    <row r="77" spans="1:6">
      <c r="A77" s="285"/>
      <c r="B77" s="280" t="s">
        <v>436</v>
      </c>
      <c r="C77" s="361">
        <f>0.2*0.5*2.5</f>
        <v>0.25</v>
      </c>
      <c r="D77" s="280" t="s">
        <v>9</v>
      </c>
      <c r="E77" s="281">
        <f>'AN BETON TYPE MAPLE'!F379</f>
        <v>3763392.0450255945</v>
      </c>
      <c r="F77" s="281">
        <f t="shared" si="3"/>
        <v>940848.01125639863</v>
      </c>
    </row>
    <row r="78" spans="1:6">
      <c r="A78" s="285"/>
      <c r="B78" s="280" t="s">
        <v>437</v>
      </c>
      <c r="C78" s="361">
        <f>0.2*0.5*3.5</f>
        <v>0.35000000000000003</v>
      </c>
      <c r="D78" s="280" t="s">
        <v>9</v>
      </c>
      <c r="E78" s="281">
        <f>'AN BETON TYPE MAPLE'!F386</f>
        <v>3549044.2072328012</v>
      </c>
      <c r="F78" s="281">
        <f t="shared" si="3"/>
        <v>1242165.4725314805</v>
      </c>
    </row>
    <row r="79" spans="1:6">
      <c r="A79" s="285"/>
      <c r="B79" s="280" t="s">
        <v>438</v>
      </c>
      <c r="C79" s="361">
        <f>0.13*0.5*2.6</f>
        <v>0.16900000000000001</v>
      </c>
      <c r="D79" s="280" t="s">
        <v>9</v>
      </c>
      <c r="E79" s="281">
        <f>'AN BETON TYPE MAPLE'!F365</f>
        <v>4161839.0709380712</v>
      </c>
      <c r="F79" s="281">
        <f t="shared" si="3"/>
        <v>703350.80298853409</v>
      </c>
    </row>
    <row r="80" spans="1:6">
      <c r="A80" s="285"/>
      <c r="B80" s="280" t="s">
        <v>439</v>
      </c>
      <c r="C80" s="361">
        <f>0.13*0.5*2.6</f>
        <v>0.16900000000000001</v>
      </c>
      <c r="D80" s="280" t="s">
        <v>9</v>
      </c>
      <c r="E80" s="281">
        <f>'AN BETON TYPE MAPLE'!F372</f>
        <v>4377445.5718389722</v>
      </c>
      <c r="F80" s="281">
        <f t="shared" si="3"/>
        <v>739788.30164078635</v>
      </c>
    </row>
    <row r="81" spans="1:6">
      <c r="A81" s="285"/>
      <c r="B81" s="286" t="s">
        <v>397</v>
      </c>
      <c r="C81" s="361"/>
      <c r="D81" s="280"/>
      <c r="E81" s="281"/>
      <c r="F81" s="281">
        <f t="shared" si="3"/>
        <v>0</v>
      </c>
    </row>
    <row r="82" spans="1:6">
      <c r="A82" s="285"/>
      <c r="B82" s="286" t="s">
        <v>685</v>
      </c>
      <c r="C82" s="361">
        <f>0.13*0.3*4.25*3</f>
        <v>0.49725000000000003</v>
      </c>
      <c r="D82" s="280" t="s">
        <v>9</v>
      </c>
      <c r="E82" s="281">
        <f>'AN BETON TYPE MAPLE'!F139</f>
        <v>5552848.9806379806</v>
      </c>
      <c r="F82" s="281">
        <f t="shared" si="3"/>
        <v>2761154.155622236</v>
      </c>
    </row>
    <row r="83" spans="1:6">
      <c r="A83" s="285"/>
      <c r="B83" s="286" t="s">
        <v>686</v>
      </c>
      <c r="C83" s="361">
        <f>(0.35+0.12)*0.1/2*3.8*4</f>
        <v>0.35719999999999996</v>
      </c>
      <c r="D83" s="280" t="s">
        <v>9</v>
      </c>
      <c r="E83" s="281">
        <f>'AN BETON TYPE MAPLE'!F121</f>
        <v>6402278.9530439535</v>
      </c>
      <c r="F83" s="281">
        <f t="shared" si="3"/>
        <v>2286894.0420272998</v>
      </c>
    </row>
    <row r="84" spans="1:6">
      <c r="A84" s="285"/>
      <c r="B84" s="286" t="s">
        <v>687</v>
      </c>
      <c r="C84" s="361">
        <f>0.13*0.3*3.1</f>
        <v>0.12090000000000001</v>
      </c>
      <c r="D84" s="280" t="s">
        <v>9</v>
      </c>
      <c r="E84" s="281">
        <f>'AN BETON TYPE MAPLE'!F211</f>
        <v>3716678.6955794957</v>
      </c>
      <c r="F84" s="281">
        <f t="shared" si="3"/>
        <v>449346.45429556107</v>
      </c>
    </row>
    <row r="85" spans="1:6">
      <c r="A85" s="285"/>
      <c r="B85" s="286" t="s">
        <v>688</v>
      </c>
      <c r="C85" s="361">
        <f>0.13*0.3*2</f>
        <v>7.8E-2</v>
      </c>
      <c r="D85" s="280" t="s">
        <v>9</v>
      </c>
      <c r="E85" s="281">
        <f>'AN BETON TYPE MAPLE'!F271</f>
        <v>4556279.7612507623</v>
      </c>
      <c r="F85" s="281">
        <f t="shared" si="3"/>
        <v>355389.82137755945</v>
      </c>
    </row>
    <row r="86" spans="1:6">
      <c r="A86" s="285"/>
      <c r="B86" s="286" t="s">
        <v>689</v>
      </c>
      <c r="C86" s="361">
        <f>0.13*0.15*2.5</f>
        <v>4.8750000000000002E-2</v>
      </c>
      <c r="D86" s="280" t="s">
        <v>9</v>
      </c>
      <c r="E86" s="281">
        <f>'AN BETON TYPE MAPLE'!F229</f>
        <v>4325349.279270879</v>
      </c>
      <c r="F86" s="281">
        <f t="shared" si="3"/>
        <v>210860.77736445537</v>
      </c>
    </row>
    <row r="87" spans="1:6">
      <c r="A87" s="285"/>
      <c r="B87" s="286" t="s">
        <v>690</v>
      </c>
      <c r="C87" s="361">
        <f>0.13*0.2*6.6</f>
        <v>0.1716</v>
      </c>
      <c r="D87" s="280" t="s">
        <v>9</v>
      </c>
      <c r="E87" s="281">
        <f>'AN BETON TYPE MAPLE'!F235</f>
        <v>3694481.5092783347</v>
      </c>
      <c r="F87" s="281">
        <f t="shared" si="3"/>
        <v>633973.02699216222</v>
      </c>
    </row>
    <row r="88" spans="1:6">
      <c r="A88" s="285"/>
      <c r="B88" s="286" t="s">
        <v>691</v>
      </c>
      <c r="C88" s="361">
        <f>0.13*0.2*5.6</f>
        <v>0.14560000000000001</v>
      </c>
      <c r="D88" s="280" t="s">
        <v>9</v>
      </c>
      <c r="E88" s="281">
        <f>'AN BETON TYPE MAPLE'!F241</f>
        <v>4667093.0465964219</v>
      </c>
      <c r="F88" s="281">
        <f t="shared" si="3"/>
        <v>679528.747584439</v>
      </c>
    </row>
    <row r="89" spans="1:6">
      <c r="A89" s="285"/>
      <c r="B89" s="280"/>
      <c r="C89" s="361"/>
      <c r="D89" s="280"/>
      <c r="E89" s="281"/>
      <c r="F89" s="281"/>
    </row>
    <row r="90" spans="1:6" ht="27.6">
      <c r="A90" s="282" t="s">
        <v>176</v>
      </c>
      <c r="B90" s="282" t="s">
        <v>12</v>
      </c>
      <c r="C90" s="375"/>
      <c r="D90" s="282" t="s">
        <v>9</v>
      </c>
      <c r="E90" s="283"/>
      <c r="F90" s="284">
        <f>SUM(F91:F117)</f>
        <v>30793040.88651751</v>
      </c>
    </row>
    <row r="91" spans="1:6">
      <c r="A91" s="285"/>
      <c r="B91" s="280" t="s">
        <v>440</v>
      </c>
      <c r="C91" s="361"/>
      <c r="D91" s="280" t="s">
        <v>9</v>
      </c>
      <c r="E91" s="281"/>
      <c r="F91" s="281">
        <f>+C91*E91</f>
        <v>0</v>
      </c>
    </row>
    <row r="92" spans="1:6">
      <c r="A92" s="285"/>
      <c r="B92" s="280" t="s">
        <v>867</v>
      </c>
      <c r="C92" s="356">
        <v>0</v>
      </c>
      <c r="D92" s="280" t="s">
        <v>9</v>
      </c>
      <c r="E92" s="281">
        <f>E62</f>
        <v>5921152.0207294449</v>
      </c>
      <c r="F92" s="281">
        <f t="shared" ref="F92:F117" si="4">+C92*E92</f>
        <v>0</v>
      </c>
    </row>
    <row r="93" spans="1:6">
      <c r="A93" s="285"/>
      <c r="B93" s="280" t="s">
        <v>422</v>
      </c>
      <c r="C93" s="361">
        <f>0.13*0.2*1.5*6</f>
        <v>0.23400000000000004</v>
      </c>
      <c r="D93" s="280" t="s">
        <v>9</v>
      </c>
      <c r="E93" s="281">
        <f>E63</f>
        <v>6620256.3551628552</v>
      </c>
      <c r="F93" s="281">
        <f t="shared" si="4"/>
        <v>1549139.9871081084</v>
      </c>
    </row>
    <row r="94" spans="1:6">
      <c r="A94" s="285"/>
      <c r="B94" s="280" t="s">
        <v>423</v>
      </c>
      <c r="C94" s="356">
        <v>0</v>
      </c>
      <c r="D94" s="280" t="s">
        <v>9</v>
      </c>
      <c r="E94" s="281">
        <f>E64</f>
        <v>5552848.9806379806</v>
      </c>
      <c r="F94" s="281">
        <f t="shared" si="4"/>
        <v>0</v>
      </c>
    </row>
    <row r="95" spans="1:6">
      <c r="A95" s="285"/>
      <c r="B95" s="280" t="s">
        <v>441</v>
      </c>
      <c r="C95" s="361">
        <f>0.13*0.3*25.45</f>
        <v>0.99254999999999993</v>
      </c>
      <c r="D95" s="280" t="s">
        <v>9</v>
      </c>
      <c r="E95" s="281">
        <f>E66</f>
        <v>3569825.4991925494</v>
      </c>
      <c r="F95" s="281">
        <f t="shared" si="4"/>
        <v>3543230.2992235646</v>
      </c>
    </row>
    <row r="96" spans="1:6">
      <c r="A96" s="285"/>
      <c r="B96" s="280" t="s">
        <v>442</v>
      </c>
      <c r="C96" s="361">
        <f>0.13*0.3*26.6</f>
        <v>1.0374000000000001</v>
      </c>
      <c r="D96" s="280" t="s">
        <v>9</v>
      </c>
      <c r="E96" s="281">
        <f>'AN BETON TYPE MAPLE'!F265</f>
        <v>4154450.8189430698</v>
      </c>
      <c r="F96" s="281">
        <f t="shared" si="4"/>
        <v>4309827.2795715407</v>
      </c>
    </row>
    <row r="97" spans="1:6">
      <c r="A97" s="285"/>
      <c r="B97" s="280" t="s">
        <v>443</v>
      </c>
      <c r="C97" s="361">
        <f>0.13*0.4*4.2</f>
        <v>0.21840000000000004</v>
      </c>
      <c r="D97" s="280" t="s">
        <v>9</v>
      </c>
      <c r="E97" s="281">
        <f>'AN BETON TYPE MAPLE'!F283</f>
        <v>3406457.5028909156</v>
      </c>
      <c r="F97" s="281">
        <f t="shared" si="4"/>
        <v>743970.31863137614</v>
      </c>
    </row>
    <row r="98" spans="1:6">
      <c r="A98" s="285"/>
      <c r="B98" s="280" t="s">
        <v>427</v>
      </c>
      <c r="C98" s="361">
        <f>0.13*0.4*19.6</f>
        <v>1.0192000000000001</v>
      </c>
      <c r="D98" s="280" t="s">
        <v>9</v>
      </c>
      <c r="E98" s="281">
        <f>'AN BETON TYPE MAPLE'!F289</f>
        <v>3844926.4927038052</v>
      </c>
      <c r="F98" s="281">
        <f t="shared" si="4"/>
        <v>3918749.0813637185</v>
      </c>
    </row>
    <row r="99" spans="1:6">
      <c r="A99" s="285"/>
      <c r="B99" s="280" t="s">
        <v>444</v>
      </c>
      <c r="C99" s="361">
        <f>0.13*0.4*9</f>
        <v>0.46800000000000003</v>
      </c>
      <c r="D99" s="280" t="s">
        <v>9</v>
      </c>
      <c r="E99" s="281">
        <f>'AN BETON TYPE MAPLE'!F295</f>
        <v>4426995.8459175956</v>
      </c>
      <c r="F99" s="281">
        <f t="shared" si="4"/>
        <v>2071834.0558894349</v>
      </c>
    </row>
    <row r="100" spans="1:6">
      <c r="A100" s="285"/>
      <c r="B100" s="280" t="s">
        <v>445</v>
      </c>
      <c r="C100" s="361">
        <f>0.13*0.4*7.7</f>
        <v>0.40040000000000003</v>
      </c>
      <c r="D100" s="280" t="s">
        <v>9</v>
      </c>
      <c r="E100" s="281">
        <f>'AN BETON TYPE MAPLE'!F301</f>
        <v>4771420.6536099035</v>
      </c>
      <c r="F100" s="281">
        <f t="shared" si="4"/>
        <v>1910476.8297054055</v>
      </c>
    </row>
    <row r="101" spans="1:6">
      <c r="A101" s="285"/>
      <c r="B101" s="280" t="s">
        <v>446</v>
      </c>
      <c r="C101" s="361">
        <f>0.13*0.4*7</f>
        <v>0.36400000000000005</v>
      </c>
      <c r="D101" s="280" t="s">
        <v>9</v>
      </c>
      <c r="E101" s="281">
        <f>'AN BETON TYPE MAPLE'!F319</f>
        <v>3979680.5557668684</v>
      </c>
      <c r="F101" s="281">
        <f t="shared" si="4"/>
        <v>1448603.7222991402</v>
      </c>
    </row>
    <row r="102" spans="1:6">
      <c r="A102" s="285"/>
      <c r="B102" s="280" t="s">
        <v>447</v>
      </c>
      <c r="C102" s="356">
        <v>0</v>
      </c>
      <c r="D102" s="280" t="s">
        <v>9</v>
      </c>
      <c r="E102" s="281">
        <v>0</v>
      </c>
      <c r="F102" s="281">
        <f t="shared" si="4"/>
        <v>0</v>
      </c>
    </row>
    <row r="103" spans="1:6">
      <c r="A103" s="285"/>
      <c r="B103" s="280" t="s">
        <v>448</v>
      </c>
      <c r="C103" s="356">
        <v>0</v>
      </c>
      <c r="D103" s="280" t="s">
        <v>9</v>
      </c>
      <c r="E103" s="281">
        <f>'AN BETON TYPE MAPLE'!F351</f>
        <v>4223719.0136962142</v>
      </c>
      <c r="F103" s="281">
        <f t="shared" si="4"/>
        <v>0</v>
      </c>
    </row>
    <row r="104" spans="1:6">
      <c r="A104" s="285"/>
      <c r="B104" s="285"/>
      <c r="C104" s="361"/>
      <c r="D104" s="285"/>
      <c r="E104" s="281"/>
      <c r="F104" s="281">
        <f t="shared" si="4"/>
        <v>0</v>
      </c>
    </row>
    <row r="105" spans="1:6">
      <c r="A105" s="285"/>
      <c r="B105" s="280" t="s">
        <v>449</v>
      </c>
      <c r="C105" s="361"/>
      <c r="D105" s="285"/>
      <c r="E105" s="281"/>
      <c r="F105" s="281">
        <f t="shared" si="4"/>
        <v>0</v>
      </c>
    </row>
    <row r="106" spans="1:6">
      <c r="A106" s="285"/>
      <c r="B106" s="280" t="s">
        <v>450</v>
      </c>
      <c r="C106" s="356">
        <v>0</v>
      </c>
      <c r="D106" s="280" t="s">
        <v>9</v>
      </c>
      <c r="E106" s="281">
        <f>E95</f>
        <v>3569825.4991925494</v>
      </c>
      <c r="F106" s="281">
        <f t="shared" si="4"/>
        <v>0</v>
      </c>
    </row>
    <row r="107" spans="1:6">
      <c r="A107" s="285"/>
      <c r="B107" s="280" t="s">
        <v>451</v>
      </c>
      <c r="C107" s="356">
        <v>0</v>
      </c>
      <c r="D107" s="280" t="s">
        <v>9</v>
      </c>
      <c r="E107" s="281">
        <v>0</v>
      </c>
      <c r="F107" s="281">
        <f t="shared" si="4"/>
        <v>0</v>
      </c>
    </row>
    <row r="108" spans="1:6" ht="27.6">
      <c r="A108" s="285"/>
      <c r="B108" s="280" t="s">
        <v>452</v>
      </c>
      <c r="C108" s="356">
        <v>0</v>
      </c>
      <c r="D108" s="280" t="s">
        <v>9</v>
      </c>
      <c r="E108" s="281">
        <v>0</v>
      </c>
      <c r="F108" s="281">
        <f t="shared" si="4"/>
        <v>0</v>
      </c>
    </row>
    <row r="109" spans="1:6" ht="27.6">
      <c r="A109" s="285"/>
      <c r="B109" s="280" t="s">
        <v>453</v>
      </c>
      <c r="C109" s="356">
        <v>0</v>
      </c>
      <c r="D109" s="280" t="s">
        <v>9</v>
      </c>
      <c r="E109" s="281">
        <v>0</v>
      </c>
      <c r="F109" s="281">
        <f t="shared" si="4"/>
        <v>0</v>
      </c>
    </row>
    <row r="110" spans="1:6" ht="27.6">
      <c r="A110" s="285"/>
      <c r="B110" s="280" t="s">
        <v>454</v>
      </c>
      <c r="C110" s="361">
        <f>+(4.1*0.8*0.1)</f>
        <v>0.32800000000000001</v>
      </c>
      <c r="D110" s="280" t="s">
        <v>9</v>
      </c>
      <c r="E110" s="281">
        <f>'AN BETON TYPE MAPLE'!F402</f>
        <v>3322371.9090909092</v>
      </c>
      <c r="F110" s="281">
        <f t="shared" si="4"/>
        <v>1089737.9861818182</v>
      </c>
    </row>
    <row r="111" spans="1:6">
      <c r="A111" s="285"/>
      <c r="B111" s="286" t="s">
        <v>397</v>
      </c>
      <c r="C111" s="361"/>
      <c r="D111" s="280"/>
      <c r="E111" s="281"/>
      <c r="F111" s="281">
        <f t="shared" si="4"/>
        <v>0</v>
      </c>
    </row>
    <row r="112" spans="1:6">
      <c r="A112" s="285"/>
      <c r="B112" s="286" t="s">
        <v>692</v>
      </c>
      <c r="C112" s="361">
        <f>0.13*0.2*29.1</f>
        <v>0.75660000000000005</v>
      </c>
      <c r="D112" s="280" t="s">
        <v>9</v>
      </c>
      <c r="E112" s="281">
        <f>'AN BETON TYPE MAPLE'!F235</f>
        <v>3694481.5092783347</v>
      </c>
      <c r="F112" s="281">
        <f t="shared" si="4"/>
        <v>2795244.7099199882</v>
      </c>
    </row>
    <row r="113" spans="1:6">
      <c r="A113" s="285"/>
      <c r="B113" s="286" t="s">
        <v>693</v>
      </c>
      <c r="C113" s="361">
        <f>0.13*0.2*8.5</f>
        <v>0.22100000000000003</v>
      </c>
      <c r="D113" s="280" t="s">
        <v>9</v>
      </c>
      <c r="E113" s="281">
        <f>'AN BETON TYPE MAPLE'!F247</f>
        <v>3694481.5092783347</v>
      </c>
      <c r="F113" s="281">
        <f t="shared" si="4"/>
        <v>816480.41355051205</v>
      </c>
    </row>
    <row r="114" spans="1:6">
      <c r="A114" s="285"/>
      <c r="B114" s="286" t="s">
        <v>694</v>
      </c>
      <c r="C114" s="361">
        <f>0.13*0.2*33.5</f>
        <v>0.87100000000000011</v>
      </c>
      <c r="D114" s="280" t="s">
        <v>9</v>
      </c>
      <c r="E114" s="281">
        <f>'AN BETON TYPE MAPLE'!F253</f>
        <v>4571419.4889041139</v>
      </c>
      <c r="F114" s="281">
        <f t="shared" si="4"/>
        <v>3981706.3748354837</v>
      </c>
    </row>
    <row r="115" spans="1:6">
      <c r="A115" s="285"/>
      <c r="B115" s="286" t="s">
        <v>695</v>
      </c>
      <c r="C115" s="361">
        <f>0.13*0.4*2.5</f>
        <v>0.13</v>
      </c>
      <c r="D115" s="280" t="s">
        <v>9</v>
      </c>
      <c r="E115" s="281">
        <f>'AN BETON TYPE MAPLE'!F307</f>
        <v>4470048.9468791336</v>
      </c>
      <c r="F115" s="281">
        <f t="shared" si="4"/>
        <v>581106.36309428734</v>
      </c>
    </row>
    <row r="116" spans="1:6">
      <c r="A116" s="285"/>
      <c r="B116" s="286" t="s">
        <v>696</v>
      </c>
      <c r="C116" s="361">
        <f>0.13*0.4*4.57</f>
        <v>0.23764000000000005</v>
      </c>
      <c r="D116" s="280" t="s">
        <v>9</v>
      </c>
      <c r="E116" s="281">
        <f>'AN BETON TYPE MAPLE'!F331</f>
        <v>4200540.8207530081</v>
      </c>
      <c r="F116" s="281">
        <f t="shared" si="4"/>
        <v>998216.52064374508</v>
      </c>
    </row>
    <row r="117" spans="1:6">
      <c r="A117" s="285"/>
      <c r="B117" s="286" t="s">
        <v>697</v>
      </c>
      <c r="C117" s="361">
        <f>0.13*0.4*5</f>
        <v>0.26</v>
      </c>
      <c r="D117" s="280" t="s">
        <v>9</v>
      </c>
      <c r="E117" s="281">
        <f>'AN BETON TYPE MAPLE'!F313</f>
        <v>3979680.5557668684</v>
      </c>
      <c r="F117" s="281">
        <f t="shared" si="4"/>
        <v>1034716.9444993858</v>
      </c>
    </row>
    <row r="118" spans="1:6">
      <c r="A118" s="285"/>
      <c r="B118" s="280"/>
      <c r="C118" s="361"/>
      <c r="D118" s="280"/>
      <c r="E118" s="281"/>
      <c r="F118" s="281"/>
    </row>
    <row r="119" spans="1:6">
      <c r="A119" s="282" t="s">
        <v>13</v>
      </c>
      <c r="B119" s="282" t="s">
        <v>14</v>
      </c>
      <c r="C119" s="375"/>
      <c r="D119" s="282" t="s">
        <v>9</v>
      </c>
      <c r="E119" s="283"/>
      <c r="F119" s="284">
        <f>SUM(F120:F130)</f>
        <v>53609590.642130688</v>
      </c>
    </row>
    <row r="120" spans="1:6">
      <c r="A120" s="285"/>
      <c r="B120" s="280" t="s">
        <v>200</v>
      </c>
      <c r="C120" s="361"/>
      <c r="D120" s="280" t="s">
        <v>9</v>
      </c>
      <c r="E120" s="281"/>
      <c r="F120" s="281">
        <f>+C120*E120</f>
        <v>0</v>
      </c>
    </row>
    <row r="121" spans="1:6">
      <c r="A121" s="285"/>
      <c r="B121" s="280" t="s">
        <v>455</v>
      </c>
      <c r="C121" s="361">
        <f>(8.1*10-2.1*2.1-2.8*0.8+7.5*1+2.5*4.1+4.1*0.5)*0.12</f>
        <v>11.298</v>
      </c>
      <c r="D121" s="280" t="s">
        <v>9</v>
      </c>
      <c r="E121" s="281">
        <f>'AN BETON TYPE MAPLE'!F407</f>
        <v>3163852.8409090908</v>
      </c>
      <c r="F121" s="281">
        <f t="shared" ref="F121:F130" si="5">+C121*E121</f>
        <v>35745209.396590911</v>
      </c>
    </row>
    <row r="122" spans="1:6">
      <c r="A122" s="285"/>
      <c r="B122" s="280" t="s">
        <v>456</v>
      </c>
      <c r="C122" s="361">
        <f>(10*0.6*2+3.2*2.4+2.2*0.8+1.6*0.8+0.6*0.3)*0.1</f>
        <v>2.2900000000000005</v>
      </c>
      <c r="D122" s="280" t="s">
        <v>9</v>
      </c>
      <c r="E122" s="281">
        <f>'AN BETON TYPE MAPLE'!F402</f>
        <v>3322371.9090909092</v>
      </c>
      <c r="F122" s="281">
        <f t="shared" si="5"/>
        <v>7608231.6718181837</v>
      </c>
    </row>
    <row r="123" spans="1:6">
      <c r="A123" s="285"/>
      <c r="B123" s="280" t="s">
        <v>457</v>
      </c>
      <c r="C123" s="361">
        <f>(10*0.6*2+3.2*2.4+2.2*0.8+1.6*0.8+0.6*0.3)*0.1</f>
        <v>2.2900000000000005</v>
      </c>
      <c r="D123" s="280" t="s">
        <v>9</v>
      </c>
      <c r="E123" s="281">
        <f>E121</f>
        <v>3163852.8409090908</v>
      </c>
      <c r="F123" s="281">
        <f t="shared" si="5"/>
        <v>7245223.0056818193</v>
      </c>
    </row>
    <row r="124" spans="1:6">
      <c r="A124" s="285"/>
      <c r="B124" s="280" t="s">
        <v>458</v>
      </c>
      <c r="C124" s="356">
        <v>0</v>
      </c>
      <c r="D124" s="280" t="s">
        <v>9</v>
      </c>
      <c r="E124" s="281">
        <v>0</v>
      </c>
      <c r="F124" s="281">
        <f t="shared" si="5"/>
        <v>0</v>
      </c>
    </row>
    <row r="125" spans="1:6">
      <c r="A125" s="285"/>
      <c r="B125" s="280" t="s">
        <v>459</v>
      </c>
      <c r="C125" s="356">
        <v>0</v>
      </c>
      <c r="D125" s="280" t="s">
        <v>9</v>
      </c>
      <c r="E125" s="281">
        <v>0</v>
      </c>
      <c r="F125" s="281">
        <f t="shared" si="5"/>
        <v>0</v>
      </c>
    </row>
    <row r="126" spans="1:6">
      <c r="A126" s="285"/>
      <c r="B126" s="280" t="s">
        <v>460</v>
      </c>
      <c r="C126" s="356">
        <v>0</v>
      </c>
      <c r="D126" s="280" t="s">
        <v>9</v>
      </c>
      <c r="E126" s="281">
        <v>0</v>
      </c>
      <c r="F126" s="281">
        <f t="shared" si="5"/>
        <v>0</v>
      </c>
    </row>
    <row r="127" spans="1:6">
      <c r="A127" s="285"/>
      <c r="B127" s="280" t="s">
        <v>461</v>
      </c>
      <c r="C127" s="356">
        <v>0</v>
      </c>
      <c r="D127" s="280" t="s">
        <v>9</v>
      </c>
      <c r="E127" s="281">
        <v>0</v>
      </c>
      <c r="F127" s="281">
        <f t="shared" si="5"/>
        <v>0</v>
      </c>
    </row>
    <row r="128" spans="1:6">
      <c r="A128" s="285"/>
      <c r="B128" s="286" t="s">
        <v>397</v>
      </c>
      <c r="C128" s="361"/>
      <c r="D128" s="280"/>
      <c r="E128" s="281"/>
      <c r="F128" s="281">
        <f t="shared" si="5"/>
        <v>0</v>
      </c>
    </row>
    <row r="129" spans="1:6">
      <c r="A129" s="285"/>
      <c r="B129" s="286" t="s">
        <v>698</v>
      </c>
      <c r="C129" s="361">
        <f>(2.7*2.3-0.5*1.7)*0.1</f>
        <v>0.53600000000000003</v>
      </c>
      <c r="D129" s="280" t="s">
        <v>9</v>
      </c>
      <c r="E129" s="281">
        <f>'AN BETON TYPE MAPLE'!F417</f>
        <v>3693411.8181818184</v>
      </c>
      <c r="F129" s="281">
        <f t="shared" si="5"/>
        <v>1979668.7345454548</v>
      </c>
    </row>
    <row r="130" spans="1:6">
      <c r="A130" s="285"/>
      <c r="B130" s="286" t="s">
        <v>819</v>
      </c>
      <c r="C130" s="361">
        <f>3.2*0.8*0.12+0.25*0.5*0.15</f>
        <v>0.32595000000000002</v>
      </c>
      <c r="D130" s="280" t="s">
        <v>9</v>
      </c>
      <c r="E130" s="281">
        <f>'AN BETON TYPE MAPLE'!F407</f>
        <v>3163852.8409090908</v>
      </c>
      <c r="F130" s="281">
        <f t="shared" si="5"/>
        <v>1031257.8334943182</v>
      </c>
    </row>
    <row r="131" spans="1:6">
      <c r="A131" s="285"/>
      <c r="B131" s="280"/>
      <c r="C131" s="361"/>
      <c r="D131" s="280"/>
      <c r="E131" s="281"/>
      <c r="F131" s="281"/>
    </row>
    <row r="132" spans="1:6">
      <c r="A132" s="282" t="s">
        <v>201</v>
      </c>
      <c r="B132" s="282" t="s">
        <v>202</v>
      </c>
      <c r="C132" s="375"/>
      <c r="D132" s="282" t="s">
        <v>6</v>
      </c>
      <c r="E132" s="283">
        <v>0</v>
      </c>
      <c r="F132" s="284">
        <f>SUM(F133:F144)</f>
        <v>18156700.347622305</v>
      </c>
    </row>
    <row r="133" spans="1:6">
      <c r="A133" s="285"/>
      <c r="B133" s="280" t="s">
        <v>203</v>
      </c>
      <c r="C133" s="361"/>
      <c r="D133" s="280" t="s">
        <v>6</v>
      </c>
      <c r="E133" s="281"/>
      <c r="F133" s="281">
        <f t="shared" ref="F133:F142" si="6">+C133*E133</f>
        <v>0</v>
      </c>
    </row>
    <row r="134" spans="1:6">
      <c r="A134" s="285"/>
      <c r="B134" s="280" t="s">
        <v>462</v>
      </c>
      <c r="C134" s="361">
        <f>8.72*1.15*0.12+0.3*0.09*1.15*19</f>
        <v>1.79331</v>
      </c>
      <c r="D134" s="280" t="s">
        <v>9</v>
      </c>
      <c r="E134" s="281">
        <f>'AN BETON TYPE MAPLE'!F435</f>
        <v>4519416.3799549546</v>
      </c>
      <c r="F134" s="281">
        <f t="shared" si="6"/>
        <v>8104714.5883370191</v>
      </c>
    </row>
    <row r="135" spans="1:6">
      <c r="A135" s="285"/>
      <c r="B135" s="280" t="s">
        <v>463</v>
      </c>
      <c r="C135" s="356">
        <v>0</v>
      </c>
      <c r="D135" s="280" t="s">
        <v>9</v>
      </c>
      <c r="E135" s="281">
        <v>0</v>
      </c>
      <c r="F135" s="281">
        <f t="shared" si="6"/>
        <v>0</v>
      </c>
    </row>
    <row r="136" spans="1:6">
      <c r="A136" s="285"/>
      <c r="B136" s="280" t="s">
        <v>464</v>
      </c>
      <c r="C136" s="361">
        <v>1</v>
      </c>
      <c r="D136" s="280" t="s">
        <v>204</v>
      </c>
      <c r="E136" s="281">
        <v>750000</v>
      </c>
      <c r="F136" s="281">
        <f t="shared" si="6"/>
        <v>750000</v>
      </c>
    </row>
    <row r="137" spans="1:6">
      <c r="A137" s="285"/>
      <c r="B137" s="280" t="s">
        <v>465</v>
      </c>
      <c r="C137" s="361">
        <v>3</v>
      </c>
      <c r="D137" s="280" t="s">
        <v>204</v>
      </c>
      <c r="E137" s="281">
        <v>350000</v>
      </c>
      <c r="F137" s="281">
        <f t="shared" si="6"/>
        <v>1050000</v>
      </c>
    </row>
    <row r="138" spans="1:6">
      <c r="A138" s="285"/>
      <c r="B138" s="280" t="s">
        <v>466</v>
      </c>
      <c r="C138" s="361">
        <f>0.13*0.15*34+0.13*0.15*27.7</f>
        <v>1.2031499999999999</v>
      </c>
      <c r="D138" s="280" t="s">
        <v>9</v>
      </c>
      <c r="E138" s="281">
        <f>'AN BETON TYPE MAPLE'!F223</f>
        <v>3114582.1620046622</v>
      </c>
      <c r="F138" s="281">
        <f t="shared" si="6"/>
        <v>3747309.5282159094</v>
      </c>
    </row>
    <row r="139" spans="1:6">
      <c r="A139" s="285"/>
      <c r="B139" s="280" t="s">
        <v>467</v>
      </c>
      <c r="C139" s="361">
        <f>2.3*0.15*0.3</f>
        <v>0.10349999999999999</v>
      </c>
      <c r="D139" s="280" t="s">
        <v>9</v>
      </c>
      <c r="E139" s="360">
        <f>'AN BETON TYPE MAPLE'!F259</f>
        <v>3569825.4991925494</v>
      </c>
      <c r="F139" s="281">
        <f t="shared" si="6"/>
        <v>369476.93916642887</v>
      </c>
    </row>
    <row r="140" spans="1:6">
      <c r="A140" s="285"/>
      <c r="B140" s="280" t="s">
        <v>468</v>
      </c>
      <c r="C140" s="361">
        <f>18*0.2*0.2</f>
        <v>0.72000000000000008</v>
      </c>
      <c r="D140" s="280" t="s">
        <v>9</v>
      </c>
      <c r="E140" s="360">
        <f>Analisa!F35</f>
        <v>840000</v>
      </c>
      <c r="F140" s="281">
        <f t="shared" si="6"/>
        <v>604800.00000000012</v>
      </c>
    </row>
    <row r="141" spans="1:6">
      <c r="A141" s="285"/>
      <c r="B141" s="286" t="s">
        <v>397</v>
      </c>
      <c r="C141" s="361"/>
      <c r="D141" s="280"/>
      <c r="E141" s="281"/>
      <c r="F141" s="281">
        <f t="shared" si="6"/>
        <v>0</v>
      </c>
    </row>
    <row r="142" spans="1:6">
      <c r="A142" s="285"/>
      <c r="B142" s="286" t="s">
        <v>699</v>
      </c>
      <c r="C142" s="361">
        <f>2*0.25*0.25*1.5</f>
        <v>0.1875</v>
      </c>
      <c r="D142" s="280" t="s">
        <v>9</v>
      </c>
      <c r="E142" s="281">
        <f>'AN BETON TYPE MAPLE'!F199</f>
        <v>4017169.5568157248</v>
      </c>
      <c r="F142" s="281">
        <f t="shared" si="6"/>
        <v>753219.2919029484</v>
      </c>
    </row>
    <row r="143" spans="1:6">
      <c r="A143" s="285"/>
      <c r="B143" s="286" t="s">
        <v>703</v>
      </c>
      <c r="C143" s="361">
        <f>(1.2+1.2+0.65)*9.36</f>
        <v>28.547999999999998</v>
      </c>
      <c r="D143" s="280" t="s">
        <v>43</v>
      </c>
      <c r="E143" s="360">
        <v>35000</v>
      </c>
      <c r="F143" s="281">
        <f>+C143*E143</f>
        <v>999179.99999999988</v>
      </c>
    </row>
    <row r="144" spans="1:6">
      <c r="A144" s="285"/>
      <c r="B144" s="286" t="s">
        <v>839</v>
      </c>
      <c r="C144" s="361">
        <f>12.7*4</f>
        <v>50.8</v>
      </c>
      <c r="D144" s="280" t="s">
        <v>43</v>
      </c>
      <c r="E144" s="360">
        <f>E143</f>
        <v>35000</v>
      </c>
      <c r="F144" s="281">
        <f>+C144*E144</f>
        <v>1778000</v>
      </c>
    </row>
    <row r="145" spans="1:6">
      <c r="A145" s="285"/>
      <c r="B145" s="286"/>
      <c r="C145" s="361"/>
      <c r="D145" s="280"/>
      <c r="E145" s="281"/>
      <c r="F145" s="281"/>
    </row>
    <row r="146" spans="1:6">
      <c r="A146" s="282" t="s">
        <v>15</v>
      </c>
      <c r="B146" s="282" t="s">
        <v>16</v>
      </c>
      <c r="C146" s="375"/>
      <c r="D146" s="282" t="s">
        <v>5</v>
      </c>
      <c r="E146" s="283"/>
      <c r="F146" s="284">
        <f>SUM(F147:F176)</f>
        <v>86604341.842756987</v>
      </c>
    </row>
    <row r="147" spans="1:6">
      <c r="A147" s="285"/>
      <c r="B147" s="280" t="s">
        <v>205</v>
      </c>
      <c r="C147" s="361"/>
      <c r="D147" s="280" t="s">
        <v>5</v>
      </c>
      <c r="E147" s="281"/>
      <c r="F147" s="281">
        <f t="shared" ref="F147:F171" si="7">+C147*E147</f>
        <v>0</v>
      </c>
    </row>
    <row r="148" spans="1:6" ht="27.6">
      <c r="A148" s="285"/>
      <c r="B148" s="280" t="s">
        <v>469</v>
      </c>
      <c r="C148" s="361">
        <f>6.2*5</f>
        <v>31</v>
      </c>
      <c r="D148" s="280" t="s">
        <v>5</v>
      </c>
      <c r="E148" s="281">
        <f>150000*1.1+Analisa!F129</f>
        <v>239262.5</v>
      </c>
      <c r="F148" s="281">
        <f>+C148*E148</f>
        <v>7417137.5</v>
      </c>
    </row>
    <row r="149" spans="1:6" ht="27.6">
      <c r="A149" s="285"/>
      <c r="B149" s="280" t="s">
        <v>470</v>
      </c>
      <c r="C149" s="361">
        <f>1.3*2.6</f>
        <v>3.3800000000000003</v>
      </c>
      <c r="D149" s="280" t="s">
        <v>5</v>
      </c>
      <c r="E149" s="281">
        <f>300405*1.1+Analisa!F203</f>
        <v>411099.34113680152</v>
      </c>
      <c r="F149" s="281">
        <f t="shared" si="7"/>
        <v>1389515.7730423892</v>
      </c>
    </row>
    <row r="150" spans="1:6" ht="27.6">
      <c r="A150" s="285"/>
      <c r="B150" s="280" t="s">
        <v>471</v>
      </c>
      <c r="C150" s="361">
        <f>1.3*2.9</f>
        <v>3.77</v>
      </c>
      <c r="D150" s="280" t="s">
        <v>5</v>
      </c>
      <c r="E150" s="281">
        <f>E149</f>
        <v>411099.34113680152</v>
      </c>
      <c r="F150" s="281">
        <f t="shared" si="7"/>
        <v>1549844.5160857418</v>
      </c>
    </row>
    <row r="151" spans="1:6" ht="27.6">
      <c r="A151" s="285"/>
      <c r="B151" s="280" t="s">
        <v>849</v>
      </c>
      <c r="C151" s="361">
        <f>3.5*3</f>
        <v>10.5</v>
      </c>
      <c r="D151" s="280" t="s">
        <v>5</v>
      </c>
      <c r="E151" s="281">
        <f>150000*1.1+Analisa!F203</f>
        <v>245653.84113680152</v>
      </c>
      <c r="F151" s="281">
        <f t="shared" si="7"/>
        <v>2579365.3319364162</v>
      </c>
    </row>
    <row r="152" spans="1:6" ht="27.6">
      <c r="A152" s="285"/>
      <c r="B152" s="280" t="s">
        <v>850</v>
      </c>
      <c r="C152" s="361">
        <f>4.5*9.8</f>
        <v>44.1</v>
      </c>
      <c r="D152" s="280" t="s">
        <v>5</v>
      </c>
      <c r="E152" s="281">
        <f>E151</f>
        <v>245653.84113680152</v>
      </c>
      <c r="F152" s="281">
        <f t="shared" si="7"/>
        <v>10833334.394132948</v>
      </c>
    </row>
    <row r="153" spans="1:6" ht="27.6">
      <c r="A153" s="285"/>
      <c r="B153" s="280" t="s">
        <v>851</v>
      </c>
      <c r="C153" s="361">
        <f>3.85*2.3-1.15*2.85</f>
        <v>5.5774999999999988</v>
      </c>
      <c r="D153" s="280" t="s">
        <v>5</v>
      </c>
      <c r="E153" s="281">
        <f>E152</f>
        <v>245653.84113680152</v>
      </c>
      <c r="F153" s="281">
        <f t="shared" si="7"/>
        <v>1370134.2989405103</v>
      </c>
    </row>
    <row r="154" spans="1:6" ht="27.6">
      <c r="A154" s="285"/>
      <c r="B154" s="280" t="s">
        <v>472</v>
      </c>
      <c r="C154" s="361">
        <f>18*(0.19+0.3)*1.25+1.1*2.5+0.19*1.25*3</f>
        <v>14.487500000000001</v>
      </c>
      <c r="D154" s="280" t="s">
        <v>5</v>
      </c>
      <c r="E154" s="281">
        <f>230000*1.2+Analisa!F203+75000</f>
        <v>431653.84113680152</v>
      </c>
      <c r="F154" s="281">
        <f t="shared" si="7"/>
        <v>6253585.0234694127</v>
      </c>
    </row>
    <row r="155" spans="1:6">
      <c r="A155" s="285"/>
      <c r="B155" s="280" t="s">
        <v>473</v>
      </c>
      <c r="C155" s="361">
        <f>(0.7*18+0.19+2+2.3)*0+30</f>
        <v>30</v>
      </c>
      <c r="D155" s="280" t="s">
        <v>297</v>
      </c>
      <c r="E155" s="360">
        <f>Analisa!F193+7500+E154/6</f>
        <v>106592.30685613358</v>
      </c>
      <c r="F155" s="281">
        <f t="shared" si="7"/>
        <v>3197769.2056840076</v>
      </c>
    </row>
    <row r="156" spans="1:6" ht="27.6">
      <c r="A156" s="285"/>
      <c r="B156" s="280" t="s">
        <v>474</v>
      </c>
      <c r="C156" s="361">
        <f>5.5*1.6+2.45*0.7+2.4*2.15+1</f>
        <v>16.675000000000001</v>
      </c>
      <c r="D156" s="280" t="s">
        <v>5</v>
      </c>
      <c r="E156" s="281">
        <f>72000/0.96*1.1+Analisa!F129</f>
        <v>156762.5</v>
      </c>
      <c r="F156" s="281">
        <f t="shared" si="7"/>
        <v>2614014.6875</v>
      </c>
    </row>
    <row r="157" spans="1:6" ht="27.6">
      <c r="A157" s="285"/>
      <c r="B157" s="280" t="s">
        <v>475</v>
      </c>
      <c r="C157" s="361">
        <f>0.6*2.16+1.05*0.6+0.2*0.6</f>
        <v>2.0460000000000003</v>
      </c>
      <c r="D157" s="280" t="s">
        <v>5</v>
      </c>
      <c r="E157" s="281">
        <f>139000*1.1+Analisa!F203</f>
        <v>233553.84113680152</v>
      </c>
      <c r="F157" s="281">
        <f t="shared" si="7"/>
        <v>477851.158965896</v>
      </c>
    </row>
    <row r="158" spans="1:6" ht="27.6">
      <c r="A158" s="285"/>
      <c r="B158" s="280" t="s">
        <v>476</v>
      </c>
      <c r="C158" s="361">
        <f>0.6*1.65+0.8*2.01</f>
        <v>2.5979999999999999</v>
      </c>
      <c r="D158" s="280" t="s">
        <v>5</v>
      </c>
      <c r="E158" s="281">
        <f>E157</f>
        <v>233553.84113680152</v>
      </c>
      <c r="F158" s="281">
        <f t="shared" si="7"/>
        <v>606772.8792734103</v>
      </c>
    </row>
    <row r="159" spans="1:6" ht="27.6">
      <c r="A159" s="285"/>
      <c r="B159" s="280" t="s">
        <v>477</v>
      </c>
      <c r="C159" s="361">
        <f>1.45*1.35</f>
        <v>1.9575</v>
      </c>
      <c r="D159" s="280" t="s">
        <v>5</v>
      </c>
      <c r="E159" s="281">
        <f>139000*1.15+Analisa!F203</f>
        <v>240503.84113680152</v>
      </c>
      <c r="F159" s="281">
        <f t="shared" si="7"/>
        <v>470786.26902528899</v>
      </c>
    </row>
    <row r="160" spans="1:6" ht="27.6">
      <c r="A160" s="285"/>
      <c r="B160" s="280" t="s">
        <v>478</v>
      </c>
      <c r="C160" s="361">
        <f>0.95*1.35</f>
        <v>1.2825</v>
      </c>
      <c r="D160" s="280" t="s">
        <v>5</v>
      </c>
      <c r="E160" s="281">
        <f>135000*1.15+Analisa!F203</f>
        <v>235903.84113680152</v>
      </c>
      <c r="F160" s="281">
        <f t="shared" si="7"/>
        <v>302546.67625794793</v>
      </c>
    </row>
    <row r="161" spans="1:6" ht="27.6">
      <c r="A161" s="285"/>
      <c r="B161" s="280" t="s">
        <v>479</v>
      </c>
      <c r="C161" s="361">
        <f>1.2*(3.3-0.6)+3.3*1.2+3.3*2.25+2.25*3.3-0.7*2.6</f>
        <v>20.23</v>
      </c>
      <c r="D161" s="280" t="s">
        <v>5</v>
      </c>
      <c r="E161" s="281">
        <f>135000*1.1+Analisa!F147</f>
        <v>220675</v>
      </c>
      <c r="F161" s="281">
        <f t="shared" si="7"/>
        <v>4464255.25</v>
      </c>
    </row>
    <row r="162" spans="1:6" ht="27.6">
      <c r="A162" s="285"/>
      <c r="B162" s="280" t="s">
        <v>480</v>
      </c>
      <c r="C162" s="361">
        <f>(1.65+0.15)*1.05</f>
        <v>1.89</v>
      </c>
      <c r="D162" s="280" t="s">
        <v>5</v>
      </c>
      <c r="E162" s="281">
        <f>48000/1.11*1.1+Analisa!F129</f>
        <v>121830.06756756757</v>
      </c>
      <c r="F162" s="281">
        <f t="shared" si="7"/>
        <v>230258.82770270269</v>
      </c>
    </row>
    <row r="163" spans="1:6">
      <c r="A163" s="285"/>
      <c r="B163" s="280" t="s">
        <v>481</v>
      </c>
      <c r="C163" s="356">
        <v>0</v>
      </c>
      <c r="D163" s="280" t="s">
        <v>5</v>
      </c>
      <c r="E163" s="281">
        <v>0</v>
      </c>
      <c r="F163" s="281">
        <f t="shared" si="7"/>
        <v>0</v>
      </c>
    </row>
    <row r="164" spans="1:6" ht="27.6">
      <c r="A164" s="285"/>
      <c r="B164" s="280" t="s">
        <v>482</v>
      </c>
      <c r="C164" s="361">
        <v>1</v>
      </c>
      <c r="D164" s="280" t="s">
        <v>7</v>
      </c>
      <c r="E164" s="281">
        <v>750000</v>
      </c>
      <c r="F164" s="281">
        <f>+C164*E164</f>
        <v>750000</v>
      </c>
    </row>
    <row r="165" spans="1:6">
      <c r="A165" s="285"/>
      <c r="B165" s="280" t="s">
        <v>483</v>
      </c>
      <c r="C165" s="361">
        <f>20.1</f>
        <v>20.100000000000001</v>
      </c>
      <c r="D165" s="280" t="s">
        <v>5</v>
      </c>
      <c r="E165" s="281">
        <f>Analisa!F207</f>
        <v>30450</v>
      </c>
      <c r="F165" s="281">
        <f t="shared" si="7"/>
        <v>612045</v>
      </c>
    </row>
    <row r="166" spans="1:6">
      <c r="A166" s="285"/>
      <c r="B166" s="280" t="s">
        <v>484</v>
      </c>
      <c r="C166" s="361">
        <v>45</v>
      </c>
      <c r="D166" s="280" t="s">
        <v>5</v>
      </c>
      <c r="E166" s="281">
        <f>E151*0.1+Analisa!F193+7500</f>
        <v>59215.384113680149</v>
      </c>
      <c r="F166" s="281">
        <f t="shared" si="7"/>
        <v>2664692.2851156066</v>
      </c>
    </row>
    <row r="167" spans="1:6" ht="27.6">
      <c r="A167" s="285"/>
      <c r="B167" s="280" t="s">
        <v>485</v>
      </c>
      <c r="C167" s="361">
        <f>(11.2*3.3+2.4*7.4+2.7*4.4)*0+92</f>
        <v>92</v>
      </c>
      <c r="D167" s="280" t="s">
        <v>5</v>
      </c>
      <c r="E167" s="281">
        <v>85000</v>
      </c>
      <c r="F167" s="281">
        <f t="shared" si="7"/>
        <v>7820000</v>
      </c>
    </row>
    <row r="168" spans="1:6" ht="27.6">
      <c r="A168" s="285"/>
      <c r="B168" s="280" t="s">
        <v>486</v>
      </c>
      <c r="C168" s="361">
        <f>1.75*0.9+4.2*0.5+2.15*2.6-1.7*0.55+3.75*1</f>
        <v>12.08</v>
      </c>
      <c r="D168" s="280" t="s">
        <v>5</v>
      </c>
      <c r="E168" s="281">
        <f>Analisa!F104</f>
        <v>66147.193181818177</v>
      </c>
      <c r="F168" s="281">
        <f t="shared" si="7"/>
        <v>799058.09363636363</v>
      </c>
    </row>
    <row r="169" spans="1:6">
      <c r="A169" s="285"/>
      <c r="B169" s="280" t="s">
        <v>487</v>
      </c>
      <c r="C169" s="361">
        <f>2.8*2.1-1.4*0.7</f>
        <v>4.9000000000000004</v>
      </c>
      <c r="D169" s="280" t="s">
        <v>5</v>
      </c>
      <c r="E169" s="360">
        <f>Analisa!F242+30000</f>
        <v>447838.7171717172</v>
      </c>
      <c r="F169" s="281">
        <f t="shared" si="7"/>
        <v>2194409.7141414145</v>
      </c>
    </row>
    <row r="170" spans="1:6" ht="27.6">
      <c r="A170" s="285"/>
      <c r="B170" s="280" t="s">
        <v>488</v>
      </c>
      <c r="C170" s="361">
        <v>2.1</v>
      </c>
      <c r="D170" s="280" t="s">
        <v>5</v>
      </c>
      <c r="E170" s="281">
        <f>E150</f>
        <v>411099.34113680152</v>
      </c>
      <c r="F170" s="281">
        <f t="shared" si="7"/>
        <v>863308.6163872832</v>
      </c>
    </row>
    <row r="171" spans="1:6" ht="27.6">
      <c r="A171" s="285"/>
      <c r="B171" s="280" t="s">
        <v>489</v>
      </c>
      <c r="C171" s="361">
        <f>(3.1*3.2+0.4*5+0.6*3.2+7)*0+16.64</f>
        <v>16.64</v>
      </c>
      <c r="D171" s="280" t="s">
        <v>5</v>
      </c>
      <c r="E171" s="281">
        <f>428000*0.6*1.2+Analisa!F203+75000</f>
        <v>463813.84113680152</v>
      </c>
      <c r="F171" s="281">
        <f t="shared" si="7"/>
        <v>7717862.316516378</v>
      </c>
    </row>
    <row r="172" spans="1:6" ht="27.6">
      <c r="A172" s="285"/>
      <c r="B172" s="280" t="s">
        <v>490</v>
      </c>
      <c r="C172" s="361">
        <f>3.6*3.2*0+1</f>
        <v>1</v>
      </c>
      <c r="D172" s="280" t="s">
        <v>5</v>
      </c>
      <c r="E172" s="409">
        <f>(100300/0.2/3.05*1.2+150000+175000)*0+13800000*0+13629458</f>
        <v>13629458</v>
      </c>
      <c r="F172" s="281">
        <f>+C172*E172</f>
        <v>13629458</v>
      </c>
    </row>
    <row r="173" spans="1:6" ht="27.6">
      <c r="A173" s="285"/>
      <c r="B173" s="280" t="s">
        <v>491</v>
      </c>
      <c r="C173" s="361">
        <f>7.55*0.975</f>
        <v>7.3612500000000001</v>
      </c>
      <c r="D173" s="280" t="s">
        <v>5</v>
      </c>
      <c r="E173" s="281">
        <f>E150</f>
        <v>411099.34113680152</v>
      </c>
      <c r="F173" s="281">
        <f t="shared" ref="F173:F175" si="8">+C173*E173</f>
        <v>3026205.02494328</v>
      </c>
    </row>
    <row r="174" spans="1:6">
      <c r="A174" s="285"/>
      <c r="B174" s="286" t="s">
        <v>397</v>
      </c>
      <c r="C174" s="361"/>
      <c r="D174" s="280"/>
      <c r="E174" s="281"/>
      <c r="F174" s="281">
        <f t="shared" si="8"/>
        <v>0</v>
      </c>
    </row>
    <row r="175" spans="1:6">
      <c r="B175" s="286" t="s">
        <v>840</v>
      </c>
      <c r="C175" s="376">
        <f>0.2*2.6+1*2.6+1.5*2.6+1.5*2.6</f>
        <v>10.920000000000002</v>
      </c>
      <c r="D175" s="280" t="s">
        <v>5</v>
      </c>
      <c r="E175" s="288">
        <f>165000*1.1+Analisa!$F$147</f>
        <v>253675.00000000003</v>
      </c>
      <c r="F175" s="281">
        <f t="shared" si="8"/>
        <v>2770131.0000000009</v>
      </c>
    </row>
    <row r="176" spans="1:6">
      <c r="B176" s="286" t="s">
        <v>399</v>
      </c>
      <c r="C176" s="376"/>
    </row>
    <row r="177" spans="1:6">
      <c r="A177" s="285"/>
      <c r="B177" s="280"/>
      <c r="C177" s="361"/>
      <c r="D177" s="280"/>
      <c r="E177" s="281"/>
      <c r="F177" s="281"/>
    </row>
    <row r="178" spans="1:6">
      <c r="A178" s="282" t="s">
        <v>206</v>
      </c>
      <c r="B178" s="282" t="s">
        <v>207</v>
      </c>
      <c r="C178" s="375"/>
      <c r="D178" s="282" t="s">
        <v>5</v>
      </c>
      <c r="E178" s="283"/>
      <c r="F178" s="284">
        <f>SUM(F179:F206)</f>
        <v>49036333.957376122</v>
      </c>
    </row>
    <row r="179" spans="1:6">
      <c r="A179" s="285"/>
      <c r="B179" s="280" t="s">
        <v>208</v>
      </c>
      <c r="C179" s="361"/>
      <c r="D179" s="280" t="s">
        <v>5</v>
      </c>
      <c r="E179" s="281"/>
      <c r="F179" s="281">
        <f>+C179*E179</f>
        <v>0</v>
      </c>
    </row>
    <row r="180" spans="1:6" ht="41.4">
      <c r="A180" s="285"/>
      <c r="B180" s="280" t="s">
        <v>852</v>
      </c>
      <c r="C180" s="361">
        <f>3.75*3.1+3*3.8+2.05*1+3*5.8+5.15*1.5+0.7*2.15</f>
        <v>51.704999999999998</v>
      </c>
      <c r="D180" s="280" t="s">
        <v>5</v>
      </c>
      <c r="E180" s="281">
        <f>E151</f>
        <v>245653.84113680152</v>
      </c>
      <c r="F180" s="281">
        <f t="shared" ref="F180:F182" si="9">+C180*E180</f>
        <v>12701531.855978323</v>
      </c>
    </row>
    <row r="181" spans="1:6" ht="27.6">
      <c r="A181" s="285"/>
      <c r="B181" s="280" t="s">
        <v>853</v>
      </c>
      <c r="C181" s="361">
        <f>0.7*1.6+4.5*2.3+1.5*2.4+1.75*1.35</f>
        <v>17.432499999999997</v>
      </c>
      <c r="D181" s="280" t="s">
        <v>5</v>
      </c>
      <c r="E181" s="281">
        <f>E180</f>
        <v>245653.84113680152</v>
      </c>
      <c r="F181" s="281">
        <f t="shared" si="9"/>
        <v>4282360.5856172917</v>
      </c>
    </row>
    <row r="182" spans="1:6" ht="27.6">
      <c r="A182" s="285"/>
      <c r="B182" s="280" t="s">
        <v>492</v>
      </c>
      <c r="C182" s="361">
        <f>1.9*1.75-1*0.6</f>
        <v>2.7249999999999996</v>
      </c>
      <c r="D182" s="280" t="s">
        <v>5</v>
      </c>
      <c r="E182" s="281">
        <f>E159</f>
        <v>240503.84113680152</v>
      </c>
      <c r="F182" s="281">
        <f t="shared" si="9"/>
        <v>655372.96709778404</v>
      </c>
    </row>
    <row r="183" spans="1:6" ht="27.6">
      <c r="A183" s="285"/>
      <c r="B183" s="280" t="s">
        <v>493</v>
      </c>
      <c r="C183" s="361">
        <f>1*1.5</f>
        <v>1.5</v>
      </c>
      <c r="D183" s="280" t="s">
        <v>5</v>
      </c>
      <c r="E183" s="281">
        <f>E160</f>
        <v>235903.84113680152</v>
      </c>
      <c r="F183" s="281">
        <f>+C183*E183</f>
        <v>353855.76170520228</v>
      </c>
    </row>
    <row r="184" spans="1:6" ht="27.6">
      <c r="A184" s="285"/>
      <c r="B184" s="280" t="s">
        <v>494</v>
      </c>
      <c r="C184" s="361">
        <f>6.9*2.7+0.9*1.2</f>
        <v>19.71</v>
      </c>
      <c r="D184" s="280" t="s">
        <v>5</v>
      </c>
      <c r="E184" s="281">
        <f>E161</f>
        <v>220675</v>
      </c>
      <c r="F184" s="281">
        <f t="shared" ref="F184:F185" si="10">+C184*E184</f>
        <v>4349504.25</v>
      </c>
    </row>
    <row r="185" spans="1:6" ht="41.4">
      <c r="A185" s="285"/>
      <c r="B185" s="280" t="s">
        <v>495</v>
      </c>
      <c r="C185" s="361">
        <f>(2.85+0.6)*1.8-0.8*1.5</f>
        <v>5.0100000000000007</v>
      </c>
      <c r="D185" s="280" t="s">
        <v>5</v>
      </c>
      <c r="E185" s="281">
        <f>E159</f>
        <v>240503.84113680152</v>
      </c>
      <c r="F185" s="281">
        <f t="shared" si="10"/>
        <v>1204924.2440953758</v>
      </c>
    </row>
    <row r="186" spans="1:6" ht="27.6">
      <c r="A186" s="285"/>
      <c r="B186" s="280" t="s">
        <v>496</v>
      </c>
      <c r="C186" s="361">
        <f>1*1.8</f>
        <v>1.8</v>
      </c>
      <c r="D186" s="280" t="s">
        <v>5</v>
      </c>
      <c r="E186" s="281">
        <f>E183</f>
        <v>235903.84113680152</v>
      </c>
      <c r="F186" s="281">
        <f>+C186*E186</f>
        <v>424626.91404624277</v>
      </c>
    </row>
    <row r="187" spans="1:6" ht="27.6">
      <c r="A187" s="285"/>
      <c r="B187" s="280" t="s">
        <v>497</v>
      </c>
      <c r="C187" s="361">
        <f>0.9*3.3+3*2.7-0.6*2.5+1*3.2+2*2.75+1.6*0.2+1.6*2.75</f>
        <v>22.990000000000002</v>
      </c>
      <c r="D187" s="280" t="s">
        <v>5</v>
      </c>
      <c r="E187" s="281">
        <f>E184</f>
        <v>220675</v>
      </c>
      <c r="F187" s="281">
        <f>+C187*E187</f>
        <v>5073318.25</v>
      </c>
    </row>
    <row r="188" spans="1:6" ht="27.6">
      <c r="A188" s="285"/>
      <c r="B188" s="280" t="s">
        <v>498</v>
      </c>
      <c r="C188" s="356">
        <v>0</v>
      </c>
      <c r="D188" s="280" t="s">
        <v>5</v>
      </c>
      <c r="E188" s="281">
        <v>0</v>
      </c>
      <c r="F188" s="281">
        <f>+C188*E188</f>
        <v>0</v>
      </c>
    </row>
    <row r="189" spans="1:6">
      <c r="A189" s="285"/>
      <c r="B189" s="280" t="s">
        <v>499</v>
      </c>
      <c r="C189" s="356">
        <v>0</v>
      </c>
      <c r="D189" s="280" t="s">
        <v>297</v>
      </c>
      <c r="E189" s="281">
        <f>E155</f>
        <v>106592.30685613358</v>
      </c>
      <c r="F189" s="281">
        <f t="shared" ref="F189:F204" si="11">+C189*E189</f>
        <v>0</v>
      </c>
    </row>
    <row r="190" spans="1:6" ht="27.6">
      <c r="A190" s="285"/>
      <c r="B190" s="280" t="s">
        <v>500</v>
      </c>
      <c r="C190" s="361">
        <f>3.75*1+1.7*1.05</f>
        <v>5.5350000000000001</v>
      </c>
      <c r="D190" s="280" t="s">
        <v>5</v>
      </c>
      <c r="E190" s="281">
        <f>113000*1.1+Analisa!F203</f>
        <v>204953.84113680155</v>
      </c>
      <c r="F190" s="281">
        <f t="shared" si="11"/>
        <v>1134419.5106921967</v>
      </c>
    </row>
    <row r="191" spans="1:6" ht="27.6">
      <c r="A191" s="285"/>
      <c r="B191" s="280" t="s">
        <v>501</v>
      </c>
      <c r="C191" s="361">
        <v>2</v>
      </c>
      <c r="D191" s="280" t="s">
        <v>7</v>
      </c>
      <c r="E191" s="281">
        <f>E164</f>
        <v>750000</v>
      </c>
      <c r="F191" s="281">
        <f t="shared" si="11"/>
        <v>1500000</v>
      </c>
    </row>
    <row r="192" spans="1:6">
      <c r="A192" s="285"/>
      <c r="B192" s="280" t="s">
        <v>502</v>
      </c>
      <c r="C192" s="361">
        <f>64.12</f>
        <v>64.12</v>
      </c>
      <c r="D192" s="280" t="s">
        <v>8</v>
      </c>
      <c r="E192" s="281">
        <f>E166</f>
        <v>59215.384113680149</v>
      </c>
      <c r="F192" s="281">
        <f t="shared" si="11"/>
        <v>3796890.4293691716</v>
      </c>
    </row>
    <row r="193" spans="1:6" ht="27.6">
      <c r="A193" s="285"/>
      <c r="B193" s="280" t="s">
        <v>503</v>
      </c>
      <c r="C193" s="356">
        <f>(7.36*2.6*0+24.83)*0</f>
        <v>0</v>
      </c>
      <c r="D193" s="280" t="s">
        <v>5</v>
      </c>
      <c r="E193" s="360">
        <f>E172</f>
        <v>13629458</v>
      </c>
      <c r="F193" s="281">
        <f t="shared" si="11"/>
        <v>0</v>
      </c>
    </row>
    <row r="194" spans="1:6" ht="27.6">
      <c r="A194" s="285"/>
      <c r="B194" s="280" t="s">
        <v>504</v>
      </c>
      <c r="C194" s="361">
        <f>11.52+19.13</f>
        <v>30.65</v>
      </c>
      <c r="D194" s="280" t="s">
        <v>5</v>
      </c>
      <c r="E194" s="281">
        <f>Analisa!F156</f>
        <v>65000</v>
      </c>
      <c r="F194" s="281">
        <f t="shared" si="11"/>
        <v>1992250</v>
      </c>
    </row>
    <row r="195" spans="1:6" ht="41.4">
      <c r="A195" s="285"/>
      <c r="B195" s="280" t="s">
        <v>505</v>
      </c>
      <c r="C195" s="361">
        <f>0.9*2.7</f>
        <v>2.4300000000000002</v>
      </c>
      <c r="D195" s="280" t="s">
        <v>5</v>
      </c>
      <c r="E195" s="281">
        <f>E154</f>
        <v>431653.84113680152</v>
      </c>
      <c r="F195" s="281">
        <f t="shared" si="11"/>
        <v>1048918.8339624277</v>
      </c>
    </row>
    <row r="196" spans="1:6" ht="41.4">
      <c r="A196" s="285"/>
      <c r="B196" s="280" t="s">
        <v>506</v>
      </c>
      <c r="C196" s="361">
        <v>4.29</v>
      </c>
      <c r="D196" s="280" t="s">
        <v>5</v>
      </c>
      <c r="E196" s="281">
        <f>E195</f>
        <v>431653.84113680152</v>
      </c>
      <c r="F196" s="281">
        <f>+C196*E196</f>
        <v>1851794.9784768785</v>
      </c>
    </row>
    <row r="197" spans="1:6" ht="27.6">
      <c r="A197" s="285"/>
      <c r="B197" s="280" t="s">
        <v>507</v>
      </c>
      <c r="C197" s="361">
        <v>10.58</v>
      </c>
      <c r="D197" s="280" t="s">
        <v>5</v>
      </c>
      <c r="E197" s="281">
        <v>175000</v>
      </c>
      <c r="F197" s="281">
        <f t="shared" si="11"/>
        <v>1851500</v>
      </c>
    </row>
    <row r="198" spans="1:6">
      <c r="A198" s="285"/>
      <c r="B198" s="285"/>
      <c r="C198" s="361"/>
      <c r="D198" s="285"/>
      <c r="E198" s="281"/>
      <c r="F198" s="281">
        <f t="shared" si="11"/>
        <v>0</v>
      </c>
    </row>
    <row r="199" spans="1:6">
      <c r="A199" s="285"/>
      <c r="B199" s="280" t="s">
        <v>508</v>
      </c>
      <c r="C199" s="361"/>
      <c r="D199" s="285"/>
      <c r="E199" s="281"/>
      <c r="F199" s="281">
        <f t="shared" si="11"/>
        <v>0</v>
      </c>
    </row>
    <row r="200" spans="1:6" ht="27.6">
      <c r="A200" s="285"/>
      <c r="B200" s="280" t="s">
        <v>854</v>
      </c>
      <c r="C200" s="356">
        <v>0</v>
      </c>
      <c r="D200" s="280" t="s">
        <v>5</v>
      </c>
      <c r="E200" s="281">
        <v>0</v>
      </c>
      <c r="F200" s="281">
        <f t="shared" si="11"/>
        <v>0</v>
      </c>
    </row>
    <row r="201" spans="1:6" ht="27.6">
      <c r="A201" s="285"/>
      <c r="B201" s="280" t="s">
        <v>509</v>
      </c>
      <c r="C201" s="356">
        <v>0</v>
      </c>
      <c r="D201" s="280" t="s">
        <v>5</v>
      </c>
      <c r="E201" s="281">
        <v>0</v>
      </c>
      <c r="F201" s="281">
        <f t="shared" si="11"/>
        <v>0</v>
      </c>
    </row>
    <row r="202" spans="1:6">
      <c r="A202" s="285"/>
      <c r="B202" s="280" t="s">
        <v>510</v>
      </c>
      <c r="C202" s="356">
        <v>0</v>
      </c>
      <c r="D202" s="280" t="s">
        <v>8</v>
      </c>
      <c r="E202" s="281">
        <v>0</v>
      </c>
      <c r="F202" s="281">
        <f t="shared" si="11"/>
        <v>0</v>
      </c>
    </row>
    <row r="203" spans="1:6" ht="27.6">
      <c r="A203" s="285"/>
      <c r="B203" s="280" t="s">
        <v>511</v>
      </c>
      <c r="C203" s="361">
        <f>0.6*10*2+5.8+3.3*2.3+0.6*5.5+3.85*1.95+1.8*1-0.5*1</f>
        <v>37.497500000000002</v>
      </c>
      <c r="D203" s="280" t="s">
        <v>5</v>
      </c>
      <c r="E203" s="360">
        <f>E168</f>
        <v>66147.193181818177</v>
      </c>
      <c r="F203" s="281">
        <f t="shared" si="11"/>
        <v>2480354.3763352274</v>
      </c>
    </row>
    <row r="204" spans="1:6">
      <c r="A204" s="285"/>
      <c r="B204" s="286" t="s">
        <v>397</v>
      </c>
      <c r="C204" s="361"/>
      <c r="D204" s="280"/>
      <c r="E204" s="281"/>
      <c r="F204" s="281">
        <f t="shared" si="11"/>
        <v>0</v>
      </c>
    </row>
    <row r="205" spans="1:6" ht="27.6">
      <c r="A205" s="285"/>
      <c r="B205" s="367" t="s">
        <v>790</v>
      </c>
      <c r="C205" s="361">
        <f>0.6*10*2+5.8+3.3*2.3+0.6*5.5+3.85*1.95+1.8*1-0.5*1</f>
        <v>37.497500000000002</v>
      </c>
      <c r="D205" s="280" t="s">
        <v>5</v>
      </c>
      <c r="E205" s="368">
        <f>Analisa!F156+712000/20+15000</f>
        <v>115600</v>
      </c>
      <c r="F205" s="281">
        <f>+C205*E205</f>
        <v>4334711</v>
      </c>
    </row>
    <row r="206" spans="1:6">
      <c r="A206" s="285"/>
      <c r="B206" s="286" t="s">
        <v>399</v>
      </c>
      <c r="C206" s="361"/>
      <c r="D206" s="280"/>
      <c r="E206" s="281"/>
      <c r="F206" s="281">
        <f>+C206*E206</f>
        <v>0</v>
      </c>
    </row>
    <row r="207" spans="1:6">
      <c r="A207" s="285"/>
      <c r="B207" s="280"/>
      <c r="C207" s="361"/>
      <c r="D207" s="280"/>
      <c r="E207" s="281"/>
      <c r="F207" s="281"/>
    </row>
    <row r="208" spans="1:6">
      <c r="A208" s="282" t="s">
        <v>17</v>
      </c>
      <c r="B208" s="282" t="s">
        <v>18</v>
      </c>
      <c r="C208" s="375"/>
      <c r="D208" s="282" t="s">
        <v>5</v>
      </c>
      <c r="E208" s="283">
        <v>0</v>
      </c>
      <c r="F208" s="284">
        <f>SUM(F209:F216)</f>
        <v>7915033.7500000009</v>
      </c>
    </row>
    <row r="209" spans="1:8">
      <c r="A209" s="285"/>
      <c r="B209" s="280" t="s">
        <v>209</v>
      </c>
      <c r="C209" s="361"/>
      <c r="D209" s="280" t="s">
        <v>5</v>
      </c>
      <c r="E209" s="281"/>
      <c r="F209" s="281">
        <f>+C209*E209</f>
        <v>0</v>
      </c>
    </row>
    <row r="210" spans="1:8" ht="27.6">
      <c r="A210" s="285"/>
      <c r="B210" s="280" t="s">
        <v>210</v>
      </c>
      <c r="C210" s="361">
        <f>4.5*9.8+3.85*2.3-1.12*2.85+3.5*7.8-0.7*2.6-1.6*1-1.35*2.4</f>
        <v>70.40300000000002</v>
      </c>
      <c r="D210" s="280" t="s">
        <v>5</v>
      </c>
      <c r="E210" s="281">
        <f>Analisa!F133</f>
        <v>67500</v>
      </c>
      <c r="F210" s="281">
        <f t="shared" ref="F210:F216" si="12">+C210*E210</f>
        <v>4752202.5000000009</v>
      </c>
      <c r="H210" s="358"/>
    </row>
    <row r="211" spans="1:8" ht="41.4">
      <c r="A211" s="285"/>
      <c r="B211" s="280" t="s">
        <v>512</v>
      </c>
      <c r="C211" s="361">
        <f>7.55*0.975+2.4*1.35+1.7*1.05</f>
        <v>12.38625</v>
      </c>
      <c r="D211" s="280" t="s">
        <v>5</v>
      </c>
      <c r="E211" s="281">
        <f>Analisa!F141</f>
        <v>85000</v>
      </c>
      <c r="F211" s="281">
        <f t="shared" si="12"/>
        <v>1052831.25</v>
      </c>
    </row>
    <row r="212" spans="1:8">
      <c r="A212" s="285"/>
      <c r="B212" s="280" t="s">
        <v>211</v>
      </c>
      <c r="C212" s="361">
        <v>120</v>
      </c>
      <c r="D212" s="280" t="s">
        <v>8</v>
      </c>
      <c r="E212" s="281">
        <f>Analisa!F197</f>
        <v>15500</v>
      </c>
      <c r="F212" s="281">
        <f t="shared" si="12"/>
        <v>1860000</v>
      </c>
    </row>
    <row r="213" spans="1:8">
      <c r="A213" s="285"/>
      <c r="B213" s="280" t="s">
        <v>513</v>
      </c>
      <c r="C213" s="361">
        <v>1</v>
      </c>
      <c r="D213" s="280" t="s">
        <v>204</v>
      </c>
      <c r="E213" s="281">
        <v>250000</v>
      </c>
      <c r="F213" s="281">
        <f t="shared" si="12"/>
        <v>250000</v>
      </c>
    </row>
    <row r="214" spans="1:8">
      <c r="A214" s="285"/>
      <c r="B214" s="286" t="s">
        <v>397</v>
      </c>
      <c r="C214" s="361"/>
      <c r="D214" s="280"/>
      <c r="E214" s="281"/>
      <c r="F214" s="281">
        <f t="shared" si="12"/>
        <v>0</v>
      </c>
    </row>
    <row r="215" spans="1:8">
      <c r="A215" s="285"/>
      <c r="B215" s="286" t="s">
        <v>398</v>
      </c>
      <c r="C215" s="361"/>
      <c r="D215" s="280"/>
      <c r="E215" s="281"/>
      <c r="F215" s="281">
        <f t="shared" si="12"/>
        <v>0</v>
      </c>
    </row>
    <row r="216" spans="1:8">
      <c r="A216" s="285"/>
      <c r="B216" s="286" t="s">
        <v>399</v>
      </c>
      <c r="C216" s="361"/>
      <c r="D216" s="280"/>
      <c r="E216" s="281"/>
      <c r="F216" s="281">
        <f t="shared" si="12"/>
        <v>0</v>
      </c>
    </row>
    <row r="217" spans="1:8">
      <c r="A217" s="285"/>
      <c r="B217" s="280"/>
      <c r="C217" s="361"/>
      <c r="D217" s="280"/>
      <c r="E217" s="281"/>
      <c r="F217" s="281"/>
    </row>
    <row r="218" spans="1:8">
      <c r="A218" s="282" t="s">
        <v>19</v>
      </c>
      <c r="B218" s="282" t="s">
        <v>20</v>
      </c>
      <c r="C218" s="375"/>
      <c r="D218" s="282" t="s">
        <v>5</v>
      </c>
      <c r="E218" s="283"/>
      <c r="F218" s="284">
        <f>SUM(F219:F233)</f>
        <v>8317475</v>
      </c>
    </row>
    <row r="219" spans="1:8">
      <c r="A219" s="285"/>
      <c r="B219" s="280" t="s">
        <v>212</v>
      </c>
      <c r="C219" s="361"/>
      <c r="D219" s="280" t="s">
        <v>5</v>
      </c>
      <c r="E219" s="281"/>
      <c r="F219" s="281">
        <f t="shared" ref="F219:F223" si="13">+C219*E219</f>
        <v>0</v>
      </c>
    </row>
    <row r="220" spans="1:8" ht="27.6">
      <c r="A220" s="285"/>
      <c r="B220" s="280" t="s">
        <v>210</v>
      </c>
      <c r="C220" s="361">
        <f>7.75*2.3+1.6*0.75+1.5*2.4+1.75*1.3+3.75*3.1+3.8*3+4.5*5.15+3*0.65+1*2.05</f>
        <v>75.099999999999994</v>
      </c>
      <c r="D220" s="280" t="s">
        <v>5</v>
      </c>
      <c r="E220" s="281">
        <f>E210</f>
        <v>67500</v>
      </c>
      <c r="F220" s="281">
        <f t="shared" si="13"/>
        <v>5069250</v>
      </c>
    </row>
    <row r="221" spans="1:8" ht="41.4">
      <c r="A221" s="285"/>
      <c r="B221" s="280" t="s">
        <v>512</v>
      </c>
      <c r="C221" s="361">
        <f>1*3.75+3*1.75+1.75*1.9+1*0.6+1.7*1.1</f>
        <v>14.794999999999998</v>
      </c>
      <c r="D221" s="280" t="s">
        <v>5</v>
      </c>
      <c r="E221" s="281">
        <f>E211</f>
        <v>85000</v>
      </c>
      <c r="F221" s="281">
        <f t="shared" si="13"/>
        <v>1257574.9999999998</v>
      </c>
    </row>
    <row r="222" spans="1:8">
      <c r="A222" s="285"/>
      <c r="B222" s="280" t="s">
        <v>211</v>
      </c>
      <c r="C222" s="361">
        <f>112.3</f>
        <v>112.3</v>
      </c>
      <c r="D222" s="280" t="s">
        <v>8</v>
      </c>
      <c r="E222" s="281">
        <f>E212</f>
        <v>15500</v>
      </c>
      <c r="F222" s="281">
        <f t="shared" si="13"/>
        <v>1740650</v>
      </c>
    </row>
    <row r="223" spans="1:8">
      <c r="A223" s="285"/>
      <c r="B223" s="280" t="s">
        <v>513</v>
      </c>
      <c r="C223" s="361">
        <v>1</v>
      </c>
      <c r="D223" s="280" t="s">
        <v>204</v>
      </c>
      <c r="E223" s="281">
        <f>E213</f>
        <v>250000</v>
      </c>
      <c r="F223" s="281">
        <f t="shared" si="13"/>
        <v>250000</v>
      </c>
    </row>
    <row r="224" spans="1:8">
      <c r="A224" s="285"/>
      <c r="B224" s="285"/>
      <c r="C224" s="361"/>
      <c r="D224" s="285"/>
      <c r="E224" s="281"/>
      <c r="F224" s="281"/>
    </row>
    <row r="225" spans="1:6">
      <c r="A225" s="285"/>
      <c r="B225" s="280" t="s">
        <v>514</v>
      </c>
      <c r="C225" s="361"/>
      <c r="D225" s="285"/>
      <c r="E225" s="281"/>
      <c r="F225" s="281"/>
    </row>
    <row r="226" spans="1:6" ht="27.6">
      <c r="A226" s="285"/>
      <c r="B226" s="280" t="s">
        <v>210</v>
      </c>
      <c r="C226" s="356">
        <v>0</v>
      </c>
      <c r="D226" s="280" t="s">
        <v>5</v>
      </c>
      <c r="E226" s="281">
        <f>E220</f>
        <v>67500</v>
      </c>
      <c r="F226" s="281">
        <f t="shared" ref="F226:F233" si="14">+C226*E226</f>
        <v>0</v>
      </c>
    </row>
    <row r="227" spans="1:6" ht="41.4">
      <c r="A227" s="285"/>
      <c r="B227" s="280" t="s">
        <v>512</v>
      </c>
      <c r="C227" s="356">
        <v>0</v>
      </c>
      <c r="D227" s="280" t="s">
        <v>5</v>
      </c>
      <c r="E227" s="281">
        <f>E221</f>
        <v>85000</v>
      </c>
      <c r="F227" s="281">
        <f t="shared" si="14"/>
        <v>0</v>
      </c>
    </row>
    <row r="228" spans="1:6">
      <c r="A228" s="285"/>
      <c r="B228" s="280" t="s">
        <v>211</v>
      </c>
      <c r="C228" s="356">
        <v>0</v>
      </c>
      <c r="D228" s="280" t="s">
        <v>8</v>
      </c>
      <c r="E228" s="281">
        <f>E222</f>
        <v>15500</v>
      </c>
      <c r="F228" s="281">
        <f t="shared" si="14"/>
        <v>0</v>
      </c>
    </row>
    <row r="229" spans="1:6" ht="27.6">
      <c r="A229" s="285"/>
      <c r="B229" s="280" t="s">
        <v>515</v>
      </c>
      <c r="C229" s="356">
        <v>0</v>
      </c>
      <c r="D229" s="280" t="s">
        <v>5</v>
      </c>
      <c r="E229" s="281">
        <f>E220</f>
        <v>67500</v>
      </c>
      <c r="F229" s="281">
        <f t="shared" si="14"/>
        <v>0</v>
      </c>
    </row>
    <row r="230" spans="1:6">
      <c r="A230" s="285"/>
      <c r="B230" s="280" t="s">
        <v>516</v>
      </c>
      <c r="C230" s="356">
        <v>0</v>
      </c>
      <c r="D230" s="280" t="s">
        <v>204</v>
      </c>
      <c r="E230" s="281">
        <f>E223</f>
        <v>250000</v>
      </c>
      <c r="F230" s="281">
        <f>+C230*E230</f>
        <v>0</v>
      </c>
    </row>
    <row r="231" spans="1:6">
      <c r="A231" s="285"/>
      <c r="B231" s="286" t="s">
        <v>397</v>
      </c>
      <c r="C231" s="361"/>
      <c r="D231" s="280"/>
      <c r="E231" s="281"/>
      <c r="F231" s="281">
        <f t="shared" si="14"/>
        <v>0</v>
      </c>
    </row>
    <row r="232" spans="1:6">
      <c r="A232" s="285"/>
      <c r="B232" s="286" t="s">
        <v>398</v>
      </c>
      <c r="C232" s="361"/>
      <c r="D232" s="280"/>
      <c r="E232" s="281"/>
      <c r="F232" s="281">
        <f t="shared" si="14"/>
        <v>0</v>
      </c>
    </row>
    <row r="233" spans="1:6">
      <c r="A233" s="285"/>
      <c r="B233" s="286" t="s">
        <v>399</v>
      </c>
      <c r="C233" s="361"/>
      <c r="D233" s="280"/>
      <c r="E233" s="281"/>
      <c r="F233" s="281">
        <f t="shared" si="14"/>
        <v>0</v>
      </c>
    </row>
    <row r="234" spans="1:6">
      <c r="A234" s="285"/>
      <c r="B234" s="280"/>
      <c r="C234" s="361"/>
      <c r="D234" s="280"/>
      <c r="E234" s="281"/>
      <c r="F234" s="281"/>
    </row>
    <row r="235" spans="1:6" ht="27.6">
      <c r="A235" s="282" t="s">
        <v>21</v>
      </c>
      <c r="B235" s="282" t="s">
        <v>22</v>
      </c>
      <c r="C235" s="375"/>
      <c r="D235" s="282" t="s">
        <v>5</v>
      </c>
      <c r="E235" s="283"/>
      <c r="F235" s="284">
        <f>SUM(F236:F243)</f>
        <v>69947503.299999997</v>
      </c>
    </row>
    <row r="236" spans="1:6">
      <c r="A236" s="285"/>
      <c r="B236" s="280" t="s">
        <v>213</v>
      </c>
      <c r="C236" s="361"/>
      <c r="D236" s="280" t="s">
        <v>5</v>
      </c>
      <c r="E236" s="281"/>
      <c r="F236" s="281">
        <f t="shared" ref="F236:F243" si="15">+C236*E236</f>
        <v>0</v>
      </c>
    </row>
    <row r="237" spans="1:6" ht="27.6">
      <c r="A237" s="285"/>
      <c r="B237" s="280" t="s">
        <v>214</v>
      </c>
      <c r="C237" s="421">
        <f>(88.9*4.25-51.98)*0+300</f>
        <v>300</v>
      </c>
      <c r="D237" s="280" t="s">
        <v>5</v>
      </c>
      <c r="E237" s="281">
        <f>Analisa!F97</f>
        <v>106861.25</v>
      </c>
      <c r="F237" s="281">
        <f t="shared" si="15"/>
        <v>32058375</v>
      </c>
    </row>
    <row r="238" spans="1:6">
      <c r="A238" s="285"/>
      <c r="B238" s="280" t="s">
        <v>215</v>
      </c>
      <c r="C238" s="361">
        <f>C237*2-38.8*4.25-138*0.35+100-16</f>
        <v>470.8</v>
      </c>
      <c r="D238" s="280" t="s">
        <v>5</v>
      </c>
      <c r="E238" s="281">
        <f>Analisa!F109</f>
        <v>56880</v>
      </c>
      <c r="F238" s="281">
        <f t="shared" si="15"/>
        <v>26779104</v>
      </c>
    </row>
    <row r="239" spans="1:6">
      <c r="A239" s="285"/>
      <c r="B239" s="280" t="s">
        <v>216</v>
      </c>
      <c r="C239" s="361">
        <f>371</f>
        <v>371</v>
      </c>
      <c r="D239" s="280" t="s">
        <v>5</v>
      </c>
      <c r="E239" s="281">
        <f>Analisa!F118</f>
        <v>14391.2</v>
      </c>
      <c r="F239" s="281">
        <f t="shared" si="15"/>
        <v>5339135.2</v>
      </c>
    </row>
    <row r="240" spans="1:6">
      <c r="A240" s="285"/>
      <c r="B240" s="280" t="s">
        <v>217</v>
      </c>
      <c r="C240" s="361">
        <v>265</v>
      </c>
      <c r="D240" s="280" t="s">
        <v>8</v>
      </c>
      <c r="E240" s="281">
        <f>Analisa!F113</f>
        <v>21776.94</v>
      </c>
      <c r="F240" s="281">
        <f t="shared" si="15"/>
        <v>5770889.0999999996</v>
      </c>
    </row>
    <row r="241" spans="1:6">
      <c r="A241" s="285"/>
      <c r="B241" s="286" t="s">
        <v>397</v>
      </c>
      <c r="C241" s="361"/>
      <c r="D241" s="280"/>
      <c r="E241" s="281"/>
      <c r="F241" s="281">
        <f t="shared" si="15"/>
        <v>0</v>
      </c>
    </row>
    <row r="242" spans="1:6">
      <c r="A242" s="285"/>
      <c r="B242" s="286" t="s">
        <v>398</v>
      </c>
      <c r="C242" s="361"/>
      <c r="D242" s="280"/>
      <c r="E242" s="281"/>
      <c r="F242" s="281">
        <f t="shared" si="15"/>
        <v>0</v>
      </c>
    </row>
    <row r="243" spans="1:6">
      <c r="A243" s="285"/>
      <c r="B243" s="286" t="s">
        <v>399</v>
      </c>
      <c r="C243" s="361"/>
      <c r="D243" s="280"/>
      <c r="E243" s="281"/>
      <c r="F243" s="281">
        <f t="shared" si="15"/>
        <v>0</v>
      </c>
    </row>
    <row r="244" spans="1:6">
      <c r="A244" s="285"/>
      <c r="B244" s="280"/>
      <c r="C244" s="361"/>
      <c r="D244" s="280"/>
      <c r="E244" s="281"/>
      <c r="F244" s="281"/>
    </row>
    <row r="245" spans="1:6" ht="27.6">
      <c r="A245" s="282" t="s">
        <v>23</v>
      </c>
      <c r="B245" s="282" t="s">
        <v>24</v>
      </c>
      <c r="C245" s="375"/>
      <c r="D245" s="282" t="s">
        <v>5</v>
      </c>
      <c r="E245" s="283"/>
      <c r="F245" s="284">
        <f>SUM(F246:F254)</f>
        <v>70735143.219999999</v>
      </c>
    </row>
    <row r="246" spans="1:6">
      <c r="A246" s="285"/>
      <c r="B246" s="280" t="s">
        <v>218</v>
      </c>
      <c r="C246" s="361"/>
      <c r="D246" s="280" t="s">
        <v>5</v>
      </c>
      <c r="E246" s="281"/>
      <c r="F246" s="281">
        <f t="shared" ref="F246:F254" si="16">+C246*E246</f>
        <v>0</v>
      </c>
    </row>
    <row r="247" spans="1:6" ht="27.6">
      <c r="A247" s="285"/>
      <c r="B247" s="280" t="s">
        <v>517</v>
      </c>
      <c r="C247" s="421">
        <f>(87.25*3.8+7.7*1.9-49.39)*0+288</f>
        <v>288</v>
      </c>
      <c r="D247" s="280" t="s">
        <v>5</v>
      </c>
      <c r="E247" s="281">
        <f>E237</f>
        <v>106861.25</v>
      </c>
      <c r="F247" s="281">
        <f t="shared" si="16"/>
        <v>30776040</v>
      </c>
    </row>
    <row r="248" spans="1:6">
      <c r="A248" s="285"/>
      <c r="B248" s="280" t="s">
        <v>215</v>
      </c>
      <c r="C248" s="421">
        <f>(C247*2-23.8*3.8-7.7*1.9+35)*0+490</f>
        <v>490</v>
      </c>
      <c r="D248" s="280" t="s">
        <v>5</v>
      </c>
      <c r="E248" s="281">
        <f>E238</f>
        <v>56880</v>
      </c>
      <c r="F248" s="281">
        <f t="shared" si="16"/>
        <v>27871200</v>
      </c>
    </row>
    <row r="249" spans="1:6">
      <c r="A249" s="285"/>
      <c r="B249" s="280" t="s">
        <v>216</v>
      </c>
      <c r="C249" s="421">
        <f>C248-40</f>
        <v>450</v>
      </c>
      <c r="D249" s="280" t="s">
        <v>5</v>
      </c>
      <c r="E249" s="281">
        <f>E239</f>
        <v>14391.2</v>
      </c>
      <c r="F249" s="281">
        <f t="shared" si="16"/>
        <v>6476040</v>
      </c>
    </row>
    <row r="250" spans="1:6">
      <c r="A250" s="285"/>
      <c r="B250" s="280" t="s">
        <v>217</v>
      </c>
      <c r="C250" s="361">
        <v>213</v>
      </c>
      <c r="D250" s="280" t="s">
        <v>8</v>
      </c>
      <c r="E250" s="281">
        <f>E240</f>
        <v>21776.94</v>
      </c>
      <c r="F250" s="281">
        <f t="shared" si="16"/>
        <v>4638488.22</v>
      </c>
    </row>
    <row r="251" spans="1:6">
      <c r="A251" s="285"/>
      <c r="B251" s="280" t="s">
        <v>518</v>
      </c>
      <c r="C251" s="361">
        <f>3.75*1+1.75*4+1.9*1.75+1*0.9</f>
        <v>14.975</v>
      </c>
      <c r="D251" s="280" t="s">
        <v>5</v>
      </c>
      <c r="E251" s="281">
        <f>Analisa!F156</f>
        <v>65000</v>
      </c>
      <c r="F251" s="281">
        <f t="shared" si="16"/>
        <v>973375</v>
      </c>
    </row>
    <row r="252" spans="1:6">
      <c r="A252" s="285"/>
      <c r="B252" s="286" t="s">
        <v>397</v>
      </c>
      <c r="C252" s="361"/>
      <c r="D252" s="280"/>
      <c r="E252" s="281"/>
      <c r="F252" s="281">
        <f t="shared" si="16"/>
        <v>0</v>
      </c>
    </row>
    <row r="253" spans="1:6">
      <c r="A253" s="285"/>
      <c r="B253" s="286" t="s">
        <v>398</v>
      </c>
      <c r="C253" s="361"/>
      <c r="D253" s="280"/>
      <c r="E253" s="281"/>
      <c r="F253" s="281">
        <f t="shared" si="16"/>
        <v>0</v>
      </c>
    </row>
    <row r="254" spans="1:6">
      <c r="A254" s="285"/>
      <c r="B254" s="286" t="s">
        <v>399</v>
      </c>
      <c r="C254" s="361"/>
      <c r="D254" s="280"/>
      <c r="E254" s="281"/>
      <c r="F254" s="281">
        <f t="shared" si="16"/>
        <v>0</v>
      </c>
    </row>
    <row r="255" spans="1:6">
      <c r="A255" s="285"/>
      <c r="B255" s="280"/>
      <c r="C255" s="361"/>
      <c r="D255" s="280"/>
      <c r="E255" s="281"/>
      <c r="F255" s="281"/>
    </row>
    <row r="256" spans="1:6" ht="27.6">
      <c r="A256" s="282" t="s">
        <v>519</v>
      </c>
      <c r="B256" s="282" t="s">
        <v>520</v>
      </c>
      <c r="C256" s="375">
        <v>1</v>
      </c>
      <c r="D256" s="282" t="s">
        <v>8</v>
      </c>
      <c r="E256" s="283">
        <v>0</v>
      </c>
      <c r="F256" s="284">
        <f>SUM(F257:F264)</f>
        <v>8072332.7175000003</v>
      </c>
    </row>
    <row r="257" spans="1:6">
      <c r="A257" s="285"/>
      <c r="B257" s="280" t="s">
        <v>521</v>
      </c>
      <c r="C257" s="361">
        <v>1</v>
      </c>
      <c r="D257" s="280" t="s">
        <v>8</v>
      </c>
      <c r="E257" s="281"/>
      <c r="F257" s="281">
        <f>+C257*E257</f>
        <v>0</v>
      </c>
    </row>
    <row r="258" spans="1:6" ht="27.6">
      <c r="A258" s="285"/>
      <c r="B258" s="280" t="s">
        <v>517</v>
      </c>
      <c r="C258" s="361">
        <f>18.9*1.5</f>
        <v>28.349999999999998</v>
      </c>
      <c r="D258" s="280" t="s">
        <v>5</v>
      </c>
      <c r="E258" s="281">
        <f>E247</f>
        <v>106861.25</v>
      </c>
      <c r="F258" s="281">
        <f t="shared" ref="F258:F264" si="17">+C258*E258</f>
        <v>3029516.4375</v>
      </c>
    </row>
    <row r="259" spans="1:6">
      <c r="A259" s="285"/>
      <c r="B259" s="280" t="s">
        <v>215</v>
      </c>
      <c r="C259" s="361">
        <f>C258*2</f>
        <v>56.699999999999996</v>
      </c>
      <c r="D259" s="280" t="s">
        <v>5</v>
      </c>
      <c r="E259" s="281">
        <f>E248</f>
        <v>56880</v>
      </c>
      <c r="F259" s="281">
        <f t="shared" si="17"/>
        <v>3225095.9999999995</v>
      </c>
    </row>
    <row r="260" spans="1:6">
      <c r="A260" s="285"/>
      <c r="B260" s="280" t="s">
        <v>216</v>
      </c>
      <c r="C260" s="361">
        <f>C259</f>
        <v>56.699999999999996</v>
      </c>
      <c r="D260" s="280" t="s">
        <v>5</v>
      </c>
      <c r="E260" s="281">
        <f>E249</f>
        <v>14391.2</v>
      </c>
      <c r="F260" s="281">
        <f t="shared" si="17"/>
        <v>815981.04</v>
      </c>
    </row>
    <row r="261" spans="1:6">
      <c r="A261" s="285"/>
      <c r="B261" s="280" t="s">
        <v>217</v>
      </c>
      <c r="C261" s="361">
        <v>46</v>
      </c>
      <c r="D261" s="280" t="s">
        <v>8</v>
      </c>
      <c r="E261" s="281">
        <f>E250</f>
        <v>21776.94</v>
      </c>
      <c r="F261" s="281">
        <f t="shared" si="17"/>
        <v>1001739.24</v>
      </c>
    </row>
    <row r="262" spans="1:6">
      <c r="A262" s="285"/>
      <c r="B262" s="286" t="s">
        <v>397</v>
      </c>
      <c r="C262" s="361"/>
      <c r="D262" s="280"/>
      <c r="E262" s="281"/>
      <c r="F262" s="281">
        <f t="shared" si="17"/>
        <v>0</v>
      </c>
    </row>
    <row r="263" spans="1:6">
      <c r="A263" s="285"/>
      <c r="B263" s="286" t="s">
        <v>398</v>
      </c>
      <c r="C263" s="361"/>
      <c r="D263" s="280"/>
      <c r="E263" s="281"/>
      <c r="F263" s="281">
        <f t="shared" si="17"/>
        <v>0</v>
      </c>
    </row>
    <row r="264" spans="1:6">
      <c r="A264" s="285"/>
      <c r="B264" s="286" t="s">
        <v>399</v>
      </c>
      <c r="C264" s="361"/>
      <c r="D264" s="280"/>
      <c r="E264" s="281"/>
      <c r="F264" s="281">
        <f t="shared" si="17"/>
        <v>0</v>
      </c>
    </row>
    <row r="265" spans="1:6">
      <c r="A265" s="285"/>
      <c r="B265" s="280"/>
      <c r="C265" s="361"/>
      <c r="D265" s="280"/>
      <c r="E265" s="281"/>
      <c r="F265" s="281"/>
    </row>
    <row r="266" spans="1:6" ht="27.6">
      <c r="A266" s="282" t="s">
        <v>219</v>
      </c>
      <c r="B266" s="282" t="s">
        <v>220</v>
      </c>
      <c r="C266" s="375">
        <v>1</v>
      </c>
      <c r="D266" s="282" t="s">
        <v>6</v>
      </c>
      <c r="E266" s="283">
        <v>0</v>
      </c>
      <c r="F266" s="284">
        <f>SUM(F267:F277)</f>
        <v>8812080.7760000005</v>
      </c>
    </row>
    <row r="267" spans="1:6">
      <c r="A267" s="285"/>
      <c r="B267" s="280" t="s">
        <v>522</v>
      </c>
      <c r="C267" s="361"/>
      <c r="D267" s="280" t="s">
        <v>6</v>
      </c>
      <c r="E267" s="281"/>
      <c r="F267" s="281">
        <f>+C267*E267</f>
        <v>0</v>
      </c>
    </row>
    <row r="268" spans="1:6">
      <c r="A268" s="285"/>
      <c r="B268" s="280" t="s">
        <v>221</v>
      </c>
      <c r="C268" s="361">
        <f>20*2</f>
        <v>40</v>
      </c>
      <c r="D268" s="280" t="s">
        <v>6</v>
      </c>
      <c r="E268" s="360">
        <f>E250</f>
        <v>21776.94</v>
      </c>
      <c r="F268" s="281">
        <f t="shared" ref="F268:F277" si="18">+C268*E268</f>
        <v>871077.6</v>
      </c>
    </row>
    <row r="269" spans="1:6" ht="27.6">
      <c r="A269" s="285"/>
      <c r="B269" s="280" t="s">
        <v>222</v>
      </c>
      <c r="C269" s="361">
        <v>20</v>
      </c>
      <c r="D269" s="280" t="s">
        <v>5</v>
      </c>
      <c r="E269" s="281">
        <f>Analisa!$F$156+712000/20+15000</f>
        <v>115600</v>
      </c>
      <c r="F269" s="281">
        <f t="shared" si="18"/>
        <v>2312000</v>
      </c>
    </row>
    <row r="270" spans="1:6" ht="27.6">
      <c r="A270" s="285"/>
      <c r="B270" s="280" t="s">
        <v>223</v>
      </c>
      <c r="C270" s="361">
        <v>20</v>
      </c>
      <c r="D270" s="280" t="s">
        <v>8</v>
      </c>
      <c r="E270" s="281">
        <f>Analisa!$F$193</f>
        <v>27150</v>
      </c>
      <c r="F270" s="281">
        <f t="shared" si="18"/>
        <v>543000</v>
      </c>
    </row>
    <row r="271" spans="1:6" ht="27.6">
      <c r="A271" s="285"/>
      <c r="B271" s="280" t="s">
        <v>224</v>
      </c>
      <c r="C271" s="361">
        <v>20</v>
      </c>
      <c r="D271" s="280" t="s">
        <v>5</v>
      </c>
      <c r="E271" s="281">
        <f>Analisa!$F$123</f>
        <v>24434.400000000001</v>
      </c>
      <c r="F271" s="281">
        <f t="shared" si="18"/>
        <v>488688</v>
      </c>
    </row>
    <row r="272" spans="1:6">
      <c r="A272" s="285"/>
      <c r="B272" s="280" t="s">
        <v>523</v>
      </c>
      <c r="C272" s="356">
        <v>0</v>
      </c>
      <c r="D272" s="280" t="s">
        <v>8</v>
      </c>
      <c r="E272" s="281">
        <f>E270</f>
        <v>27150</v>
      </c>
      <c r="F272" s="281">
        <f t="shared" si="18"/>
        <v>0</v>
      </c>
    </row>
    <row r="273" spans="1:7">
      <c r="A273" s="285"/>
      <c r="B273" s="280" t="s">
        <v>524</v>
      </c>
      <c r="C273" s="402">
        <v>52.5</v>
      </c>
      <c r="D273" s="280" t="s">
        <v>8</v>
      </c>
      <c r="E273" s="360">
        <f>Analisa!F189</f>
        <v>33750</v>
      </c>
      <c r="F273" s="281">
        <f t="shared" si="18"/>
        <v>1771875</v>
      </c>
      <c r="G273" s="358"/>
    </row>
    <row r="274" spans="1:7">
      <c r="A274" s="285"/>
      <c r="B274" s="280" t="s">
        <v>525</v>
      </c>
      <c r="C274" s="361">
        <f>8.6*1.4</f>
        <v>12.04</v>
      </c>
      <c r="D274" s="280" t="s">
        <v>5</v>
      </c>
      <c r="E274" s="281">
        <f>E271</f>
        <v>24434.400000000001</v>
      </c>
      <c r="F274" s="281">
        <f t="shared" si="18"/>
        <v>294190.17599999998</v>
      </c>
    </row>
    <row r="275" spans="1:7">
      <c r="A275" s="285"/>
      <c r="B275" s="286" t="s">
        <v>397</v>
      </c>
      <c r="C275" s="361"/>
      <c r="D275" s="280"/>
      <c r="E275" s="281"/>
      <c r="F275" s="281">
        <f t="shared" si="18"/>
        <v>0</v>
      </c>
    </row>
    <row r="276" spans="1:7">
      <c r="A276" s="285"/>
      <c r="B276" s="286" t="s">
        <v>834</v>
      </c>
      <c r="C276" s="361">
        <v>75</v>
      </c>
      <c r="D276" s="280" t="s">
        <v>8</v>
      </c>
      <c r="E276" s="281">
        <f>E273</f>
        <v>33750</v>
      </c>
      <c r="F276" s="281">
        <f t="shared" si="18"/>
        <v>2531250</v>
      </c>
    </row>
    <row r="277" spans="1:7">
      <c r="A277" s="285"/>
      <c r="B277" s="286" t="s">
        <v>399</v>
      </c>
      <c r="C277" s="361"/>
      <c r="D277" s="280"/>
      <c r="E277" s="281"/>
      <c r="F277" s="281">
        <f t="shared" si="18"/>
        <v>0</v>
      </c>
    </row>
    <row r="278" spans="1:7">
      <c r="A278" s="285"/>
      <c r="B278" s="280"/>
      <c r="C278" s="361"/>
      <c r="D278" s="280"/>
      <c r="E278" s="281"/>
      <c r="F278" s="281"/>
    </row>
    <row r="279" spans="1:7">
      <c r="A279" s="282" t="s">
        <v>25</v>
      </c>
      <c r="B279" s="282" t="s">
        <v>26</v>
      </c>
      <c r="C279" s="375"/>
      <c r="D279" s="282" t="s">
        <v>5</v>
      </c>
      <c r="E279" s="283"/>
      <c r="F279" s="284">
        <f>SUM(F280:F297)</f>
        <v>30690867.590090089</v>
      </c>
    </row>
    <row r="280" spans="1:7">
      <c r="A280" s="285"/>
      <c r="B280" s="280" t="s">
        <v>225</v>
      </c>
      <c r="C280" s="361"/>
      <c r="D280" s="280" t="s">
        <v>5</v>
      </c>
      <c r="E280" s="281"/>
      <c r="F280" s="281">
        <f t="shared" ref="F280:F297" si="19">+C280*E280</f>
        <v>0</v>
      </c>
    </row>
    <row r="281" spans="1:7" ht="27.6">
      <c r="A281" s="285"/>
      <c r="B281" s="280" t="s">
        <v>526</v>
      </c>
      <c r="C281" s="361">
        <v>55</v>
      </c>
      <c r="D281" s="280" t="s">
        <v>5</v>
      </c>
      <c r="E281" s="360">
        <f>128000/1.11</f>
        <v>115315.31531531531</v>
      </c>
      <c r="F281" s="281">
        <f t="shared" si="19"/>
        <v>6342342.3423423423</v>
      </c>
    </row>
    <row r="282" spans="1:7" ht="27.6">
      <c r="A282" s="285"/>
      <c r="B282" s="280" t="s">
        <v>527</v>
      </c>
      <c r="C282" s="361">
        <f>C281*1.05</f>
        <v>57.75</v>
      </c>
      <c r="D282" s="280" t="s">
        <v>5</v>
      </c>
      <c r="E282" s="281">
        <f>Analisa!$F$211</f>
        <v>116317.56756756756</v>
      </c>
      <c r="F282" s="281">
        <f t="shared" si="19"/>
        <v>6717339.5270270268</v>
      </c>
    </row>
    <row r="283" spans="1:7" ht="27.6">
      <c r="A283" s="285"/>
      <c r="B283" s="280" t="s">
        <v>226</v>
      </c>
      <c r="C283" s="361">
        <v>10</v>
      </c>
      <c r="D283" s="280" t="s">
        <v>8</v>
      </c>
      <c r="E283" s="281">
        <f>Analisa!$F$219</f>
        <v>237572.07207207207</v>
      </c>
      <c r="F283" s="281">
        <f t="shared" si="19"/>
        <v>2375720.7207207205</v>
      </c>
    </row>
    <row r="284" spans="1:7">
      <c r="A284" s="285"/>
      <c r="B284" s="280" t="s">
        <v>227</v>
      </c>
      <c r="C284" s="356">
        <v>0</v>
      </c>
      <c r="D284" s="280" t="s">
        <v>204</v>
      </c>
      <c r="E284" s="281">
        <v>0</v>
      </c>
      <c r="F284" s="281">
        <f t="shared" si="19"/>
        <v>0</v>
      </c>
    </row>
    <row r="285" spans="1:7" ht="27.6">
      <c r="A285" s="285"/>
      <c r="B285" s="280" t="s">
        <v>528</v>
      </c>
      <c r="C285" s="356">
        <v>0</v>
      </c>
      <c r="D285" s="280" t="s">
        <v>204</v>
      </c>
      <c r="E285" s="281">
        <v>0</v>
      </c>
      <c r="F285" s="281">
        <f t="shared" si="19"/>
        <v>0</v>
      </c>
    </row>
    <row r="286" spans="1:7">
      <c r="A286" s="285"/>
      <c r="B286" s="280" t="s">
        <v>529</v>
      </c>
      <c r="C286" s="359">
        <v>0</v>
      </c>
      <c r="D286" s="280" t="s">
        <v>8</v>
      </c>
      <c r="E286" s="281">
        <f>Analisa!$F$224</f>
        <v>56000</v>
      </c>
      <c r="F286" s="281">
        <f t="shared" si="19"/>
        <v>0</v>
      </c>
    </row>
    <row r="287" spans="1:7">
      <c r="A287" s="285"/>
      <c r="B287" s="280" t="s">
        <v>530</v>
      </c>
      <c r="C287" s="356">
        <v>0</v>
      </c>
      <c r="D287" s="280" t="s">
        <v>8</v>
      </c>
      <c r="E287" s="281">
        <v>0</v>
      </c>
      <c r="F287" s="281">
        <f t="shared" si="19"/>
        <v>0</v>
      </c>
    </row>
    <row r="288" spans="1:7">
      <c r="A288" s="285"/>
      <c r="B288" s="280" t="s">
        <v>531</v>
      </c>
      <c r="C288" s="361">
        <v>21</v>
      </c>
      <c r="D288" s="280" t="s">
        <v>8</v>
      </c>
      <c r="E288" s="281">
        <f>695000/5+15000+57750/1.2+35000</f>
        <v>237125</v>
      </c>
      <c r="F288" s="281">
        <f>+C288*E288</f>
        <v>4979625</v>
      </c>
    </row>
    <row r="289" spans="1:8" ht="27.6">
      <c r="A289" s="285"/>
      <c r="B289" s="280" t="s">
        <v>828</v>
      </c>
      <c r="C289" s="361">
        <f>0.75*2.75</f>
        <v>2.0625</v>
      </c>
      <c r="D289" s="280" t="s">
        <v>5</v>
      </c>
      <c r="E289" s="409">
        <f>850000</f>
        <v>850000</v>
      </c>
      <c r="F289" s="281">
        <f t="shared" si="19"/>
        <v>1753125</v>
      </c>
    </row>
    <row r="290" spans="1:8" ht="27.6">
      <c r="A290" s="285"/>
      <c r="B290" s="280" t="s">
        <v>532</v>
      </c>
      <c r="C290" s="361">
        <f>0.5*1.1</f>
        <v>0.55000000000000004</v>
      </c>
      <c r="D290" s="280" t="s">
        <v>5</v>
      </c>
      <c r="E290" s="409">
        <f>E289</f>
        <v>850000</v>
      </c>
      <c r="F290" s="281">
        <f t="shared" si="19"/>
        <v>467500.00000000006</v>
      </c>
    </row>
    <row r="291" spans="1:8" ht="27.6">
      <c r="A291" s="285"/>
      <c r="B291" s="280" t="s">
        <v>830</v>
      </c>
      <c r="C291" s="361">
        <f>1.73*0.95</f>
        <v>1.6435</v>
      </c>
      <c r="D291" s="280" t="s">
        <v>5</v>
      </c>
      <c r="E291" s="409">
        <f>E290</f>
        <v>850000</v>
      </c>
      <c r="F291" s="281">
        <f t="shared" si="19"/>
        <v>1396975</v>
      </c>
    </row>
    <row r="292" spans="1:8" ht="27.6">
      <c r="A292" s="285"/>
      <c r="B292" s="280" t="s">
        <v>831</v>
      </c>
      <c r="C292" s="361">
        <f>2*2.25</f>
        <v>4.5</v>
      </c>
      <c r="D292" s="280" t="s">
        <v>5</v>
      </c>
      <c r="E292" s="409">
        <f>E291+200000</f>
        <v>1050000</v>
      </c>
      <c r="F292" s="281">
        <f t="shared" si="19"/>
        <v>4725000</v>
      </c>
    </row>
    <row r="293" spans="1:8" ht="27.6">
      <c r="A293" s="285"/>
      <c r="B293" s="280" t="s">
        <v>533</v>
      </c>
      <c r="C293" s="361">
        <f>0.6*2.3</f>
        <v>1.38</v>
      </c>
      <c r="D293" s="280" t="s">
        <v>5</v>
      </c>
      <c r="E293" s="410">
        <f>E290</f>
        <v>850000</v>
      </c>
      <c r="F293" s="281">
        <f t="shared" si="19"/>
        <v>1173000</v>
      </c>
    </row>
    <row r="294" spans="1:8" ht="27.6">
      <c r="A294" s="285"/>
      <c r="B294" s="280" t="s">
        <v>829</v>
      </c>
      <c r="C294" s="361">
        <f>1.72*0.52</f>
        <v>0.89439999999999997</v>
      </c>
      <c r="D294" s="280" t="s">
        <v>5</v>
      </c>
      <c r="E294" s="410">
        <f>E293</f>
        <v>850000</v>
      </c>
      <c r="F294" s="281">
        <f t="shared" si="19"/>
        <v>760240</v>
      </c>
    </row>
    <row r="295" spans="1:8">
      <c r="A295" s="285"/>
      <c r="B295" s="286" t="s">
        <v>397</v>
      </c>
      <c r="C295" s="361"/>
      <c r="D295" s="280"/>
      <c r="E295" s="281"/>
      <c r="F295" s="281">
        <f>+C295*E295</f>
        <v>0</v>
      </c>
    </row>
    <row r="296" spans="1:8">
      <c r="A296" s="285"/>
      <c r="B296" s="286" t="s">
        <v>398</v>
      </c>
      <c r="C296" s="361"/>
      <c r="D296" s="280"/>
      <c r="E296" s="281"/>
      <c r="F296" s="281">
        <f t="shared" si="19"/>
        <v>0</v>
      </c>
    </row>
    <row r="297" spans="1:8">
      <c r="A297" s="285"/>
      <c r="B297" s="286" t="s">
        <v>399</v>
      </c>
      <c r="C297" s="361"/>
      <c r="D297" s="280"/>
      <c r="E297" s="281"/>
      <c r="F297" s="281">
        <f t="shared" si="19"/>
        <v>0</v>
      </c>
    </row>
    <row r="298" spans="1:8">
      <c r="A298" s="285"/>
      <c r="B298" s="286"/>
      <c r="C298" s="361"/>
      <c r="D298" s="280"/>
      <c r="E298" s="281"/>
      <c r="F298" s="281"/>
    </row>
    <row r="299" spans="1:8" ht="27.6">
      <c r="A299" s="282" t="s">
        <v>228</v>
      </c>
      <c r="B299" s="282" t="s">
        <v>229</v>
      </c>
      <c r="C299" s="375"/>
      <c r="D299" s="282" t="s">
        <v>7</v>
      </c>
      <c r="E299" s="283"/>
      <c r="F299" s="284">
        <f>SUM(F300:F339)+112500000</f>
        <v>173647733.52252251</v>
      </c>
      <c r="H299" s="403"/>
    </row>
    <row r="300" spans="1:8" ht="27.6">
      <c r="A300" s="285"/>
      <c r="B300" s="280" t="s">
        <v>535</v>
      </c>
      <c r="C300" s="361"/>
      <c r="D300" s="280" t="s">
        <v>7</v>
      </c>
      <c r="E300" s="281"/>
      <c r="F300" s="281"/>
    </row>
    <row r="301" spans="1:8">
      <c r="A301" s="285"/>
      <c r="B301" s="280" t="s">
        <v>536</v>
      </c>
      <c r="C301" s="356">
        <v>1</v>
      </c>
      <c r="D301" s="280" t="s">
        <v>204</v>
      </c>
      <c r="E301" s="281">
        <f>4664234*0</f>
        <v>0</v>
      </c>
      <c r="F301" s="281">
        <f t="shared" ref="F301:F339" si="20">+C301*E301</f>
        <v>0</v>
      </c>
      <c r="H301" s="358"/>
    </row>
    <row r="302" spans="1:8">
      <c r="A302" s="285"/>
      <c r="B302" s="280" t="s">
        <v>537</v>
      </c>
      <c r="C302" s="356">
        <f>1</f>
        <v>1</v>
      </c>
      <c r="D302" s="280" t="s">
        <v>204</v>
      </c>
      <c r="E302" s="281">
        <f>28441018*0</f>
        <v>0</v>
      </c>
      <c r="F302" s="281">
        <f t="shared" si="20"/>
        <v>0</v>
      </c>
    </row>
    <row r="303" spans="1:8">
      <c r="A303" s="285"/>
      <c r="B303" s="280" t="s">
        <v>538</v>
      </c>
      <c r="C303" s="356">
        <f>1</f>
        <v>1</v>
      </c>
      <c r="D303" s="280" t="s">
        <v>204</v>
      </c>
      <c r="E303" s="281">
        <f>10681808*0</f>
        <v>0</v>
      </c>
      <c r="F303" s="281">
        <f t="shared" si="20"/>
        <v>0</v>
      </c>
    </row>
    <row r="304" spans="1:8">
      <c r="A304" s="285"/>
      <c r="B304" s="280" t="s">
        <v>539</v>
      </c>
      <c r="C304" s="356">
        <v>0</v>
      </c>
      <c r="D304" s="280" t="s">
        <v>204</v>
      </c>
      <c r="E304" s="360">
        <v>0</v>
      </c>
      <c r="F304" s="281">
        <f t="shared" si="20"/>
        <v>0</v>
      </c>
    </row>
    <row r="305" spans="1:6">
      <c r="A305" s="285"/>
      <c r="B305" s="280" t="s">
        <v>540</v>
      </c>
      <c r="C305" s="356">
        <f>0+1</f>
        <v>1</v>
      </c>
      <c r="D305" s="280" t="s">
        <v>204</v>
      </c>
      <c r="E305" s="281">
        <f>4795295*0</f>
        <v>0</v>
      </c>
      <c r="F305" s="281">
        <f t="shared" si="20"/>
        <v>0</v>
      </c>
    </row>
    <row r="306" spans="1:6">
      <c r="A306" s="285"/>
      <c r="B306" s="280" t="s">
        <v>541</v>
      </c>
      <c r="C306" s="356">
        <f>0+1</f>
        <v>1</v>
      </c>
      <c r="D306" s="280" t="s">
        <v>204</v>
      </c>
      <c r="E306" s="281">
        <f>4453907*0</f>
        <v>0</v>
      </c>
      <c r="F306" s="281">
        <f t="shared" si="20"/>
        <v>0</v>
      </c>
    </row>
    <row r="307" spans="1:6">
      <c r="A307" s="285"/>
      <c r="B307" s="280" t="s">
        <v>542</v>
      </c>
      <c r="C307" s="356">
        <f>0+1</f>
        <v>1</v>
      </c>
      <c r="D307" s="280" t="s">
        <v>204</v>
      </c>
      <c r="E307" s="281">
        <f>19094658*0</f>
        <v>0</v>
      </c>
      <c r="F307" s="281">
        <f t="shared" si="20"/>
        <v>0</v>
      </c>
    </row>
    <row r="308" spans="1:6">
      <c r="A308" s="285"/>
      <c r="B308" s="280" t="s">
        <v>543</v>
      </c>
      <c r="C308" s="356">
        <v>0</v>
      </c>
      <c r="D308" s="280" t="s">
        <v>204</v>
      </c>
      <c r="E308" s="281">
        <v>0</v>
      </c>
      <c r="F308" s="281">
        <f t="shared" si="20"/>
        <v>0</v>
      </c>
    </row>
    <row r="309" spans="1:6">
      <c r="A309" s="285"/>
      <c r="B309" s="280" t="s">
        <v>544</v>
      </c>
      <c r="C309" s="356">
        <v>1</v>
      </c>
      <c r="D309" s="280" t="s">
        <v>204</v>
      </c>
      <c r="E309" s="281">
        <f>6951325*0</f>
        <v>0</v>
      </c>
      <c r="F309" s="281">
        <f t="shared" si="20"/>
        <v>0</v>
      </c>
    </row>
    <row r="310" spans="1:6">
      <c r="A310" s="285"/>
      <c r="B310" s="280" t="s">
        <v>545</v>
      </c>
      <c r="C310" s="356">
        <v>0</v>
      </c>
      <c r="D310" s="280" t="s">
        <v>204</v>
      </c>
      <c r="E310" s="281">
        <v>0</v>
      </c>
      <c r="F310" s="281">
        <f t="shared" si="20"/>
        <v>0</v>
      </c>
    </row>
    <row r="311" spans="1:6">
      <c r="A311" s="285"/>
      <c r="B311" s="280" t="s">
        <v>546</v>
      </c>
      <c r="C311" s="356">
        <v>1</v>
      </c>
      <c r="D311" s="280" t="s">
        <v>204</v>
      </c>
      <c r="E311" s="281">
        <f>8411650*0</f>
        <v>0</v>
      </c>
      <c r="F311" s="281">
        <f t="shared" si="20"/>
        <v>0</v>
      </c>
    </row>
    <row r="312" spans="1:6">
      <c r="A312" s="285"/>
      <c r="B312" s="280" t="s">
        <v>547</v>
      </c>
      <c r="C312" s="356">
        <v>1</v>
      </c>
      <c r="D312" s="280" t="s">
        <v>204</v>
      </c>
      <c r="E312" s="281">
        <f>7043439*0</f>
        <v>0</v>
      </c>
      <c r="F312" s="281">
        <f t="shared" si="20"/>
        <v>0</v>
      </c>
    </row>
    <row r="313" spans="1:6">
      <c r="A313" s="285"/>
      <c r="B313" s="280" t="s">
        <v>548</v>
      </c>
      <c r="C313" s="356">
        <v>1</v>
      </c>
      <c r="D313" s="280" t="s">
        <v>204</v>
      </c>
      <c r="E313" s="281">
        <f>1060040*0</f>
        <v>0</v>
      </c>
      <c r="F313" s="281">
        <f t="shared" si="20"/>
        <v>0</v>
      </c>
    </row>
    <row r="314" spans="1:6">
      <c r="A314" s="285"/>
      <c r="B314" s="280" t="s">
        <v>549</v>
      </c>
      <c r="C314" s="356">
        <v>1</v>
      </c>
      <c r="D314" s="280" t="s">
        <v>204</v>
      </c>
      <c r="E314" s="281">
        <f>2872584*0</f>
        <v>0</v>
      </c>
      <c r="F314" s="281">
        <f t="shared" si="20"/>
        <v>0</v>
      </c>
    </row>
    <row r="315" spans="1:6">
      <c r="A315" s="285"/>
      <c r="B315" s="280" t="s">
        <v>550</v>
      </c>
      <c r="C315" s="356">
        <v>1</v>
      </c>
      <c r="D315" s="280" t="s">
        <v>204</v>
      </c>
      <c r="E315" s="281">
        <f>3353630*0</f>
        <v>0</v>
      </c>
      <c r="F315" s="281">
        <f t="shared" si="20"/>
        <v>0</v>
      </c>
    </row>
    <row r="316" spans="1:6">
      <c r="A316" s="285"/>
      <c r="B316" s="280" t="s">
        <v>551</v>
      </c>
      <c r="C316" s="356">
        <v>1</v>
      </c>
      <c r="D316" s="280" t="s">
        <v>204</v>
      </c>
      <c r="E316" s="281">
        <f>2877006*0</f>
        <v>0</v>
      </c>
      <c r="F316" s="281">
        <f t="shared" si="20"/>
        <v>0</v>
      </c>
    </row>
    <row r="317" spans="1:6">
      <c r="A317" s="285"/>
      <c r="B317" s="280" t="s">
        <v>552</v>
      </c>
      <c r="C317" s="356">
        <v>1</v>
      </c>
      <c r="D317" s="280" t="s">
        <v>204</v>
      </c>
      <c r="E317" s="281">
        <f>3374719*0</f>
        <v>0</v>
      </c>
      <c r="F317" s="281">
        <f t="shared" si="20"/>
        <v>0</v>
      </c>
    </row>
    <row r="318" spans="1:6">
      <c r="A318" s="285"/>
      <c r="B318" s="280" t="s">
        <v>553</v>
      </c>
      <c r="C318" s="356">
        <v>1</v>
      </c>
      <c r="D318" s="280" t="s">
        <v>204</v>
      </c>
      <c r="E318" s="281">
        <f>3401785*0</f>
        <v>0</v>
      </c>
      <c r="F318" s="281">
        <f t="shared" si="20"/>
        <v>0</v>
      </c>
    </row>
    <row r="319" spans="1:6">
      <c r="A319" s="285"/>
      <c r="B319" s="280" t="s">
        <v>554</v>
      </c>
      <c r="C319" s="356">
        <v>1</v>
      </c>
      <c r="D319" s="280" t="s">
        <v>204</v>
      </c>
      <c r="E319" s="281">
        <f>5528272*0</f>
        <v>0</v>
      </c>
      <c r="F319" s="281">
        <f t="shared" si="20"/>
        <v>0</v>
      </c>
    </row>
    <row r="320" spans="1:6">
      <c r="A320" s="285"/>
      <c r="B320" s="280" t="s">
        <v>555</v>
      </c>
      <c r="C320" s="356">
        <v>1</v>
      </c>
      <c r="D320" s="280" t="s">
        <v>204</v>
      </c>
      <c r="E320" s="281">
        <f>460334*0</f>
        <v>0</v>
      </c>
      <c r="F320" s="281">
        <f t="shared" si="20"/>
        <v>0</v>
      </c>
    </row>
    <row r="321" spans="1:6">
      <c r="A321" s="285"/>
      <c r="B321" s="280" t="s">
        <v>556</v>
      </c>
      <c r="C321" s="356">
        <v>0</v>
      </c>
      <c r="D321" s="280" t="s">
        <v>204</v>
      </c>
      <c r="E321" s="281">
        <v>0</v>
      </c>
      <c r="F321" s="281">
        <f t="shared" si="20"/>
        <v>0</v>
      </c>
    </row>
    <row r="322" spans="1:6">
      <c r="A322" s="285"/>
      <c r="B322" s="280" t="s">
        <v>557</v>
      </c>
      <c r="C322" s="356">
        <v>0</v>
      </c>
      <c r="D322" s="280" t="s">
        <v>204</v>
      </c>
      <c r="E322" s="281">
        <v>0</v>
      </c>
      <c r="F322" s="281">
        <f t="shared" si="20"/>
        <v>0</v>
      </c>
    </row>
    <row r="323" spans="1:6">
      <c r="A323" s="285"/>
      <c r="B323" s="285"/>
      <c r="C323" s="356"/>
      <c r="D323" s="285"/>
      <c r="E323" s="281"/>
      <c r="F323" s="281">
        <f t="shared" si="20"/>
        <v>0</v>
      </c>
    </row>
    <row r="324" spans="1:6">
      <c r="A324" s="285"/>
      <c r="B324" s="280" t="s">
        <v>558</v>
      </c>
      <c r="C324" s="356"/>
      <c r="D324" s="285"/>
      <c r="E324" s="281"/>
      <c r="F324" s="281">
        <f t="shared" si="20"/>
        <v>0</v>
      </c>
    </row>
    <row r="325" spans="1:6">
      <c r="A325" s="285"/>
      <c r="B325" s="280" t="s">
        <v>559</v>
      </c>
      <c r="C325" s="356"/>
      <c r="D325" s="285"/>
      <c r="E325" s="281"/>
      <c r="F325" s="281">
        <f t="shared" si="20"/>
        <v>0</v>
      </c>
    </row>
    <row r="326" spans="1:6">
      <c r="A326" s="285"/>
      <c r="B326" s="280" t="s">
        <v>560</v>
      </c>
      <c r="C326" s="356">
        <f>1</f>
        <v>1</v>
      </c>
      <c r="D326" s="280" t="s">
        <v>204</v>
      </c>
      <c r="E326" s="281">
        <f>'AN KUSEN MAPLE'!G25</f>
        <v>2802319.8198198196</v>
      </c>
      <c r="F326" s="281">
        <f t="shared" si="20"/>
        <v>2802319.8198198196</v>
      </c>
    </row>
    <row r="327" spans="1:6">
      <c r="A327" s="285"/>
      <c r="B327" s="280" t="s">
        <v>561</v>
      </c>
      <c r="C327" s="356">
        <f>2</f>
        <v>2</v>
      </c>
      <c r="D327" s="280" t="s">
        <v>204</v>
      </c>
      <c r="E327" s="281">
        <f>'AN KUSEN MAPLE'!G44</f>
        <v>4516261.261261262</v>
      </c>
      <c r="F327" s="281">
        <f t="shared" si="20"/>
        <v>9032522.522522524</v>
      </c>
    </row>
    <row r="328" spans="1:6">
      <c r="A328" s="285"/>
      <c r="B328" s="280" t="s">
        <v>562</v>
      </c>
      <c r="C328" s="356">
        <f>1</f>
        <v>1</v>
      </c>
      <c r="D328" s="280" t="s">
        <v>204</v>
      </c>
      <c r="E328" s="281">
        <f>'AN KUSEN MAPLE'!G54</f>
        <v>4705450.4504504511</v>
      </c>
      <c r="F328" s="281">
        <f t="shared" si="20"/>
        <v>4705450.4504504511</v>
      </c>
    </row>
    <row r="329" spans="1:6">
      <c r="A329" s="285"/>
      <c r="B329" s="280" t="s">
        <v>563</v>
      </c>
      <c r="C329" s="356">
        <f>1</f>
        <v>1</v>
      </c>
      <c r="D329" s="280" t="s">
        <v>204</v>
      </c>
      <c r="E329" s="281">
        <f>'AN KUSEN MAPLE'!G64</f>
        <v>4955450.4504504511</v>
      </c>
      <c r="F329" s="281">
        <f t="shared" si="20"/>
        <v>4955450.4504504511</v>
      </c>
    </row>
    <row r="330" spans="1:6">
      <c r="A330" s="285"/>
      <c r="B330" s="280" t="s">
        <v>564</v>
      </c>
      <c r="C330" s="356">
        <f>1</f>
        <v>1</v>
      </c>
      <c r="D330" s="280" t="s">
        <v>204</v>
      </c>
      <c r="E330" s="281">
        <f>'AN KUSEN MAPLE'!G15</f>
        <v>10837197.486486485</v>
      </c>
      <c r="F330" s="281">
        <f t="shared" si="20"/>
        <v>10837197.486486485</v>
      </c>
    </row>
    <row r="331" spans="1:6">
      <c r="A331" s="285"/>
      <c r="B331" s="280" t="s">
        <v>565</v>
      </c>
      <c r="C331" s="356">
        <f>1</f>
        <v>1</v>
      </c>
      <c r="D331" s="280" t="s">
        <v>204</v>
      </c>
      <c r="E331" s="281">
        <f>'AN KUSEN MAPLE'!G35</f>
        <v>4134819.8198198201</v>
      </c>
      <c r="F331" s="281">
        <f t="shared" si="20"/>
        <v>4134819.8198198201</v>
      </c>
    </row>
    <row r="332" spans="1:6">
      <c r="A332" s="285"/>
      <c r="B332" s="285"/>
      <c r="C332" s="356"/>
      <c r="D332" s="285"/>
      <c r="E332" s="281"/>
      <c r="F332" s="281">
        <f t="shared" si="20"/>
        <v>0</v>
      </c>
    </row>
    <row r="333" spans="1:6">
      <c r="A333" s="285"/>
      <c r="B333" s="280" t="s">
        <v>566</v>
      </c>
      <c r="C333" s="356"/>
      <c r="D333" s="285"/>
      <c r="E333" s="281"/>
      <c r="F333" s="281">
        <f t="shared" si="20"/>
        <v>0</v>
      </c>
    </row>
    <row r="334" spans="1:6">
      <c r="A334" s="285"/>
      <c r="B334" s="280" t="s">
        <v>567</v>
      </c>
      <c r="C334" s="356">
        <f>3</f>
        <v>3</v>
      </c>
      <c r="D334" s="280" t="s">
        <v>204</v>
      </c>
      <c r="E334" s="281">
        <f>'AN KUSEN MAPLE'!G74</f>
        <v>4955450.4504504511</v>
      </c>
      <c r="F334" s="281">
        <f t="shared" si="20"/>
        <v>14866351.351351354</v>
      </c>
    </row>
    <row r="335" spans="1:6">
      <c r="A335" s="285"/>
      <c r="B335" s="280" t="s">
        <v>568</v>
      </c>
      <c r="C335" s="356">
        <f>1</f>
        <v>1</v>
      </c>
      <c r="D335" s="280" t="s">
        <v>204</v>
      </c>
      <c r="E335" s="281">
        <f>'AN KUSEN MAPLE'!G84</f>
        <v>4705450.4504504511</v>
      </c>
      <c r="F335" s="281">
        <f t="shared" si="20"/>
        <v>4705450.4504504511</v>
      </c>
    </row>
    <row r="336" spans="1:6">
      <c r="A336" s="285"/>
      <c r="B336" s="280" t="s">
        <v>569</v>
      </c>
      <c r="C336" s="356">
        <f>1</f>
        <v>1</v>
      </c>
      <c r="D336" s="280" t="s">
        <v>204</v>
      </c>
      <c r="E336" s="281">
        <f>'AN KUSEN MAPLE'!G94</f>
        <v>5108171.1711711707</v>
      </c>
      <c r="F336" s="281">
        <f t="shared" si="20"/>
        <v>5108171.1711711707</v>
      </c>
    </row>
    <row r="337" spans="1:6">
      <c r="A337" s="285"/>
      <c r="B337" s="286" t="s">
        <v>397</v>
      </c>
      <c r="C337" s="361"/>
      <c r="D337" s="280"/>
      <c r="E337" s="281"/>
      <c r="F337" s="281">
        <f t="shared" si="20"/>
        <v>0</v>
      </c>
    </row>
    <row r="338" spans="1:6">
      <c r="A338" s="285"/>
      <c r="B338" s="286"/>
      <c r="C338" s="359"/>
      <c r="D338" s="280"/>
      <c r="E338" s="360"/>
      <c r="F338" s="281">
        <f t="shared" si="20"/>
        <v>0</v>
      </c>
    </row>
    <row r="339" spans="1:6">
      <c r="A339" s="285"/>
      <c r="B339" s="286"/>
      <c r="C339" s="361"/>
      <c r="D339" s="280"/>
      <c r="E339" s="360"/>
      <c r="F339" s="281">
        <f t="shared" si="20"/>
        <v>0</v>
      </c>
    </row>
    <row r="340" spans="1:6">
      <c r="A340" s="285"/>
      <c r="B340" s="280"/>
      <c r="C340" s="361"/>
      <c r="D340" s="280"/>
      <c r="E340" s="360"/>
      <c r="F340" s="281"/>
    </row>
    <row r="341" spans="1:6" ht="27.6">
      <c r="A341" s="282" t="s">
        <v>27</v>
      </c>
      <c r="B341" s="282" t="s">
        <v>28</v>
      </c>
      <c r="C341" s="375"/>
      <c r="D341" s="282" t="s">
        <v>5</v>
      </c>
      <c r="E341" s="369">
        <v>0</v>
      </c>
      <c r="F341" s="284">
        <f>SUM(F342:F349)</f>
        <v>13804241.77251984</v>
      </c>
    </row>
    <row r="342" spans="1:6">
      <c r="A342" s="285"/>
      <c r="B342" s="280" t="s">
        <v>230</v>
      </c>
      <c r="C342" s="361"/>
      <c r="D342" s="280" t="s">
        <v>5</v>
      </c>
      <c r="E342" s="360"/>
      <c r="F342" s="281">
        <f t="shared" ref="F342:F349" si="21">+C342*E342</f>
        <v>0</v>
      </c>
    </row>
    <row r="343" spans="1:6">
      <c r="A343" s="285"/>
      <c r="B343" s="280" t="s">
        <v>570</v>
      </c>
      <c r="C343" s="361">
        <v>54</v>
      </c>
      <c r="D343" s="280" t="s">
        <v>5</v>
      </c>
      <c r="E343" s="360">
        <f>Analisa!$F$164</f>
        <v>41282.142857142855</v>
      </c>
      <c r="F343" s="281">
        <f t="shared" si="21"/>
        <v>2229235.7142857141</v>
      </c>
    </row>
    <row r="344" spans="1:6">
      <c r="A344" s="285"/>
      <c r="B344" s="280" t="s">
        <v>571</v>
      </c>
      <c r="C344" s="361">
        <f>(88.1*3.5-58.73-20.23)*0+330</f>
        <v>330</v>
      </c>
      <c r="D344" s="280" t="s">
        <v>5</v>
      </c>
      <c r="E344" s="360">
        <f>Analisa!$F$180</f>
        <v>27631.349206349205</v>
      </c>
      <c r="F344" s="281">
        <f t="shared" si="21"/>
        <v>9118345.2380952369</v>
      </c>
    </row>
    <row r="345" spans="1:6">
      <c r="A345" s="285"/>
      <c r="B345" s="280" t="s">
        <v>572</v>
      </c>
      <c r="C345" s="361">
        <f>C210</f>
        <v>70.40300000000002</v>
      </c>
      <c r="D345" s="280" t="s">
        <v>5</v>
      </c>
      <c r="E345" s="360">
        <f>Analisa!$F$172</f>
        <v>27631.349206349205</v>
      </c>
      <c r="F345" s="281">
        <f t="shared" si="21"/>
        <v>1945329.8781746037</v>
      </c>
    </row>
    <row r="346" spans="1:6">
      <c r="A346" s="285"/>
      <c r="B346" s="280" t="s">
        <v>573</v>
      </c>
      <c r="C346" s="361">
        <f>C211</f>
        <v>12.38625</v>
      </c>
      <c r="D346" s="280" t="s">
        <v>5</v>
      </c>
      <c r="E346" s="360">
        <f>E343</f>
        <v>41282.142857142855</v>
      </c>
      <c r="F346" s="281">
        <f>+C346*E346</f>
        <v>511330.94196428568</v>
      </c>
    </row>
    <row r="347" spans="1:6">
      <c r="A347" s="285"/>
      <c r="B347" s="286" t="s">
        <v>397</v>
      </c>
      <c r="C347" s="361"/>
      <c r="D347" s="280"/>
      <c r="E347" s="360"/>
      <c r="F347" s="281">
        <f t="shared" si="21"/>
        <v>0</v>
      </c>
    </row>
    <row r="348" spans="1:6">
      <c r="A348" s="285"/>
      <c r="B348" s="286" t="s">
        <v>398</v>
      </c>
      <c r="C348" s="361"/>
      <c r="D348" s="280"/>
      <c r="E348" s="360"/>
      <c r="F348" s="281">
        <f t="shared" si="21"/>
        <v>0</v>
      </c>
    </row>
    <row r="349" spans="1:6">
      <c r="A349" s="285"/>
      <c r="B349" s="286" t="s">
        <v>399</v>
      </c>
      <c r="C349" s="361"/>
      <c r="D349" s="280"/>
      <c r="E349" s="360"/>
      <c r="F349" s="281">
        <f t="shared" si="21"/>
        <v>0</v>
      </c>
    </row>
    <row r="350" spans="1:6">
      <c r="A350" s="285"/>
      <c r="B350" s="280"/>
      <c r="C350" s="361"/>
      <c r="D350" s="280"/>
      <c r="E350" s="360"/>
      <c r="F350" s="281"/>
    </row>
    <row r="351" spans="1:6" ht="27.6">
      <c r="A351" s="282" t="s">
        <v>231</v>
      </c>
      <c r="B351" s="282" t="s">
        <v>232</v>
      </c>
      <c r="C351" s="375"/>
      <c r="D351" s="282" t="s">
        <v>5</v>
      </c>
      <c r="E351" s="369"/>
      <c r="F351" s="284">
        <f>SUM(F352:F359)</f>
        <v>16440490.375</v>
      </c>
    </row>
    <row r="352" spans="1:6">
      <c r="A352" s="285"/>
      <c r="B352" s="280" t="s">
        <v>233</v>
      </c>
      <c r="C352" s="361"/>
      <c r="D352" s="280" t="s">
        <v>5</v>
      </c>
      <c r="E352" s="360"/>
      <c r="F352" s="281">
        <f t="shared" ref="F352:F359" si="22">+C352*E352</f>
        <v>0</v>
      </c>
    </row>
    <row r="353" spans="1:6">
      <c r="A353" s="285"/>
      <c r="B353" s="280" t="s">
        <v>570</v>
      </c>
      <c r="C353" s="361">
        <v>119</v>
      </c>
      <c r="D353" s="280" t="s">
        <v>5</v>
      </c>
      <c r="E353" s="360">
        <f>E343</f>
        <v>41282.142857142855</v>
      </c>
      <c r="F353" s="281">
        <f t="shared" si="22"/>
        <v>4912575</v>
      </c>
    </row>
    <row r="354" spans="1:6">
      <c r="A354" s="285"/>
      <c r="B354" s="280" t="s">
        <v>571</v>
      </c>
      <c r="C354" s="361">
        <f>(105.95*3.2-57.75-19-22)*0+320</f>
        <v>320</v>
      </c>
      <c r="D354" s="280" t="s">
        <v>5</v>
      </c>
      <c r="E354" s="360">
        <f>E344</f>
        <v>27631.349206349205</v>
      </c>
      <c r="F354" s="281">
        <f t="shared" si="22"/>
        <v>8842031.7460317463</v>
      </c>
    </row>
    <row r="355" spans="1:6">
      <c r="A355" s="285"/>
      <c r="B355" s="280" t="s">
        <v>572</v>
      </c>
      <c r="C355" s="361">
        <f>C220</f>
        <v>75.099999999999994</v>
      </c>
      <c r="D355" s="280" t="s">
        <v>5</v>
      </c>
      <c r="E355" s="360">
        <f>E345</f>
        <v>27631.349206349205</v>
      </c>
      <c r="F355" s="281">
        <f t="shared" si="22"/>
        <v>2075114.3253968251</v>
      </c>
    </row>
    <row r="356" spans="1:6">
      <c r="A356" s="285"/>
      <c r="B356" s="280" t="s">
        <v>573</v>
      </c>
      <c r="C356" s="361">
        <f>C221</f>
        <v>14.794999999999998</v>
      </c>
      <c r="D356" s="280" t="s">
        <v>5</v>
      </c>
      <c r="E356" s="360">
        <f>E346</f>
        <v>41282.142857142855</v>
      </c>
      <c r="F356" s="281">
        <f t="shared" si="22"/>
        <v>610769.30357142852</v>
      </c>
    </row>
    <row r="357" spans="1:6">
      <c r="A357" s="285"/>
      <c r="B357" s="286" t="s">
        <v>397</v>
      </c>
      <c r="C357" s="361"/>
      <c r="D357" s="280"/>
      <c r="E357" s="360"/>
      <c r="F357" s="281">
        <f t="shared" si="22"/>
        <v>0</v>
      </c>
    </row>
    <row r="358" spans="1:6">
      <c r="A358" s="285"/>
      <c r="B358" s="286" t="s">
        <v>398</v>
      </c>
      <c r="C358" s="361"/>
      <c r="D358" s="280"/>
      <c r="E358" s="360"/>
      <c r="F358" s="281">
        <f t="shared" si="22"/>
        <v>0</v>
      </c>
    </row>
    <row r="359" spans="1:6">
      <c r="A359" s="285"/>
      <c r="B359" s="286" t="s">
        <v>399</v>
      </c>
      <c r="C359" s="361"/>
      <c r="D359" s="280"/>
      <c r="E359" s="360"/>
      <c r="F359" s="281">
        <f t="shared" si="22"/>
        <v>0</v>
      </c>
    </row>
    <row r="360" spans="1:6">
      <c r="A360" s="285"/>
      <c r="B360" s="280"/>
      <c r="C360" s="361"/>
      <c r="D360" s="280"/>
      <c r="E360" s="360"/>
      <c r="F360" s="281"/>
    </row>
    <row r="361" spans="1:6" ht="27.6">
      <c r="A361" s="282" t="s">
        <v>574</v>
      </c>
      <c r="B361" s="282" t="s">
        <v>575</v>
      </c>
      <c r="C361" s="375">
        <v>1</v>
      </c>
      <c r="D361" s="282" t="s">
        <v>8</v>
      </c>
      <c r="E361" s="369">
        <v>0</v>
      </c>
      <c r="F361" s="284">
        <f>SUM(F362:F369)</f>
        <v>2311800</v>
      </c>
    </row>
    <row r="362" spans="1:6">
      <c r="A362" s="285"/>
      <c r="B362" s="280" t="s">
        <v>576</v>
      </c>
      <c r="C362" s="361">
        <v>1</v>
      </c>
      <c r="D362" s="280" t="s">
        <v>8</v>
      </c>
      <c r="E362" s="360"/>
      <c r="F362" s="281">
        <f t="shared" ref="F362:F369" si="23">+C362*E362</f>
        <v>0</v>
      </c>
    </row>
    <row r="363" spans="1:6">
      <c r="A363" s="285"/>
      <c r="B363" s="280" t="s">
        <v>570</v>
      </c>
      <c r="C363" s="361">
        <f>56</f>
        <v>56</v>
      </c>
      <c r="D363" s="280" t="s">
        <v>5</v>
      </c>
      <c r="E363" s="360">
        <f>E343</f>
        <v>41282.142857142855</v>
      </c>
      <c r="F363" s="281">
        <f t="shared" si="23"/>
        <v>2311800</v>
      </c>
    </row>
    <row r="364" spans="1:6">
      <c r="A364" s="285"/>
      <c r="B364" s="280" t="s">
        <v>571</v>
      </c>
      <c r="C364" s="356">
        <v>0</v>
      </c>
      <c r="D364" s="280" t="s">
        <v>5</v>
      </c>
      <c r="E364" s="360">
        <f>E344</f>
        <v>27631.349206349205</v>
      </c>
      <c r="F364" s="281">
        <f t="shared" si="23"/>
        <v>0</v>
      </c>
    </row>
    <row r="365" spans="1:6">
      <c r="A365" s="285"/>
      <c r="B365" s="280" t="s">
        <v>572</v>
      </c>
      <c r="C365" s="356">
        <v>0</v>
      </c>
      <c r="D365" s="280" t="s">
        <v>5</v>
      </c>
      <c r="E365" s="360">
        <f>E345</f>
        <v>27631.349206349205</v>
      </c>
      <c r="F365" s="281">
        <f t="shared" si="23"/>
        <v>0</v>
      </c>
    </row>
    <row r="366" spans="1:6">
      <c r="A366" s="285"/>
      <c r="B366" s="280" t="s">
        <v>573</v>
      </c>
      <c r="C366" s="356">
        <v>0</v>
      </c>
      <c r="D366" s="280" t="s">
        <v>5</v>
      </c>
      <c r="E366" s="360">
        <f>E346</f>
        <v>41282.142857142855</v>
      </c>
      <c r="F366" s="281">
        <f t="shared" si="23"/>
        <v>0</v>
      </c>
    </row>
    <row r="367" spans="1:6">
      <c r="A367" s="285"/>
      <c r="B367" s="286" t="s">
        <v>397</v>
      </c>
      <c r="C367" s="361"/>
      <c r="D367" s="280"/>
      <c r="E367" s="360"/>
      <c r="F367" s="281">
        <f t="shared" si="23"/>
        <v>0</v>
      </c>
    </row>
    <row r="368" spans="1:6">
      <c r="A368" s="285"/>
      <c r="B368" s="286" t="s">
        <v>398</v>
      </c>
      <c r="C368" s="361"/>
      <c r="D368" s="280"/>
      <c r="E368" s="360"/>
      <c r="F368" s="281">
        <f t="shared" si="23"/>
        <v>0</v>
      </c>
    </row>
    <row r="369" spans="1:6">
      <c r="A369" s="285"/>
      <c r="B369" s="286" t="s">
        <v>399</v>
      </c>
      <c r="C369" s="361"/>
      <c r="D369" s="280"/>
      <c r="E369" s="360"/>
      <c r="F369" s="281">
        <f t="shared" si="23"/>
        <v>0</v>
      </c>
    </row>
    <row r="370" spans="1:6">
      <c r="A370" s="285"/>
      <c r="B370" s="280"/>
      <c r="C370" s="361"/>
      <c r="D370" s="280"/>
      <c r="E370" s="360"/>
      <c r="F370" s="281"/>
    </row>
    <row r="371" spans="1:6">
      <c r="A371" s="282" t="s">
        <v>234</v>
      </c>
      <c r="B371" s="282" t="s">
        <v>235</v>
      </c>
      <c r="C371" s="375"/>
      <c r="D371" s="282" t="s">
        <v>6</v>
      </c>
      <c r="E371" s="369"/>
      <c r="F371" s="284">
        <f>SUM(F372:F380)</f>
        <v>3087758.4285714282</v>
      </c>
    </row>
    <row r="372" spans="1:6">
      <c r="A372" s="285"/>
      <c r="B372" s="280" t="s">
        <v>577</v>
      </c>
      <c r="C372" s="361"/>
      <c r="D372" s="280" t="s">
        <v>6</v>
      </c>
      <c r="E372" s="360"/>
      <c r="F372" s="281">
        <f t="shared" ref="F372:F380" si="24">+C372*E372</f>
        <v>0</v>
      </c>
    </row>
    <row r="373" spans="1:6">
      <c r="A373" s="285"/>
      <c r="B373" s="280" t="s">
        <v>236</v>
      </c>
      <c r="C373" s="356">
        <v>0</v>
      </c>
      <c r="D373" s="280" t="s">
        <v>5</v>
      </c>
      <c r="E373" s="360">
        <f>Analisa!F228</f>
        <v>30953.571428571428</v>
      </c>
      <c r="F373" s="281">
        <f t="shared" si="24"/>
        <v>0</v>
      </c>
    </row>
    <row r="374" spans="1:6">
      <c r="A374" s="285"/>
      <c r="B374" s="280" t="s">
        <v>237</v>
      </c>
      <c r="C374" s="361">
        <f>C271+C274</f>
        <v>32.04</v>
      </c>
      <c r="D374" s="280" t="s">
        <v>5</v>
      </c>
      <c r="E374" s="360">
        <f>E363</f>
        <v>41282.142857142855</v>
      </c>
      <c r="F374" s="281">
        <f t="shared" si="24"/>
        <v>1322679.857142857</v>
      </c>
    </row>
    <row r="375" spans="1:6">
      <c r="A375" s="285"/>
      <c r="B375" s="280" t="s">
        <v>238</v>
      </c>
      <c r="C375" s="361">
        <v>7</v>
      </c>
      <c r="D375" s="280" t="s">
        <v>8</v>
      </c>
      <c r="E375" s="360">
        <v>55000</v>
      </c>
      <c r="F375" s="281">
        <f t="shared" si="24"/>
        <v>385000</v>
      </c>
    </row>
    <row r="376" spans="1:6">
      <c r="A376" s="285"/>
      <c r="B376" s="280" t="s">
        <v>578</v>
      </c>
      <c r="C376" s="361">
        <v>18</v>
      </c>
      <c r="D376" s="280" t="s">
        <v>8</v>
      </c>
      <c r="E376" s="360">
        <f>E374</f>
        <v>41282.142857142855</v>
      </c>
      <c r="F376" s="281">
        <f t="shared" si="24"/>
        <v>743078.57142857136</v>
      </c>
    </row>
    <row r="377" spans="1:6">
      <c r="A377" s="285"/>
      <c r="B377" s="280" t="s">
        <v>579</v>
      </c>
      <c r="C377" s="356">
        <v>0</v>
      </c>
      <c r="D377" s="280" t="s">
        <v>8</v>
      </c>
      <c r="E377" s="360">
        <v>0</v>
      </c>
      <c r="F377" s="281">
        <f t="shared" si="24"/>
        <v>0</v>
      </c>
    </row>
    <row r="378" spans="1:6">
      <c r="A378" s="285"/>
      <c r="B378" s="286" t="s">
        <v>397</v>
      </c>
      <c r="C378" s="280"/>
      <c r="D378" s="280"/>
      <c r="E378" s="360"/>
      <c r="F378" s="281">
        <f t="shared" si="24"/>
        <v>0</v>
      </c>
    </row>
    <row r="379" spans="1:6">
      <c r="A379" s="285"/>
      <c r="B379" s="367" t="s">
        <v>835</v>
      </c>
      <c r="C379" s="280">
        <f>C169*2</f>
        <v>9.8000000000000007</v>
      </c>
      <c r="D379" s="280" t="s">
        <v>5</v>
      </c>
      <c r="E379" s="360">
        <v>65000</v>
      </c>
      <c r="F379" s="281">
        <f t="shared" si="24"/>
        <v>637000</v>
      </c>
    </row>
    <row r="380" spans="1:6">
      <c r="A380" s="285"/>
      <c r="B380" s="286" t="s">
        <v>399</v>
      </c>
      <c r="C380" s="280"/>
      <c r="D380" s="280"/>
      <c r="E380" s="281"/>
      <c r="F380" s="281">
        <f t="shared" si="24"/>
        <v>0</v>
      </c>
    </row>
    <row r="381" spans="1:6">
      <c r="A381" s="285"/>
      <c r="B381" s="280"/>
      <c r="C381" s="280"/>
      <c r="D381" s="280"/>
      <c r="E381" s="281"/>
      <c r="F381" s="281"/>
    </row>
    <row r="382" spans="1:6" ht="27.6">
      <c r="A382" s="282" t="s">
        <v>29</v>
      </c>
      <c r="B382" s="282" t="s">
        <v>30</v>
      </c>
      <c r="C382" s="282"/>
      <c r="D382" s="282" t="s">
        <v>7</v>
      </c>
      <c r="E382" s="283"/>
      <c r="F382" s="284">
        <f>SUM(F383:F415)</f>
        <v>48170350</v>
      </c>
    </row>
    <row r="383" spans="1:6">
      <c r="A383" s="285"/>
      <c r="B383" s="280" t="s">
        <v>580</v>
      </c>
      <c r="C383" s="280"/>
      <c r="D383" s="280" t="s">
        <v>7</v>
      </c>
      <c r="E383" s="281"/>
      <c r="F383" s="281">
        <f t="shared" ref="F383:F391" si="25">+C383*E383</f>
        <v>0</v>
      </c>
    </row>
    <row r="384" spans="1:6">
      <c r="A384" s="285"/>
      <c r="B384" s="280" t="s">
        <v>239</v>
      </c>
      <c r="C384" s="280"/>
      <c r="D384" s="285"/>
      <c r="E384" s="281"/>
      <c r="F384" s="281">
        <f t="shared" si="25"/>
        <v>0</v>
      </c>
    </row>
    <row r="385" spans="1:8">
      <c r="A385" s="285"/>
      <c r="B385" s="280" t="s">
        <v>581</v>
      </c>
      <c r="C385" s="280">
        <f>1+1</f>
        <v>2</v>
      </c>
      <c r="D385" s="280" t="s">
        <v>7</v>
      </c>
      <c r="E385" s="281">
        <f>2080000*0.55+100000</f>
        <v>1244000</v>
      </c>
      <c r="F385" s="281">
        <f t="shared" si="25"/>
        <v>2488000</v>
      </c>
    </row>
    <row r="386" spans="1:8">
      <c r="A386" s="285"/>
      <c r="B386" s="280" t="s">
        <v>582</v>
      </c>
      <c r="C386" s="280">
        <f>1+1</f>
        <v>2</v>
      </c>
      <c r="D386" s="280" t="s">
        <v>7</v>
      </c>
      <c r="E386" s="281">
        <f>3940000*0.55+150000</f>
        <v>2317000</v>
      </c>
      <c r="F386" s="281">
        <f t="shared" si="25"/>
        <v>4634000</v>
      </c>
    </row>
    <row r="387" spans="1:8">
      <c r="A387" s="285"/>
      <c r="B387" s="280" t="s">
        <v>240</v>
      </c>
      <c r="C387" s="280">
        <v>1</v>
      </c>
      <c r="D387" s="280" t="s">
        <v>7</v>
      </c>
      <c r="E387" s="281">
        <f>2672000*0.55+150000</f>
        <v>1619600.0000000002</v>
      </c>
      <c r="F387" s="281">
        <f t="shared" si="25"/>
        <v>1619600.0000000002</v>
      </c>
    </row>
    <row r="388" spans="1:8">
      <c r="A388" s="285"/>
      <c r="B388" s="280" t="s">
        <v>241</v>
      </c>
      <c r="C388" s="280">
        <f>1+1</f>
        <v>2</v>
      </c>
      <c r="D388" s="280" t="s">
        <v>7</v>
      </c>
      <c r="E388" s="281">
        <f>888000*0.55+25000</f>
        <v>513400.00000000006</v>
      </c>
      <c r="F388" s="281">
        <f t="shared" si="25"/>
        <v>1026800.0000000001</v>
      </c>
    </row>
    <row r="389" spans="1:8">
      <c r="A389" s="285"/>
      <c r="B389" s="280" t="s">
        <v>242</v>
      </c>
      <c r="C389" s="280">
        <f>1+1</f>
        <v>2</v>
      </c>
      <c r="D389" s="280" t="s">
        <v>7</v>
      </c>
      <c r="E389" s="281">
        <f>329000*0.55+25000</f>
        <v>205950.00000000003</v>
      </c>
      <c r="F389" s="281">
        <f t="shared" si="25"/>
        <v>411900.00000000006</v>
      </c>
    </row>
    <row r="390" spans="1:8">
      <c r="A390" s="285"/>
      <c r="B390" s="280" t="s">
        <v>583</v>
      </c>
      <c r="C390" s="280">
        <v>4</v>
      </c>
      <c r="D390" s="280" t="s">
        <v>7</v>
      </c>
      <c r="E390" s="360">
        <f>247950+50000</f>
        <v>297950</v>
      </c>
      <c r="F390" s="281">
        <f t="shared" si="25"/>
        <v>1191800</v>
      </c>
    </row>
    <row r="391" spans="1:8">
      <c r="A391" s="285"/>
      <c r="B391" s="280" t="s">
        <v>243</v>
      </c>
      <c r="C391" s="280">
        <f>1+1</f>
        <v>2</v>
      </c>
      <c r="D391" s="280" t="s">
        <v>7</v>
      </c>
      <c r="E391" s="281">
        <v>250000</v>
      </c>
      <c r="F391" s="281">
        <f t="shared" si="25"/>
        <v>500000</v>
      </c>
    </row>
    <row r="392" spans="1:8" ht="27.6">
      <c r="A392" s="285"/>
      <c r="B392" s="280" t="s">
        <v>584</v>
      </c>
      <c r="C392" s="280">
        <v>1</v>
      </c>
      <c r="D392" s="280" t="s">
        <v>7</v>
      </c>
      <c r="E392" s="281">
        <f>0.6*2*1000000+5*50000+2.6*Analisa!$F$185</f>
        <v>1569600</v>
      </c>
      <c r="F392" s="281">
        <f>+C392*E392</f>
        <v>1569600</v>
      </c>
      <c r="H392" s="364"/>
    </row>
    <row r="393" spans="1:8" ht="27.6">
      <c r="A393" s="285"/>
      <c r="B393" s="280" t="s">
        <v>585</v>
      </c>
      <c r="C393" s="280">
        <v>1</v>
      </c>
      <c r="D393" s="280" t="s">
        <v>7</v>
      </c>
      <c r="E393" s="281">
        <f>1.4*2*1000000+11*50000+5.4*Analisa!$F$185+500000+1500000</f>
        <v>5598400</v>
      </c>
      <c r="F393" s="281">
        <f>+C393*E393</f>
        <v>5598400</v>
      </c>
      <c r="G393" s="399"/>
      <c r="H393" s="364"/>
    </row>
    <row r="394" spans="1:8">
      <c r="A394" s="285"/>
      <c r="B394" s="285"/>
      <c r="C394" s="280"/>
      <c r="D394" s="285"/>
      <c r="E394" s="281"/>
      <c r="F394" s="281"/>
    </row>
    <row r="395" spans="1:8">
      <c r="A395" s="285"/>
      <c r="B395" s="280" t="s">
        <v>586</v>
      </c>
      <c r="C395" s="280"/>
      <c r="D395" s="285"/>
      <c r="E395" s="281"/>
      <c r="F395" s="281"/>
    </row>
    <row r="396" spans="1:8">
      <c r="A396" s="285"/>
      <c r="B396" s="280" t="s">
        <v>305</v>
      </c>
      <c r="C396" s="280">
        <v>1</v>
      </c>
      <c r="D396" s="280" t="s">
        <v>7</v>
      </c>
      <c r="E396" s="281">
        <f>7540000*0.55+100000</f>
        <v>4247000</v>
      </c>
      <c r="F396" s="281">
        <f>+C396*E396</f>
        <v>4247000</v>
      </c>
    </row>
    <row r="397" spans="1:8">
      <c r="A397" s="285"/>
      <c r="B397" s="280" t="s">
        <v>244</v>
      </c>
      <c r="C397" s="280">
        <v>1</v>
      </c>
      <c r="D397" s="280" t="s">
        <v>7</v>
      </c>
      <c r="E397" s="281">
        <f>E389</f>
        <v>205950.00000000003</v>
      </c>
      <c r="F397" s="281">
        <f t="shared" ref="F397:F412" si="26">+C397*E397</f>
        <v>205950.00000000003</v>
      </c>
    </row>
    <row r="398" spans="1:8">
      <c r="A398" s="285"/>
      <c r="B398" s="280" t="s">
        <v>587</v>
      </c>
      <c r="C398" s="280">
        <v>1</v>
      </c>
      <c r="D398" s="280" t="s">
        <v>7</v>
      </c>
      <c r="E398" s="281">
        <f>10500000*0.55+150000</f>
        <v>5925000.0000000009</v>
      </c>
      <c r="F398" s="281">
        <f t="shared" si="26"/>
        <v>5925000.0000000009</v>
      </c>
    </row>
    <row r="399" spans="1:8">
      <c r="A399" s="285"/>
      <c r="B399" s="280" t="s">
        <v>306</v>
      </c>
      <c r="C399" s="280">
        <v>1</v>
      </c>
      <c r="D399" s="280" t="s">
        <v>7</v>
      </c>
      <c r="E399" s="281">
        <f>2652000*0.55+150000</f>
        <v>1608600.0000000002</v>
      </c>
      <c r="F399" s="281">
        <f t="shared" si="26"/>
        <v>1608600.0000000002</v>
      </c>
    </row>
    <row r="400" spans="1:8">
      <c r="A400" s="285"/>
      <c r="B400" s="280" t="s">
        <v>588</v>
      </c>
      <c r="C400" s="280">
        <v>1</v>
      </c>
      <c r="D400" s="280" t="s">
        <v>7</v>
      </c>
      <c r="E400" s="281">
        <f>2250000*0.55+25000</f>
        <v>1262500</v>
      </c>
      <c r="F400" s="281">
        <f t="shared" si="26"/>
        <v>1262500</v>
      </c>
    </row>
    <row r="401" spans="1:6">
      <c r="A401" s="285"/>
      <c r="B401" s="280" t="s">
        <v>583</v>
      </c>
      <c r="C401" s="280">
        <v>2</v>
      </c>
      <c r="D401" s="280" t="s">
        <v>7</v>
      </c>
      <c r="E401" s="360">
        <f>E390</f>
        <v>297950</v>
      </c>
      <c r="F401" s="281">
        <f t="shared" si="26"/>
        <v>595900</v>
      </c>
    </row>
    <row r="402" spans="1:6">
      <c r="A402" s="285"/>
      <c r="B402" s="280" t="s">
        <v>243</v>
      </c>
      <c r="C402" s="280">
        <v>1</v>
      </c>
      <c r="D402" s="280" t="s">
        <v>7</v>
      </c>
      <c r="E402" s="281">
        <f>E391</f>
        <v>250000</v>
      </c>
      <c r="F402" s="281">
        <f t="shared" si="26"/>
        <v>250000</v>
      </c>
    </row>
    <row r="403" spans="1:6">
      <c r="A403" s="285"/>
      <c r="B403" s="280" t="s">
        <v>589</v>
      </c>
      <c r="C403" s="280">
        <v>1</v>
      </c>
      <c r="D403" s="280" t="s">
        <v>7</v>
      </c>
      <c r="E403" s="281">
        <f>1.6*2*1000000+11*50000+5.6*Analisa!F185+500000+1500000</f>
        <v>6007600</v>
      </c>
      <c r="F403" s="281">
        <f t="shared" si="26"/>
        <v>6007600</v>
      </c>
    </row>
    <row r="404" spans="1:6">
      <c r="A404" s="285"/>
      <c r="B404" s="280" t="s">
        <v>590</v>
      </c>
      <c r="C404" s="280">
        <v>1</v>
      </c>
      <c r="D404" s="280" t="s">
        <v>7</v>
      </c>
      <c r="E404" s="281">
        <f>5550000*0.55+250000</f>
        <v>3302500.0000000005</v>
      </c>
      <c r="F404" s="281">
        <f t="shared" si="26"/>
        <v>3302500.0000000005</v>
      </c>
    </row>
    <row r="405" spans="1:6">
      <c r="A405" s="285"/>
      <c r="B405" s="280" t="s">
        <v>591</v>
      </c>
      <c r="C405" s="280">
        <v>1</v>
      </c>
      <c r="D405" s="280" t="s">
        <v>7</v>
      </c>
      <c r="E405" s="281">
        <f>2650000*0.55+25000</f>
        <v>1482500.0000000002</v>
      </c>
      <c r="F405" s="281">
        <f t="shared" si="26"/>
        <v>1482500.0000000002</v>
      </c>
    </row>
    <row r="406" spans="1:6" ht="27.6">
      <c r="A406" s="285"/>
      <c r="B406" s="280" t="s">
        <v>592</v>
      </c>
      <c r="C406" s="280">
        <v>1</v>
      </c>
      <c r="D406" s="280" t="s">
        <v>6</v>
      </c>
      <c r="E406" s="281">
        <v>1200000</v>
      </c>
      <c r="F406" s="281">
        <f t="shared" si="26"/>
        <v>1200000</v>
      </c>
    </row>
    <row r="407" spans="1:6">
      <c r="A407" s="285"/>
      <c r="B407" s="285"/>
      <c r="C407" s="280"/>
      <c r="D407" s="285"/>
      <c r="E407" s="281"/>
      <c r="F407" s="281">
        <f t="shared" si="26"/>
        <v>0</v>
      </c>
    </row>
    <row r="408" spans="1:6">
      <c r="A408" s="285"/>
      <c r="B408" s="280" t="s">
        <v>245</v>
      </c>
      <c r="C408" s="280"/>
      <c r="D408" s="285"/>
      <c r="E408" s="281"/>
      <c r="F408" s="281">
        <f t="shared" si="26"/>
        <v>0</v>
      </c>
    </row>
    <row r="409" spans="1:6">
      <c r="A409" s="285"/>
      <c r="B409" s="280" t="s">
        <v>593</v>
      </c>
      <c r="C409" s="280">
        <v>1</v>
      </c>
      <c r="D409" s="280" t="s">
        <v>7</v>
      </c>
      <c r="E409" s="281">
        <f>728000*0.55+150000</f>
        <v>550400</v>
      </c>
      <c r="F409" s="281">
        <f t="shared" si="26"/>
        <v>550400</v>
      </c>
    </row>
    <row r="410" spans="1:6">
      <c r="A410" s="285"/>
      <c r="B410" s="280" t="s">
        <v>246</v>
      </c>
      <c r="C410" s="280">
        <v>1</v>
      </c>
      <c r="D410" s="280" t="s">
        <v>7</v>
      </c>
      <c r="E410" s="360">
        <f>221000+25000</f>
        <v>246000</v>
      </c>
      <c r="F410" s="281">
        <f t="shared" si="26"/>
        <v>246000</v>
      </c>
    </row>
    <row r="411" spans="1:6">
      <c r="A411" s="285"/>
      <c r="B411" s="280" t="s">
        <v>247</v>
      </c>
      <c r="C411" s="280">
        <v>1</v>
      </c>
      <c r="D411" s="280" t="s">
        <v>7</v>
      </c>
      <c r="E411" s="360">
        <f>504000*0.55+50000</f>
        <v>327200</v>
      </c>
      <c r="F411" s="281">
        <f t="shared" si="26"/>
        <v>327200</v>
      </c>
    </row>
    <row r="412" spans="1:6">
      <c r="A412" s="285"/>
      <c r="B412" s="280" t="s">
        <v>248</v>
      </c>
      <c r="C412" s="280">
        <v>1</v>
      </c>
      <c r="D412" s="280" t="s">
        <v>7</v>
      </c>
      <c r="E412" s="281">
        <f>E402</f>
        <v>250000</v>
      </c>
      <c r="F412" s="281">
        <f t="shared" si="26"/>
        <v>250000</v>
      </c>
    </row>
    <row r="413" spans="1:6">
      <c r="A413" s="285"/>
      <c r="B413" s="286" t="s">
        <v>397</v>
      </c>
      <c r="C413" s="280"/>
      <c r="D413" s="280"/>
      <c r="E413" s="281"/>
      <c r="F413" s="281">
        <f t="shared" ref="F413:F415" si="27">+C413*E413</f>
        <v>0</v>
      </c>
    </row>
    <row r="414" spans="1:6">
      <c r="A414" s="285"/>
      <c r="B414" s="286" t="s">
        <v>789</v>
      </c>
      <c r="C414" s="280">
        <v>1</v>
      </c>
      <c r="D414" s="280" t="s">
        <v>7</v>
      </c>
      <c r="E414" s="281">
        <f>2762000*0.55+150000</f>
        <v>1669100.0000000002</v>
      </c>
      <c r="F414" s="281">
        <f t="shared" si="27"/>
        <v>1669100.0000000002</v>
      </c>
    </row>
    <row r="415" spans="1:6">
      <c r="A415" s="285"/>
      <c r="B415" s="286" t="s">
        <v>399</v>
      </c>
      <c r="C415" s="280"/>
      <c r="D415" s="280"/>
      <c r="E415" s="281"/>
      <c r="F415" s="281">
        <f t="shared" si="27"/>
        <v>0</v>
      </c>
    </row>
    <row r="416" spans="1:6">
      <c r="A416" s="285"/>
      <c r="B416" s="280"/>
      <c r="C416" s="280"/>
      <c r="D416" s="280"/>
      <c r="E416" s="281"/>
      <c r="F416" s="281"/>
    </row>
    <row r="417" spans="1:6">
      <c r="A417" s="282" t="s">
        <v>594</v>
      </c>
      <c r="B417" s="282" t="s">
        <v>595</v>
      </c>
      <c r="C417" s="282"/>
      <c r="D417" s="282" t="s">
        <v>7</v>
      </c>
      <c r="E417" s="283">
        <v>0</v>
      </c>
      <c r="F417" s="284">
        <f>SUM(F418:F426)</f>
        <v>1719600</v>
      </c>
    </row>
    <row r="418" spans="1:6">
      <c r="A418" s="285"/>
      <c r="B418" s="280" t="s">
        <v>249</v>
      </c>
      <c r="C418" s="280"/>
      <c r="D418" s="280" t="s">
        <v>7</v>
      </c>
      <c r="E418" s="281"/>
      <c r="F418" s="281">
        <f t="shared" ref="F418:F426" si="28">+C418*E418</f>
        <v>0</v>
      </c>
    </row>
    <row r="419" spans="1:6">
      <c r="A419" s="285"/>
      <c r="B419" s="280" t="s">
        <v>250</v>
      </c>
      <c r="C419" s="280"/>
      <c r="D419" s="285"/>
      <c r="E419" s="281"/>
      <c r="F419" s="281">
        <f t="shared" si="28"/>
        <v>0</v>
      </c>
    </row>
    <row r="420" spans="1:6">
      <c r="A420" s="285"/>
      <c r="B420" s="280" t="s">
        <v>251</v>
      </c>
      <c r="C420" s="280">
        <v>3</v>
      </c>
      <c r="D420" s="280" t="s">
        <v>7</v>
      </c>
      <c r="E420" s="360">
        <f>E410</f>
        <v>246000</v>
      </c>
      <c r="F420" s="281">
        <f t="shared" si="28"/>
        <v>738000</v>
      </c>
    </row>
    <row r="421" spans="1:6">
      <c r="A421" s="285"/>
      <c r="B421" s="285"/>
      <c r="C421" s="280"/>
      <c r="D421" s="285"/>
      <c r="E421" s="360"/>
      <c r="F421" s="281">
        <f t="shared" si="28"/>
        <v>0</v>
      </c>
    </row>
    <row r="422" spans="1:6">
      <c r="A422" s="285"/>
      <c r="B422" s="280" t="s">
        <v>596</v>
      </c>
      <c r="C422" s="280"/>
      <c r="D422" s="285"/>
      <c r="E422" s="360"/>
      <c r="F422" s="281">
        <f t="shared" si="28"/>
        <v>0</v>
      </c>
    </row>
    <row r="423" spans="1:6">
      <c r="A423" s="285"/>
      <c r="B423" s="280" t="s">
        <v>597</v>
      </c>
      <c r="C423" s="280">
        <v>3</v>
      </c>
      <c r="D423" s="280" t="s">
        <v>7</v>
      </c>
      <c r="E423" s="360">
        <f>E411</f>
        <v>327200</v>
      </c>
      <c r="F423" s="281">
        <f t="shared" si="28"/>
        <v>981600</v>
      </c>
    </row>
    <row r="424" spans="1:6">
      <c r="A424" s="285"/>
      <c r="B424" s="286" t="s">
        <v>397</v>
      </c>
      <c r="C424" s="280"/>
      <c r="D424" s="280"/>
      <c r="E424" s="281"/>
      <c r="F424" s="281">
        <f t="shared" si="28"/>
        <v>0</v>
      </c>
    </row>
    <row r="425" spans="1:6">
      <c r="A425" s="285"/>
      <c r="B425" s="286" t="s">
        <v>398</v>
      </c>
      <c r="C425" s="280"/>
      <c r="D425" s="280"/>
      <c r="E425" s="281"/>
      <c r="F425" s="281">
        <f t="shared" si="28"/>
        <v>0</v>
      </c>
    </row>
    <row r="426" spans="1:6">
      <c r="A426" s="285"/>
      <c r="B426" s="286" t="s">
        <v>399</v>
      </c>
      <c r="C426" s="280"/>
      <c r="D426" s="280"/>
      <c r="E426" s="281"/>
      <c r="F426" s="281">
        <f t="shared" si="28"/>
        <v>0</v>
      </c>
    </row>
    <row r="427" spans="1:6">
      <c r="A427" s="285"/>
      <c r="B427" s="280"/>
      <c r="C427" s="280"/>
      <c r="D427" s="280"/>
      <c r="E427" s="281"/>
      <c r="F427" s="281"/>
    </row>
    <row r="428" spans="1:6" ht="27.6">
      <c r="A428" s="282" t="s">
        <v>31</v>
      </c>
      <c r="B428" s="282" t="s">
        <v>32</v>
      </c>
      <c r="C428" s="282"/>
      <c r="D428" s="282" t="s">
        <v>7</v>
      </c>
      <c r="E428" s="283">
        <v>0</v>
      </c>
      <c r="F428" s="284">
        <f>SUM(F429:F436)</f>
        <v>2684201.3513513515</v>
      </c>
    </row>
    <row r="429" spans="1:6">
      <c r="A429" s="285"/>
      <c r="B429" s="280" t="s">
        <v>32</v>
      </c>
      <c r="C429" s="280"/>
      <c r="D429" s="280" t="s">
        <v>7</v>
      </c>
      <c r="E429" s="281"/>
      <c r="F429" s="281">
        <f t="shared" ref="F429:F436" si="29">+C429*E429</f>
        <v>0</v>
      </c>
    </row>
    <row r="430" spans="1:6">
      <c r="A430" s="285"/>
      <c r="B430" s="280" t="s">
        <v>252</v>
      </c>
      <c r="C430" s="280"/>
      <c r="D430" s="285"/>
      <c r="E430" s="281"/>
      <c r="F430" s="281">
        <f t="shared" si="29"/>
        <v>0</v>
      </c>
    </row>
    <row r="431" spans="1:6">
      <c r="A431" s="285"/>
      <c r="B431" s="280" t="s">
        <v>598</v>
      </c>
      <c r="C431" s="280">
        <v>1</v>
      </c>
      <c r="D431" s="280" t="s">
        <v>7</v>
      </c>
      <c r="E431" s="281">
        <f>1500000/1.11+150000</f>
        <v>1501351.3513513512</v>
      </c>
      <c r="F431" s="281">
        <f t="shared" si="29"/>
        <v>1501351.3513513512</v>
      </c>
    </row>
    <row r="432" spans="1:6">
      <c r="A432" s="285"/>
      <c r="B432" s="280" t="s">
        <v>599</v>
      </c>
      <c r="C432" s="280">
        <v>1</v>
      </c>
      <c r="D432" s="280" t="s">
        <v>204</v>
      </c>
      <c r="E432" s="281">
        <f>787000*0.55+25000</f>
        <v>457850.00000000006</v>
      </c>
      <c r="F432" s="281">
        <f t="shared" si="29"/>
        <v>457850.00000000006</v>
      </c>
    </row>
    <row r="433" spans="1:6">
      <c r="A433" s="285"/>
      <c r="B433" s="280" t="s">
        <v>253</v>
      </c>
      <c r="C433" s="280">
        <v>1</v>
      </c>
      <c r="D433" s="280" t="s">
        <v>204</v>
      </c>
      <c r="E433" s="281">
        <f>721500/1.11+75000</f>
        <v>725000</v>
      </c>
      <c r="F433" s="281">
        <f t="shared" si="29"/>
        <v>725000</v>
      </c>
    </row>
    <row r="434" spans="1:6">
      <c r="A434" s="285"/>
      <c r="B434" s="286" t="s">
        <v>397</v>
      </c>
      <c r="C434" s="280"/>
      <c r="D434" s="280"/>
      <c r="E434" s="281"/>
      <c r="F434" s="281">
        <f t="shared" si="29"/>
        <v>0</v>
      </c>
    </row>
    <row r="435" spans="1:6">
      <c r="A435" s="285"/>
      <c r="B435" s="286" t="s">
        <v>398</v>
      </c>
      <c r="C435" s="280"/>
      <c r="D435" s="280"/>
      <c r="E435" s="281"/>
      <c r="F435" s="281">
        <f t="shared" si="29"/>
        <v>0</v>
      </c>
    </row>
    <row r="436" spans="1:6">
      <c r="A436" s="285"/>
      <c r="B436" s="286" t="s">
        <v>399</v>
      </c>
      <c r="C436" s="280"/>
      <c r="D436" s="280"/>
      <c r="E436" s="281"/>
      <c r="F436" s="281">
        <f t="shared" si="29"/>
        <v>0</v>
      </c>
    </row>
    <row r="437" spans="1:6">
      <c r="A437" s="285"/>
      <c r="B437" s="280"/>
      <c r="C437" s="280"/>
      <c r="D437" s="280"/>
      <c r="E437" s="281"/>
      <c r="F437" s="281"/>
    </row>
    <row r="438" spans="1:6">
      <c r="A438" s="282" t="s">
        <v>33</v>
      </c>
      <c r="B438" s="282" t="s">
        <v>34</v>
      </c>
      <c r="C438" s="282"/>
      <c r="D438" s="282" t="s">
        <v>8</v>
      </c>
      <c r="E438" s="283"/>
      <c r="F438" s="284">
        <f>SUM(F439:F446)</f>
        <v>12770000</v>
      </c>
    </row>
    <row r="439" spans="1:6">
      <c r="A439" s="285"/>
      <c r="B439" s="280" t="s">
        <v>254</v>
      </c>
      <c r="C439" s="280"/>
      <c r="D439" s="280" t="s">
        <v>8</v>
      </c>
      <c r="E439" s="281"/>
      <c r="F439" s="281">
        <f t="shared" ref="F439:F446" si="30">+C439*E439</f>
        <v>0</v>
      </c>
    </row>
    <row r="440" spans="1:6">
      <c r="A440" s="285"/>
      <c r="B440" s="280" t="s">
        <v>255</v>
      </c>
      <c r="C440" s="280">
        <v>62</v>
      </c>
      <c r="D440" s="280" t="s">
        <v>8</v>
      </c>
      <c r="E440" s="281">
        <v>45000</v>
      </c>
      <c r="F440" s="281">
        <f t="shared" si="30"/>
        <v>2790000</v>
      </c>
    </row>
    <row r="441" spans="1:6">
      <c r="A441" s="285"/>
      <c r="B441" s="280" t="s">
        <v>256</v>
      </c>
      <c r="C441" s="280">
        <v>152</v>
      </c>
      <c r="D441" s="280" t="s">
        <v>8</v>
      </c>
      <c r="E441" s="281">
        <v>40000</v>
      </c>
      <c r="F441" s="281">
        <f t="shared" si="30"/>
        <v>6080000</v>
      </c>
    </row>
    <row r="442" spans="1:6">
      <c r="A442" s="285"/>
      <c r="B442" s="280" t="s">
        <v>600</v>
      </c>
      <c r="C442" s="359">
        <v>24</v>
      </c>
      <c r="D442" s="280" t="s">
        <v>8</v>
      </c>
      <c r="E442" s="281">
        <v>60000</v>
      </c>
      <c r="F442" s="281">
        <f t="shared" si="30"/>
        <v>1440000</v>
      </c>
    </row>
    <row r="443" spans="1:6">
      <c r="A443" s="285"/>
      <c r="B443" s="280" t="s">
        <v>601</v>
      </c>
      <c r="C443" s="280">
        <v>28</v>
      </c>
      <c r="D443" s="280" t="s">
        <v>8</v>
      </c>
      <c r="E443" s="281">
        <v>55000</v>
      </c>
      <c r="F443" s="281">
        <f t="shared" si="30"/>
        <v>1540000</v>
      </c>
    </row>
    <row r="444" spans="1:6">
      <c r="A444" s="285"/>
      <c r="B444" s="286" t="s">
        <v>397</v>
      </c>
      <c r="C444" s="280"/>
      <c r="D444" s="280"/>
      <c r="E444" s="281"/>
      <c r="F444" s="281">
        <f t="shared" si="30"/>
        <v>0</v>
      </c>
    </row>
    <row r="445" spans="1:6">
      <c r="A445" s="285"/>
      <c r="B445" s="367" t="s">
        <v>803</v>
      </c>
      <c r="C445" s="280">
        <v>23</v>
      </c>
      <c r="D445" s="280" t="s">
        <v>49</v>
      </c>
      <c r="E445" s="281">
        <v>40000</v>
      </c>
      <c r="F445" s="281">
        <f t="shared" si="30"/>
        <v>920000</v>
      </c>
    </row>
    <row r="446" spans="1:6">
      <c r="A446" s="285"/>
      <c r="B446" s="286" t="s">
        <v>399</v>
      </c>
      <c r="C446" s="280"/>
      <c r="D446" s="280"/>
      <c r="E446" s="281"/>
      <c r="F446" s="281">
        <f t="shared" si="30"/>
        <v>0</v>
      </c>
    </row>
    <row r="447" spans="1:6">
      <c r="A447" s="285"/>
      <c r="B447" s="280"/>
      <c r="C447" s="280"/>
      <c r="D447" s="280"/>
      <c r="E447" s="281"/>
      <c r="F447" s="281"/>
    </row>
    <row r="448" spans="1:6">
      <c r="A448" s="282" t="s">
        <v>35</v>
      </c>
      <c r="B448" s="282" t="s">
        <v>36</v>
      </c>
      <c r="C448" s="282"/>
      <c r="D448" s="282" t="s">
        <v>8</v>
      </c>
      <c r="E448" s="283"/>
      <c r="F448" s="284">
        <f>SUM(F449:F461)</f>
        <v>20152380.72072072</v>
      </c>
    </row>
    <row r="449" spans="1:6">
      <c r="A449" s="285"/>
      <c r="B449" s="280" t="s">
        <v>257</v>
      </c>
      <c r="C449" s="280"/>
      <c r="D449" s="280" t="s">
        <v>8</v>
      </c>
      <c r="E449" s="281"/>
      <c r="F449" s="281">
        <f t="shared" ref="F449:F461" si="31">+C449*E449</f>
        <v>0</v>
      </c>
    </row>
    <row r="450" spans="1:6">
      <c r="A450" s="285"/>
      <c r="B450" s="280" t="s">
        <v>258</v>
      </c>
      <c r="C450" s="361">
        <v>8</v>
      </c>
      <c r="D450" s="280" t="s">
        <v>8</v>
      </c>
      <c r="E450" s="281">
        <f>(54300+500)*0.85/4+21500</f>
        <v>33145</v>
      </c>
      <c r="F450" s="281">
        <f t="shared" si="31"/>
        <v>265160</v>
      </c>
    </row>
    <row r="451" spans="1:6">
      <c r="A451" s="285"/>
      <c r="B451" s="280" t="s">
        <v>259</v>
      </c>
      <c r="C451" s="359">
        <v>0</v>
      </c>
      <c r="D451" s="280" t="s">
        <v>8</v>
      </c>
      <c r="E451" s="281">
        <v>45500</v>
      </c>
      <c r="F451" s="281">
        <f t="shared" si="31"/>
        <v>0</v>
      </c>
    </row>
    <row r="452" spans="1:6">
      <c r="A452" s="285"/>
      <c r="B452" s="280" t="s">
        <v>260</v>
      </c>
      <c r="C452" s="361">
        <f>115*0+72</f>
        <v>72</v>
      </c>
      <c r="D452" s="280" t="s">
        <v>8</v>
      </c>
      <c r="E452" s="281">
        <f>91200/1.11/4+24500+7500</f>
        <v>52540.54054054054</v>
      </c>
      <c r="F452" s="281">
        <f t="shared" si="31"/>
        <v>3782918.9189189188</v>
      </c>
    </row>
    <row r="453" spans="1:6">
      <c r="A453" s="285"/>
      <c r="B453" s="280" t="s">
        <v>261</v>
      </c>
      <c r="C453" s="361">
        <v>53</v>
      </c>
      <c r="D453" s="280" t="s">
        <v>8</v>
      </c>
      <c r="E453" s="281">
        <f>121000/1.11/4+30000+7500</f>
        <v>64752.252252252249</v>
      </c>
      <c r="F453" s="281">
        <f t="shared" si="31"/>
        <v>3431869.369369369</v>
      </c>
    </row>
    <row r="454" spans="1:6">
      <c r="A454" s="285"/>
      <c r="B454" s="280" t="s">
        <v>262</v>
      </c>
      <c r="C454" s="361">
        <f>102*0+90</f>
        <v>90</v>
      </c>
      <c r="D454" s="280" t="s">
        <v>8</v>
      </c>
      <c r="E454" s="281">
        <f>190300/1.11/4+32500+7500</f>
        <v>82860.360360360355</v>
      </c>
      <c r="F454" s="281">
        <f t="shared" si="31"/>
        <v>7457432.4324324317</v>
      </c>
    </row>
    <row r="455" spans="1:6">
      <c r="A455" s="285"/>
      <c r="B455" s="280" t="s">
        <v>263</v>
      </c>
      <c r="C455" s="361">
        <v>1</v>
      </c>
      <c r="D455" s="280" t="s">
        <v>7</v>
      </c>
      <c r="E455" s="360">
        <f>2686200/1.11</f>
        <v>2420000</v>
      </c>
      <c r="F455" s="281">
        <f t="shared" si="31"/>
        <v>2420000</v>
      </c>
    </row>
    <row r="456" spans="1:6">
      <c r="A456" s="285"/>
      <c r="B456" s="280" t="s">
        <v>264</v>
      </c>
      <c r="C456" s="361">
        <v>2</v>
      </c>
      <c r="D456" s="280" t="s">
        <v>204</v>
      </c>
      <c r="E456" s="281">
        <v>300000</v>
      </c>
      <c r="F456" s="281">
        <f t="shared" si="31"/>
        <v>600000</v>
      </c>
    </row>
    <row r="457" spans="1:6">
      <c r="A457" s="285"/>
      <c r="B457" s="280" t="s">
        <v>265</v>
      </c>
      <c r="C457" s="361">
        <v>2</v>
      </c>
      <c r="D457" s="280" t="s">
        <v>204</v>
      </c>
      <c r="E457" s="281">
        <f>269175/1.11</f>
        <v>242499.99999999997</v>
      </c>
      <c r="F457" s="281">
        <f t="shared" si="31"/>
        <v>484999.99999999994</v>
      </c>
    </row>
    <row r="458" spans="1:6">
      <c r="A458" s="285"/>
      <c r="B458" s="280" t="s">
        <v>266</v>
      </c>
      <c r="C458" s="361">
        <v>18</v>
      </c>
      <c r="D458" s="280" t="s">
        <v>7</v>
      </c>
      <c r="E458" s="281">
        <f>45000+50000</f>
        <v>95000</v>
      </c>
      <c r="F458" s="281">
        <f t="shared" si="31"/>
        <v>1710000</v>
      </c>
    </row>
    <row r="459" spans="1:6">
      <c r="A459" s="285"/>
      <c r="B459" s="286" t="s">
        <v>397</v>
      </c>
      <c r="C459" s="280"/>
      <c r="D459" s="280"/>
      <c r="E459" s="281"/>
      <c r="F459" s="281">
        <f t="shared" si="31"/>
        <v>0</v>
      </c>
    </row>
    <row r="460" spans="1:6">
      <c r="A460" s="285"/>
      <c r="B460" s="286" t="s">
        <v>398</v>
      </c>
      <c r="C460" s="280"/>
      <c r="D460" s="280"/>
      <c r="E460" s="281"/>
      <c r="F460" s="281">
        <f t="shared" si="31"/>
        <v>0</v>
      </c>
    </row>
    <row r="461" spans="1:6">
      <c r="A461" s="285"/>
      <c r="B461" s="286" t="s">
        <v>399</v>
      </c>
      <c r="C461" s="280"/>
      <c r="D461" s="280"/>
      <c r="E461" s="281"/>
      <c r="F461" s="281">
        <f t="shared" si="31"/>
        <v>0</v>
      </c>
    </row>
    <row r="462" spans="1:6">
      <c r="A462" s="285"/>
      <c r="B462" s="280"/>
      <c r="C462" s="280"/>
      <c r="D462" s="280"/>
      <c r="E462" s="281"/>
      <c r="F462" s="281"/>
    </row>
    <row r="463" spans="1:6">
      <c r="A463" s="282" t="s">
        <v>37</v>
      </c>
      <c r="B463" s="282" t="s">
        <v>267</v>
      </c>
      <c r="C463" s="282"/>
      <c r="D463" s="282" t="s">
        <v>6</v>
      </c>
      <c r="E463" s="283"/>
      <c r="F463" s="284">
        <f>SUM(F464:F472)</f>
        <v>1140000</v>
      </c>
    </row>
    <row r="464" spans="1:6">
      <c r="A464" s="285"/>
      <c r="B464" s="280" t="s">
        <v>268</v>
      </c>
      <c r="C464" s="280"/>
      <c r="D464" s="280" t="s">
        <v>6</v>
      </c>
      <c r="E464" s="281"/>
      <c r="F464" s="281">
        <f>+C464*E464</f>
        <v>0</v>
      </c>
    </row>
    <row r="465" spans="1:8">
      <c r="A465" s="285"/>
      <c r="B465" s="280" t="s">
        <v>602</v>
      </c>
      <c r="C465" s="280">
        <v>2</v>
      </c>
      <c r="D465" s="280" t="s">
        <v>204</v>
      </c>
      <c r="E465" s="281">
        <v>150000</v>
      </c>
      <c r="F465" s="281">
        <f t="shared" ref="F465:F472" si="32">+C465*E465</f>
        <v>300000</v>
      </c>
    </row>
    <row r="466" spans="1:8">
      <c r="A466" s="285"/>
      <c r="B466" s="280" t="s">
        <v>603</v>
      </c>
      <c r="C466" s="359">
        <v>1</v>
      </c>
      <c r="D466" s="280" t="s">
        <v>6</v>
      </c>
      <c r="E466" s="360">
        <v>300000</v>
      </c>
      <c r="F466" s="281">
        <f t="shared" si="32"/>
        <v>300000</v>
      </c>
    </row>
    <row r="467" spans="1:8">
      <c r="A467" s="285"/>
      <c r="B467" s="280" t="s">
        <v>604</v>
      </c>
      <c r="C467" s="280">
        <v>1</v>
      </c>
      <c r="D467" s="280" t="s">
        <v>6</v>
      </c>
      <c r="E467" s="281">
        <v>150000</v>
      </c>
      <c r="F467" s="281">
        <f t="shared" si="32"/>
        <v>150000</v>
      </c>
    </row>
    <row r="468" spans="1:8">
      <c r="A468" s="285"/>
      <c r="B468" s="280" t="s">
        <v>605</v>
      </c>
      <c r="C468" s="280">
        <v>1</v>
      </c>
      <c r="D468" s="280" t="s">
        <v>6</v>
      </c>
      <c r="E468" s="281">
        <v>150000</v>
      </c>
      <c r="F468" s="281">
        <f t="shared" si="32"/>
        <v>150000</v>
      </c>
    </row>
    <row r="469" spans="1:8">
      <c r="A469" s="285"/>
      <c r="B469" s="280" t="s">
        <v>606</v>
      </c>
      <c r="C469" s="280">
        <v>3</v>
      </c>
      <c r="D469" s="280" t="s">
        <v>204</v>
      </c>
      <c r="E469" s="281">
        <v>80000</v>
      </c>
      <c r="F469" s="281">
        <f t="shared" si="32"/>
        <v>240000</v>
      </c>
    </row>
    <row r="470" spans="1:8">
      <c r="A470" s="285"/>
      <c r="B470" s="286" t="s">
        <v>397</v>
      </c>
      <c r="C470" s="280"/>
      <c r="D470" s="280"/>
      <c r="E470" s="281"/>
      <c r="F470" s="281">
        <f t="shared" si="32"/>
        <v>0</v>
      </c>
    </row>
    <row r="471" spans="1:8">
      <c r="A471" s="285"/>
      <c r="B471" s="286" t="s">
        <v>398</v>
      </c>
      <c r="C471" s="280"/>
      <c r="D471" s="280"/>
      <c r="E471" s="281"/>
      <c r="F471" s="281">
        <f t="shared" si="32"/>
        <v>0</v>
      </c>
    </row>
    <row r="472" spans="1:8">
      <c r="A472" s="285"/>
      <c r="B472" s="286" t="s">
        <v>399</v>
      </c>
      <c r="C472" s="280"/>
      <c r="D472" s="280"/>
      <c r="E472" s="281"/>
      <c r="F472" s="281">
        <f t="shared" si="32"/>
        <v>0</v>
      </c>
    </row>
    <row r="473" spans="1:8">
      <c r="A473" s="285"/>
      <c r="B473" s="280"/>
      <c r="C473" s="280"/>
      <c r="D473" s="280"/>
      <c r="E473" s="281"/>
      <c r="F473" s="281"/>
    </row>
    <row r="474" spans="1:8" ht="27.6">
      <c r="A474" s="282" t="s">
        <v>38</v>
      </c>
      <c r="B474" s="282" t="s">
        <v>39</v>
      </c>
      <c r="C474" s="282"/>
      <c r="D474" s="282" t="s">
        <v>10</v>
      </c>
      <c r="E474" s="283"/>
      <c r="F474" s="284">
        <f>SUM(F475:F498)</f>
        <v>19887000</v>
      </c>
      <c r="H474" s="429">
        <v>21528500</v>
      </c>
    </row>
    <row r="475" spans="1:8">
      <c r="A475" s="285"/>
      <c r="B475" s="280" t="s">
        <v>269</v>
      </c>
      <c r="C475" s="280"/>
      <c r="D475" s="280" t="s">
        <v>10</v>
      </c>
      <c r="E475" s="281"/>
      <c r="F475" s="281">
        <f>+C475*E475</f>
        <v>0</v>
      </c>
    </row>
    <row r="476" spans="1:8">
      <c r="A476" s="285"/>
      <c r="B476" s="280" t="s">
        <v>270</v>
      </c>
      <c r="C476" s="422">
        <f>31*0+23</f>
        <v>23</v>
      </c>
      <c r="D476" s="280" t="s">
        <v>10</v>
      </c>
      <c r="E476" s="281">
        <v>177500</v>
      </c>
      <c r="F476" s="281">
        <f t="shared" ref="F476:F498" si="33">+C476*E476</f>
        <v>4082500</v>
      </c>
      <c r="G476" s="358"/>
    </row>
    <row r="477" spans="1:8">
      <c r="A477" s="285"/>
      <c r="B477" s="280" t="s">
        <v>271</v>
      </c>
      <c r="C477" s="422">
        <f>18*0+5</f>
        <v>5</v>
      </c>
      <c r="D477" s="280" t="s">
        <v>10</v>
      </c>
      <c r="E477" s="281">
        <v>177500</v>
      </c>
      <c r="F477" s="281">
        <f t="shared" si="33"/>
        <v>887500</v>
      </c>
      <c r="G477" s="358"/>
    </row>
    <row r="478" spans="1:8">
      <c r="A478" s="285"/>
      <c r="B478" s="280" t="s">
        <v>607</v>
      </c>
      <c r="C478" s="356">
        <v>0</v>
      </c>
      <c r="D478" s="280" t="s">
        <v>10</v>
      </c>
      <c r="E478" s="281">
        <v>0</v>
      </c>
      <c r="F478" s="281">
        <f t="shared" si="33"/>
        <v>0</v>
      </c>
    </row>
    <row r="479" spans="1:8">
      <c r="A479" s="285"/>
      <c r="B479" s="280" t="s">
        <v>272</v>
      </c>
      <c r="C479" s="280">
        <v>34</v>
      </c>
      <c r="D479" s="280" t="s">
        <v>10</v>
      </c>
      <c r="E479" s="281">
        <v>177500</v>
      </c>
      <c r="F479" s="281">
        <f t="shared" si="33"/>
        <v>6035000</v>
      </c>
      <c r="G479" s="358"/>
    </row>
    <row r="480" spans="1:8">
      <c r="A480" s="285"/>
      <c r="B480" s="280" t="s">
        <v>608</v>
      </c>
      <c r="C480" s="280">
        <v>17</v>
      </c>
      <c r="D480" s="280" t="s">
        <v>8</v>
      </c>
      <c r="E480" s="281">
        <v>61500</v>
      </c>
      <c r="F480" s="281">
        <f t="shared" si="33"/>
        <v>1045500</v>
      </c>
      <c r="G480" s="358"/>
    </row>
    <row r="481" spans="1:8">
      <c r="A481" s="285"/>
      <c r="B481" s="280" t="s">
        <v>609</v>
      </c>
      <c r="C481" s="280">
        <v>16</v>
      </c>
      <c r="D481" s="280" t="s">
        <v>8</v>
      </c>
      <c r="E481" s="281">
        <v>75500</v>
      </c>
      <c r="F481" s="281">
        <f t="shared" si="33"/>
        <v>1208000</v>
      </c>
      <c r="G481" s="358"/>
    </row>
    <row r="482" spans="1:8">
      <c r="A482" s="285"/>
      <c r="B482" s="280" t="s">
        <v>610</v>
      </c>
      <c r="C482" s="356">
        <v>0</v>
      </c>
      <c r="D482" s="280" t="s">
        <v>6</v>
      </c>
      <c r="E482" s="281">
        <v>0</v>
      </c>
      <c r="F482" s="281">
        <f t="shared" si="33"/>
        <v>0</v>
      </c>
    </row>
    <row r="483" spans="1:8">
      <c r="A483" s="285"/>
      <c r="B483" s="280" t="s">
        <v>611</v>
      </c>
      <c r="C483" s="280">
        <v>78</v>
      </c>
      <c r="D483" s="280" t="s">
        <v>10</v>
      </c>
      <c r="E483" s="281">
        <v>16000</v>
      </c>
      <c r="F483" s="281">
        <f t="shared" si="33"/>
        <v>1248000</v>
      </c>
    </row>
    <row r="484" spans="1:8">
      <c r="A484" s="285"/>
      <c r="B484" s="280" t="s">
        <v>612</v>
      </c>
      <c r="C484" s="422">
        <f>6-1</f>
        <v>5</v>
      </c>
      <c r="D484" s="280" t="s">
        <v>10</v>
      </c>
      <c r="E484" s="281">
        <v>35000</v>
      </c>
      <c r="F484" s="281">
        <f t="shared" si="33"/>
        <v>175000</v>
      </c>
      <c r="H484" s="358" t="s">
        <v>858</v>
      </c>
    </row>
    <row r="485" spans="1:8">
      <c r="A485" s="285"/>
      <c r="B485" s="280" t="s">
        <v>613</v>
      </c>
      <c r="C485" s="422">
        <f>6-1</f>
        <v>5</v>
      </c>
      <c r="D485" s="280" t="s">
        <v>204</v>
      </c>
      <c r="E485" s="281">
        <f>310000+194500</f>
        <v>504500</v>
      </c>
      <c r="F485" s="281">
        <f t="shared" si="33"/>
        <v>2522500</v>
      </c>
    </row>
    <row r="486" spans="1:8">
      <c r="A486" s="285"/>
      <c r="B486" s="280" t="s">
        <v>614</v>
      </c>
      <c r="C486" s="280">
        <v>1</v>
      </c>
      <c r="D486" s="280" t="s">
        <v>10</v>
      </c>
      <c r="E486" s="281">
        <f>310000</f>
        <v>310000</v>
      </c>
      <c r="F486" s="281">
        <f t="shared" si="33"/>
        <v>310000</v>
      </c>
    </row>
    <row r="487" spans="1:8">
      <c r="A487" s="285"/>
      <c r="B487" s="280" t="s">
        <v>615</v>
      </c>
      <c r="C487" s="280">
        <v>3</v>
      </c>
      <c r="D487" s="280" t="s">
        <v>10</v>
      </c>
      <c r="E487" s="281">
        <v>225000</v>
      </c>
      <c r="F487" s="281">
        <f t="shared" si="33"/>
        <v>675000</v>
      </c>
      <c r="G487" s="358"/>
    </row>
    <row r="488" spans="1:8" ht="27.6">
      <c r="A488" s="285"/>
      <c r="B488" s="280" t="s">
        <v>616</v>
      </c>
      <c r="C488" s="356">
        <v>0</v>
      </c>
      <c r="D488" s="280" t="s">
        <v>10</v>
      </c>
      <c r="E488" s="281">
        <v>0</v>
      </c>
      <c r="F488" s="281">
        <f t="shared" si="33"/>
        <v>0</v>
      </c>
      <c r="G488" s="358"/>
    </row>
    <row r="489" spans="1:8">
      <c r="A489" s="285"/>
      <c r="B489" s="280" t="s">
        <v>617</v>
      </c>
      <c r="C489" s="280">
        <v>1</v>
      </c>
      <c r="D489" s="280" t="s">
        <v>6</v>
      </c>
      <c r="E489" s="281">
        <v>200000</v>
      </c>
      <c r="F489" s="281">
        <f t="shared" si="33"/>
        <v>200000</v>
      </c>
    </row>
    <row r="490" spans="1:8">
      <c r="A490" s="285"/>
      <c r="B490" s="280" t="s">
        <v>618</v>
      </c>
      <c r="C490" s="356">
        <v>0</v>
      </c>
      <c r="D490" s="280" t="s">
        <v>6</v>
      </c>
      <c r="E490" s="281">
        <v>0</v>
      </c>
      <c r="F490" s="281">
        <f t="shared" si="33"/>
        <v>0</v>
      </c>
    </row>
    <row r="491" spans="1:8">
      <c r="A491" s="285"/>
      <c r="B491" s="280" t="s">
        <v>619</v>
      </c>
      <c r="C491" s="280">
        <v>1</v>
      </c>
      <c r="D491" s="280" t="s">
        <v>6</v>
      </c>
      <c r="E491" s="281">
        <v>150000</v>
      </c>
      <c r="F491" s="281">
        <f t="shared" si="33"/>
        <v>150000</v>
      </c>
    </row>
    <row r="492" spans="1:8">
      <c r="A492" s="285"/>
      <c r="B492" s="280" t="s">
        <v>620</v>
      </c>
      <c r="C492" s="280">
        <v>1</v>
      </c>
      <c r="D492" s="280" t="s">
        <v>6</v>
      </c>
      <c r="E492" s="360">
        <v>400000</v>
      </c>
      <c r="F492" s="281">
        <f t="shared" si="33"/>
        <v>400000</v>
      </c>
    </row>
    <row r="493" spans="1:8">
      <c r="A493" s="285"/>
      <c r="B493" s="280" t="s">
        <v>621</v>
      </c>
      <c r="C493" s="280">
        <v>1</v>
      </c>
      <c r="D493" s="280" t="s">
        <v>6</v>
      </c>
      <c r="E493" s="360">
        <v>300000</v>
      </c>
      <c r="F493" s="281">
        <f t="shared" si="33"/>
        <v>300000</v>
      </c>
    </row>
    <row r="494" spans="1:8">
      <c r="A494" s="285"/>
      <c r="B494" s="280" t="s">
        <v>622</v>
      </c>
      <c r="C494" s="280">
        <v>2</v>
      </c>
      <c r="D494" s="280" t="s">
        <v>10</v>
      </c>
      <c r="E494" s="281">
        <v>180000</v>
      </c>
      <c r="F494" s="281">
        <f t="shared" si="33"/>
        <v>360000</v>
      </c>
    </row>
    <row r="495" spans="1:8">
      <c r="A495" s="285"/>
      <c r="B495" s="280" t="s">
        <v>623</v>
      </c>
      <c r="C495" s="443">
        <v>16</v>
      </c>
      <c r="D495" s="280" t="s">
        <v>10</v>
      </c>
      <c r="E495" s="281">
        <v>18000</v>
      </c>
      <c r="F495" s="281">
        <f t="shared" si="33"/>
        <v>288000</v>
      </c>
      <c r="G495" s="358"/>
    </row>
    <row r="496" spans="1:8">
      <c r="A496" s="285"/>
      <c r="B496" s="286" t="s">
        <v>397</v>
      </c>
      <c r="C496" s="280"/>
      <c r="D496" s="280"/>
      <c r="E496" s="281"/>
      <c r="F496" s="281">
        <f t="shared" si="33"/>
        <v>0</v>
      </c>
    </row>
    <row r="497" spans="1:8">
      <c r="A497" s="285"/>
      <c r="B497" s="286" t="s">
        <v>398</v>
      </c>
      <c r="C497" s="280"/>
      <c r="D497" s="280"/>
      <c r="E497" s="281"/>
      <c r="F497" s="281">
        <f t="shared" si="33"/>
        <v>0</v>
      </c>
    </row>
    <row r="498" spans="1:8">
      <c r="A498" s="285"/>
      <c r="B498" s="286" t="s">
        <v>399</v>
      </c>
      <c r="C498" s="280"/>
      <c r="D498" s="280"/>
      <c r="E498" s="281"/>
      <c r="F498" s="281">
        <f t="shared" si="33"/>
        <v>0</v>
      </c>
    </row>
    <row r="499" spans="1:8">
      <c r="A499" s="285"/>
      <c r="B499" s="280"/>
      <c r="C499" s="280"/>
      <c r="D499" s="280"/>
      <c r="E499" s="281"/>
      <c r="F499" s="281"/>
    </row>
    <row r="500" spans="1:8">
      <c r="A500" s="282" t="s">
        <v>273</v>
      </c>
      <c r="B500" s="282" t="s">
        <v>274</v>
      </c>
      <c r="C500" s="282"/>
      <c r="D500" s="282" t="s">
        <v>6</v>
      </c>
      <c r="E500" s="283"/>
      <c r="F500" s="284">
        <f>SUM(F501:F530)</f>
        <v>20536500</v>
      </c>
      <c r="H500" s="429">
        <v>21612500</v>
      </c>
    </row>
    <row r="501" spans="1:8">
      <c r="A501" s="285"/>
      <c r="B501" s="280" t="s">
        <v>275</v>
      </c>
      <c r="C501" s="280"/>
      <c r="D501" s="280" t="s">
        <v>6</v>
      </c>
      <c r="E501" s="281"/>
      <c r="F501" s="281">
        <f t="shared" ref="F501:F520" si="34">+C501*E501</f>
        <v>0</v>
      </c>
    </row>
    <row r="502" spans="1:8">
      <c r="A502" s="285"/>
      <c r="B502" s="280" t="s">
        <v>276</v>
      </c>
      <c r="C502" s="280">
        <f>C476</f>
        <v>23</v>
      </c>
      <c r="D502" s="280" t="s">
        <v>10</v>
      </c>
      <c r="E502" s="360">
        <v>85000</v>
      </c>
      <c r="F502" s="281">
        <f t="shared" si="34"/>
        <v>1955000</v>
      </c>
    </row>
    <row r="503" spans="1:8">
      <c r="A503" s="285"/>
      <c r="B503" s="280" t="s">
        <v>277</v>
      </c>
      <c r="C503" s="280">
        <f>C477</f>
        <v>5</v>
      </c>
      <c r="D503" s="280" t="s">
        <v>10</v>
      </c>
      <c r="E503" s="360">
        <v>105000</v>
      </c>
      <c r="F503" s="281">
        <f t="shared" si="34"/>
        <v>525000</v>
      </c>
    </row>
    <row r="504" spans="1:8">
      <c r="A504" s="285"/>
      <c r="B504" s="280" t="s">
        <v>278</v>
      </c>
      <c r="C504" s="356">
        <v>0</v>
      </c>
      <c r="D504" s="280" t="s">
        <v>10</v>
      </c>
      <c r="E504" s="360">
        <v>0</v>
      </c>
      <c r="F504" s="281">
        <f t="shared" si="34"/>
        <v>0</v>
      </c>
    </row>
    <row r="505" spans="1:8">
      <c r="A505" s="285"/>
      <c r="B505" s="280" t="s">
        <v>279</v>
      </c>
      <c r="C505" s="280">
        <v>49</v>
      </c>
      <c r="D505" s="280" t="s">
        <v>7</v>
      </c>
      <c r="E505" s="360">
        <v>41000</v>
      </c>
      <c r="F505" s="281">
        <f t="shared" si="34"/>
        <v>2009000</v>
      </c>
    </row>
    <row r="506" spans="1:8">
      <c r="A506" s="285"/>
      <c r="B506" s="280" t="s">
        <v>280</v>
      </c>
      <c r="C506" s="280">
        <v>2</v>
      </c>
      <c r="D506" s="280" t="s">
        <v>10</v>
      </c>
      <c r="E506" s="360">
        <v>350000</v>
      </c>
      <c r="F506" s="281">
        <f t="shared" si="34"/>
        <v>700000</v>
      </c>
    </row>
    <row r="507" spans="1:8">
      <c r="A507" s="285"/>
      <c r="B507" s="280" t="s">
        <v>281</v>
      </c>
      <c r="C507" s="280">
        <v>2</v>
      </c>
      <c r="D507" s="280" t="s">
        <v>10</v>
      </c>
      <c r="E507" s="360">
        <v>190000</v>
      </c>
      <c r="F507" s="281">
        <f t="shared" si="34"/>
        <v>380000</v>
      </c>
    </row>
    <row r="508" spans="1:8" ht="27.6">
      <c r="A508" s="285"/>
      <c r="B508" s="280" t="s">
        <v>624</v>
      </c>
      <c r="C508" s="280">
        <v>17</v>
      </c>
      <c r="D508" s="280" t="s">
        <v>204</v>
      </c>
      <c r="E508" s="360">
        <v>166500</v>
      </c>
      <c r="F508" s="281">
        <f t="shared" si="34"/>
        <v>2830500</v>
      </c>
    </row>
    <row r="509" spans="1:8" ht="27.6">
      <c r="A509" s="285"/>
      <c r="B509" s="280" t="s">
        <v>625</v>
      </c>
      <c r="C509" s="280">
        <v>8</v>
      </c>
      <c r="D509" s="280" t="s">
        <v>204</v>
      </c>
      <c r="E509" s="360">
        <v>137500</v>
      </c>
      <c r="F509" s="281">
        <f t="shared" si="34"/>
        <v>1100000</v>
      </c>
    </row>
    <row r="510" spans="1:8" ht="27.6">
      <c r="A510" s="285"/>
      <c r="B510" s="280" t="s">
        <v>626</v>
      </c>
      <c r="C510" s="280">
        <v>2</v>
      </c>
      <c r="D510" s="280" t="s">
        <v>204</v>
      </c>
      <c r="E510" s="360">
        <v>162500</v>
      </c>
      <c r="F510" s="281">
        <f t="shared" si="34"/>
        <v>325000</v>
      </c>
    </row>
    <row r="511" spans="1:8" ht="27.6">
      <c r="A511" s="285"/>
      <c r="B511" s="280" t="s">
        <v>627</v>
      </c>
      <c r="C511" s="280">
        <v>36</v>
      </c>
      <c r="D511" s="280" t="s">
        <v>204</v>
      </c>
      <c r="E511" s="360">
        <v>155000</v>
      </c>
      <c r="F511" s="281">
        <f t="shared" si="34"/>
        <v>5580000</v>
      </c>
      <c r="G511" s="358"/>
    </row>
    <row r="512" spans="1:8">
      <c r="A512" s="285"/>
      <c r="B512" s="280" t="s">
        <v>628</v>
      </c>
      <c r="C512" s="280">
        <v>17</v>
      </c>
      <c r="D512" s="280" t="s">
        <v>204</v>
      </c>
      <c r="E512" s="360">
        <v>65000</v>
      </c>
      <c r="F512" s="281">
        <f t="shared" si="34"/>
        <v>1105000</v>
      </c>
      <c r="G512" s="358"/>
    </row>
    <row r="513" spans="1:7">
      <c r="A513" s="285"/>
      <c r="B513" s="280" t="s">
        <v>629</v>
      </c>
      <c r="C513" s="356">
        <v>0</v>
      </c>
      <c r="D513" s="280" t="s">
        <v>204</v>
      </c>
      <c r="E513" s="360">
        <v>0</v>
      </c>
      <c r="F513" s="281">
        <f t="shared" si="34"/>
        <v>0</v>
      </c>
      <c r="G513" s="358"/>
    </row>
    <row r="514" spans="1:7">
      <c r="A514" s="285"/>
      <c r="B514" s="280" t="s">
        <v>282</v>
      </c>
      <c r="C514" s="356">
        <v>0</v>
      </c>
      <c r="D514" s="280" t="s">
        <v>204</v>
      </c>
      <c r="E514" s="360">
        <v>0</v>
      </c>
      <c r="F514" s="281">
        <f t="shared" si="34"/>
        <v>0</v>
      </c>
      <c r="G514" s="358"/>
    </row>
    <row r="515" spans="1:7">
      <c r="A515" s="285"/>
      <c r="B515" s="280" t="s">
        <v>630</v>
      </c>
      <c r="C515" s="356">
        <v>0</v>
      </c>
      <c r="D515" s="280" t="s">
        <v>204</v>
      </c>
      <c r="E515" s="360">
        <v>0</v>
      </c>
      <c r="F515" s="281">
        <f t="shared" si="34"/>
        <v>0</v>
      </c>
      <c r="G515" s="358"/>
    </row>
    <row r="516" spans="1:7">
      <c r="A516" s="285"/>
      <c r="B516" s="280" t="s">
        <v>631</v>
      </c>
      <c r="C516" s="280">
        <v>1</v>
      </c>
      <c r="D516" s="280" t="s">
        <v>204</v>
      </c>
      <c r="E516" s="360">
        <v>450000</v>
      </c>
      <c r="F516" s="281">
        <f t="shared" si="34"/>
        <v>450000</v>
      </c>
      <c r="G516" s="358"/>
    </row>
    <row r="517" spans="1:7" ht="18" customHeight="1">
      <c r="A517" s="285"/>
      <c r="B517" s="280" t="s">
        <v>632</v>
      </c>
      <c r="C517" s="280">
        <v>2</v>
      </c>
      <c r="D517" s="280" t="s">
        <v>204</v>
      </c>
      <c r="E517" s="360">
        <v>175500</v>
      </c>
      <c r="F517" s="281">
        <f t="shared" si="34"/>
        <v>351000</v>
      </c>
      <c r="G517" s="358"/>
    </row>
    <row r="518" spans="1:7" ht="27.6">
      <c r="A518" s="285"/>
      <c r="B518" s="280" t="s">
        <v>633</v>
      </c>
      <c r="C518" s="280">
        <v>3</v>
      </c>
      <c r="D518" s="280" t="s">
        <v>204</v>
      </c>
      <c r="E518" s="360">
        <v>178500</v>
      </c>
      <c r="F518" s="281">
        <f t="shared" si="34"/>
        <v>535500</v>
      </c>
      <c r="G518" s="358"/>
    </row>
    <row r="519" spans="1:7" ht="27.6">
      <c r="A519" s="285"/>
      <c r="B519" s="280" t="s">
        <v>634</v>
      </c>
      <c r="C519" s="356">
        <v>0</v>
      </c>
      <c r="D519" s="280" t="s">
        <v>204</v>
      </c>
      <c r="E519" s="360">
        <v>0</v>
      </c>
      <c r="F519" s="281">
        <f t="shared" si="34"/>
        <v>0</v>
      </c>
    </row>
    <row r="520" spans="1:7">
      <c r="A520" s="285"/>
      <c r="B520" s="286" t="s">
        <v>397</v>
      </c>
      <c r="C520" s="280"/>
      <c r="D520" s="280"/>
      <c r="E520" s="281"/>
      <c r="F520" s="281">
        <f t="shared" si="34"/>
        <v>0</v>
      </c>
    </row>
    <row r="521" spans="1:7" s="370" customFormat="1" ht="14.25" customHeight="1">
      <c r="B521" s="367" t="s">
        <v>791</v>
      </c>
      <c r="C521" s="371">
        <v>3</v>
      </c>
      <c r="D521" s="370" t="s">
        <v>204</v>
      </c>
      <c r="E521" s="281">
        <v>85000</v>
      </c>
      <c r="F521" s="360">
        <f t="shared" ref="F521:F531" si="35">C521*E521</f>
        <v>255000</v>
      </c>
      <c r="G521" s="400"/>
    </row>
    <row r="522" spans="1:7" s="370" customFormat="1" ht="14.25" customHeight="1">
      <c r="B522" s="367" t="s">
        <v>792</v>
      </c>
      <c r="C522" s="371">
        <v>12</v>
      </c>
      <c r="D522" s="370" t="s">
        <v>8</v>
      </c>
      <c r="E522" s="281">
        <v>34000</v>
      </c>
      <c r="F522" s="360">
        <f t="shared" si="35"/>
        <v>408000</v>
      </c>
    </row>
    <row r="523" spans="1:7" s="370" customFormat="1" ht="14.25" customHeight="1">
      <c r="B523" s="367" t="s">
        <v>793</v>
      </c>
      <c r="C523" s="371">
        <v>1</v>
      </c>
      <c r="D523" s="370" t="s">
        <v>204</v>
      </c>
      <c r="E523" s="281">
        <v>225000</v>
      </c>
      <c r="F523" s="360">
        <f t="shared" si="35"/>
        <v>225000</v>
      </c>
    </row>
    <row r="524" spans="1:7" s="370" customFormat="1" ht="14.25" customHeight="1">
      <c r="B524" s="367" t="s">
        <v>794</v>
      </c>
      <c r="C524" s="371">
        <v>4</v>
      </c>
      <c r="D524" s="370" t="s">
        <v>204</v>
      </c>
      <c r="E524" s="281">
        <v>35000</v>
      </c>
      <c r="F524" s="360">
        <f t="shared" si="35"/>
        <v>140000</v>
      </c>
    </row>
    <row r="525" spans="1:7" s="370" customFormat="1" ht="27.6">
      <c r="B525" s="367" t="s">
        <v>795</v>
      </c>
      <c r="C525" s="371">
        <v>2</v>
      </c>
      <c r="D525" s="370" t="s">
        <v>10</v>
      </c>
      <c r="E525" s="281">
        <v>190000</v>
      </c>
      <c r="F525" s="360">
        <f t="shared" si="35"/>
        <v>380000</v>
      </c>
    </row>
    <row r="526" spans="1:7" s="370" customFormat="1" ht="14.25" customHeight="1">
      <c r="B526" s="367" t="s">
        <v>796</v>
      </c>
      <c r="C526" s="371">
        <v>2</v>
      </c>
      <c r="D526" s="370" t="s">
        <v>10</v>
      </c>
      <c r="E526" s="281">
        <v>190000</v>
      </c>
      <c r="F526" s="360">
        <f t="shared" si="35"/>
        <v>380000</v>
      </c>
    </row>
    <row r="527" spans="1:7" s="370" customFormat="1" ht="14.25" customHeight="1">
      <c r="B527" s="367" t="s">
        <v>841</v>
      </c>
      <c r="C527" s="371">
        <v>1</v>
      </c>
      <c r="D527" s="370" t="s">
        <v>10</v>
      </c>
      <c r="E527" s="281">
        <v>310000</v>
      </c>
      <c r="F527" s="360">
        <f t="shared" si="35"/>
        <v>310000</v>
      </c>
    </row>
    <row r="528" spans="1:7" s="370" customFormat="1" ht="14.25" customHeight="1">
      <c r="B528" s="367" t="s">
        <v>842</v>
      </c>
      <c r="C528" s="371">
        <v>1</v>
      </c>
      <c r="D528" s="370" t="s">
        <v>10</v>
      </c>
      <c r="E528" s="281">
        <v>177500</v>
      </c>
      <c r="F528" s="360">
        <f t="shared" si="35"/>
        <v>177500</v>
      </c>
    </row>
    <row r="529" spans="1:7" s="370" customFormat="1" ht="14.25" customHeight="1">
      <c r="B529" s="367" t="s">
        <v>843</v>
      </c>
      <c r="C529" s="371">
        <v>1</v>
      </c>
      <c r="D529" s="370" t="s">
        <v>797</v>
      </c>
      <c r="E529" s="281">
        <v>225000</v>
      </c>
      <c r="F529" s="360">
        <f t="shared" si="35"/>
        <v>225000</v>
      </c>
    </row>
    <row r="530" spans="1:7" s="370" customFormat="1" ht="14.25" customHeight="1">
      <c r="B530" s="367" t="s">
        <v>844</v>
      </c>
      <c r="C530" s="371">
        <v>1</v>
      </c>
      <c r="D530" s="370" t="s">
        <v>797</v>
      </c>
      <c r="E530" s="281">
        <v>190000</v>
      </c>
      <c r="F530" s="360">
        <f t="shared" si="35"/>
        <v>190000</v>
      </c>
    </row>
    <row r="531" spans="1:7" s="370" customFormat="1" ht="14.25" customHeight="1">
      <c r="B531" s="423" t="s">
        <v>862</v>
      </c>
      <c r="C531" s="424">
        <v>3</v>
      </c>
      <c r="D531" s="370" t="s">
        <v>204</v>
      </c>
      <c r="E531" s="425">
        <f>E476+80000</f>
        <v>257500</v>
      </c>
      <c r="F531" s="360">
        <f t="shared" si="35"/>
        <v>772500</v>
      </c>
    </row>
    <row r="532" spans="1:7">
      <c r="A532" s="285"/>
      <c r="B532" s="280"/>
      <c r="C532" s="280"/>
      <c r="D532" s="280"/>
      <c r="E532" s="281"/>
      <c r="F532" s="281"/>
    </row>
    <row r="533" spans="1:7" ht="27.6">
      <c r="A533" s="282" t="s">
        <v>635</v>
      </c>
      <c r="B533" s="282" t="s">
        <v>636</v>
      </c>
      <c r="C533" s="282">
        <v>1</v>
      </c>
      <c r="D533" s="282" t="s">
        <v>6</v>
      </c>
      <c r="E533" s="283">
        <v>0</v>
      </c>
      <c r="F533" s="284">
        <f>SUM(F534:F552)</f>
        <v>11909700</v>
      </c>
    </row>
    <row r="534" spans="1:7">
      <c r="A534" s="285"/>
      <c r="B534" s="280" t="s">
        <v>283</v>
      </c>
      <c r="C534" s="280"/>
      <c r="D534" s="280" t="s">
        <v>6</v>
      </c>
      <c r="E534" s="281"/>
      <c r="F534" s="281">
        <f t="shared" ref="F534:F552" si="36">+C534*E534</f>
        <v>0</v>
      </c>
    </row>
    <row r="535" spans="1:7">
      <c r="A535" s="285"/>
      <c r="B535" s="280" t="s">
        <v>284</v>
      </c>
      <c r="C535" s="361">
        <v>1</v>
      </c>
      <c r="D535" s="280" t="s">
        <v>7</v>
      </c>
      <c r="E535" s="281">
        <v>500000</v>
      </c>
      <c r="F535" s="281">
        <f t="shared" si="36"/>
        <v>500000</v>
      </c>
    </row>
    <row r="536" spans="1:7">
      <c r="A536" s="285"/>
      <c r="B536" s="280" t="s">
        <v>285</v>
      </c>
      <c r="C536" s="361">
        <v>1</v>
      </c>
      <c r="D536" s="280" t="s">
        <v>204</v>
      </c>
      <c r="E536" s="281">
        <v>500000</v>
      </c>
      <c r="F536" s="281">
        <f t="shared" si="36"/>
        <v>500000</v>
      </c>
    </row>
    <row r="537" spans="1:7">
      <c r="A537" s="285"/>
      <c r="B537" s="280" t="s">
        <v>637</v>
      </c>
      <c r="C537" s="361">
        <f>7</f>
        <v>7</v>
      </c>
      <c r="D537" s="280" t="s">
        <v>8</v>
      </c>
      <c r="E537" s="281">
        <f>155400/3*1.2+2840+50000</f>
        <v>115000</v>
      </c>
      <c r="F537" s="281">
        <f t="shared" si="36"/>
        <v>805000</v>
      </c>
    </row>
    <row r="538" spans="1:7">
      <c r="A538" s="285"/>
      <c r="B538" s="280" t="s">
        <v>638</v>
      </c>
      <c r="C538" s="361">
        <f>7</f>
        <v>7</v>
      </c>
      <c r="D538" s="280" t="s">
        <v>8</v>
      </c>
      <c r="E538" s="281">
        <v>300000</v>
      </c>
      <c r="F538" s="281">
        <f t="shared" si="36"/>
        <v>2100000</v>
      </c>
    </row>
    <row r="539" spans="1:7">
      <c r="A539" s="285"/>
      <c r="B539" s="280" t="s">
        <v>639</v>
      </c>
      <c r="C539" s="356">
        <v>0</v>
      </c>
      <c r="D539" s="280" t="s">
        <v>8</v>
      </c>
      <c r="E539" s="281">
        <v>0</v>
      </c>
      <c r="F539" s="281">
        <f t="shared" si="36"/>
        <v>0</v>
      </c>
    </row>
    <row r="540" spans="1:7">
      <c r="A540" s="285"/>
      <c r="B540" s="280" t="s">
        <v>640</v>
      </c>
      <c r="C540" s="356">
        <v>0</v>
      </c>
      <c r="D540" s="280" t="s">
        <v>8</v>
      </c>
      <c r="E540" s="281">
        <v>0</v>
      </c>
      <c r="F540" s="281">
        <f t="shared" si="36"/>
        <v>0</v>
      </c>
    </row>
    <row r="541" spans="1:7" ht="27.6">
      <c r="A541" s="285"/>
      <c r="B541" s="280" t="s">
        <v>641</v>
      </c>
      <c r="C541" s="361">
        <f>2.5*1.1</f>
        <v>2.75</v>
      </c>
      <c r="D541" s="280" t="s">
        <v>5</v>
      </c>
      <c r="E541" s="410">
        <f>850000</f>
        <v>850000</v>
      </c>
      <c r="F541" s="281">
        <f t="shared" si="36"/>
        <v>2337500</v>
      </c>
    </row>
    <row r="542" spans="1:7" ht="27.6">
      <c r="A542" s="285"/>
      <c r="B542" s="280" t="s">
        <v>642</v>
      </c>
      <c r="C542" s="402">
        <f>3.6*1</f>
        <v>3.6</v>
      </c>
      <c r="D542" s="280" t="s">
        <v>5</v>
      </c>
      <c r="E542" s="410">
        <f>E541</f>
        <v>850000</v>
      </c>
      <c r="F542" s="281">
        <f t="shared" si="36"/>
        <v>3060000</v>
      </c>
      <c r="G542" s="358"/>
    </row>
    <row r="543" spans="1:7" ht="27.6">
      <c r="A543" s="285"/>
      <c r="B543" s="280" t="s">
        <v>643</v>
      </c>
      <c r="C543" s="359">
        <v>0</v>
      </c>
      <c r="D543" s="280" t="s">
        <v>5</v>
      </c>
      <c r="E543" s="410">
        <f>E542</f>
        <v>850000</v>
      </c>
      <c r="F543" s="281">
        <f t="shared" si="36"/>
        <v>0</v>
      </c>
    </row>
    <row r="544" spans="1:7">
      <c r="A544" s="285"/>
      <c r="B544" s="280" t="s">
        <v>644</v>
      </c>
      <c r="C544" s="359">
        <v>0</v>
      </c>
      <c r="D544" s="280" t="s">
        <v>5</v>
      </c>
      <c r="E544" s="281">
        <v>0</v>
      </c>
      <c r="F544" s="281">
        <f t="shared" si="36"/>
        <v>0</v>
      </c>
    </row>
    <row r="545" spans="1:7">
      <c r="A545" s="285"/>
      <c r="B545" s="280" t="s">
        <v>645</v>
      </c>
      <c r="C545" s="361">
        <v>1</v>
      </c>
      <c r="D545" s="280" t="s">
        <v>6</v>
      </c>
      <c r="E545" s="281">
        <v>500000</v>
      </c>
      <c r="F545" s="281">
        <f t="shared" si="36"/>
        <v>500000</v>
      </c>
    </row>
    <row r="546" spans="1:7" ht="27.6">
      <c r="A546" s="285"/>
      <c r="B546" s="280" t="s">
        <v>646</v>
      </c>
      <c r="C546" s="361">
        <v>2</v>
      </c>
      <c r="D546" s="280" t="s">
        <v>647</v>
      </c>
      <c r="E546" s="281">
        <f>155000*1.92</f>
        <v>297600</v>
      </c>
      <c r="F546" s="281">
        <f t="shared" si="36"/>
        <v>595200</v>
      </c>
    </row>
    <row r="547" spans="1:7" ht="27.6">
      <c r="A547" s="285"/>
      <c r="B547" s="280" t="s">
        <v>648</v>
      </c>
      <c r="C547" s="361">
        <v>2</v>
      </c>
      <c r="D547" s="280" t="s">
        <v>647</v>
      </c>
      <c r="E547" s="281">
        <f>195000</f>
        <v>195000</v>
      </c>
      <c r="F547" s="281">
        <f t="shared" si="36"/>
        <v>390000</v>
      </c>
    </row>
    <row r="548" spans="1:7">
      <c r="A548" s="285"/>
      <c r="B548" s="280" t="s">
        <v>836</v>
      </c>
      <c r="C548" s="374">
        <f>1.2*1.1</f>
        <v>1.32</v>
      </c>
      <c r="D548" s="280" t="s">
        <v>5</v>
      </c>
      <c r="E548" s="410">
        <f>E543</f>
        <v>850000</v>
      </c>
      <c r="F548" s="281">
        <f t="shared" si="36"/>
        <v>1122000</v>
      </c>
    </row>
    <row r="549" spans="1:7">
      <c r="A549" s="285"/>
      <c r="B549" s="280" t="s">
        <v>649</v>
      </c>
      <c r="C549" s="356">
        <v>0</v>
      </c>
      <c r="D549" s="280" t="s">
        <v>6</v>
      </c>
      <c r="E549" s="360">
        <v>0</v>
      </c>
      <c r="F549" s="281">
        <f t="shared" si="36"/>
        <v>0</v>
      </c>
    </row>
    <row r="550" spans="1:7">
      <c r="B550" s="286" t="s">
        <v>397</v>
      </c>
      <c r="C550" s="280"/>
      <c r="D550" s="280"/>
      <c r="E550" s="281"/>
      <c r="F550" s="281">
        <f t="shared" si="36"/>
        <v>0</v>
      </c>
    </row>
    <row r="551" spans="1:7">
      <c r="B551" s="286" t="s">
        <v>398</v>
      </c>
      <c r="C551" s="280"/>
      <c r="D551" s="280"/>
      <c r="E551" s="281"/>
      <c r="F551" s="281">
        <f t="shared" si="36"/>
        <v>0</v>
      </c>
    </row>
    <row r="552" spans="1:7">
      <c r="B552" s="286" t="s">
        <v>399</v>
      </c>
      <c r="C552" s="280"/>
      <c r="D552" s="280"/>
      <c r="E552" s="281"/>
      <c r="F552" s="281">
        <f t="shared" si="36"/>
        <v>0</v>
      </c>
    </row>
    <row r="553" spans="1:7">
      <c r="E553" s="287" t="s">
        <v>650</v>
      </c>
      <c r="F553" s="287">
        <f>SUM(F2:F552)/2</f>
        <v>913486974.11652792</v>
      </c>
    </row>
    <row r="556" spans="1:7" s="391" customFormat="1" ht="13.8">
      <c r="A556" s="371"/>
      <c r="B556" s="390" t="s">
        <v>804</v>
      </c>
      <c r="C556" s="371"/>
      <c r="D556" s="371"/>
      <c r="E556" s="371"/>
      <c r="F556" s="371"/>
      <c r="G556" s="371"/>
    </row>
    <row r="557" spans="1:7" s="391" customFormat="1">
      <c r="A557" s="392">
        <f>1+A546</f>
        <v>1</v>
      </c>
      <c r="B557" s="393" t="s">
        <v>820</v>
      </c>
      <c r="C557" s="371">
        <f>6.2*5+2*1.5</f>
        <v>34</v>
      </c>
      <c r="D557" s="371" t="s">
        <v>5</v>
      </c>
      <c r="E557" s="360">
        <f>300000+450000+300000+175000</f>
        <v>1225000</v>
      </c>
      <c r="F557" s="360">
        <f>C557*E557</f>
        <v>41650000</v>
      </c>
      <c r="G557" s="369">
        <f>F557</f>
        <v>41650000</v>
      </c>
    </row>
    <row r="558" spans="1:7" s="391" customFormat="1" ht="27.6">
      <c r="A558" s="392"/>
      <c r="B558" s="394" t="s">
        <v>805</v>
      </c>
      <c r="D558" s="371"/>
      <c r="E558" s="360"/>
      <c r="F558" s="360"/>
      <c r="G558" s="371"/>
    </row>
    <row r="559" spans="1:7" s="391" customFormat="1">
      <c r="A559" s="392"/>
      <c r="B559" s="394" t="s">
        <v>806</v>
      </c>
      <c r="D559" s="371"/>
      <c r="E559" s="360"/>
      <c r="F559" s="360"/>
      <c r="G559" s="371"/>
    </row>
    <row r="560" spans="1:7" s="391" customFormat="1">
      <c r="A560" s="392"/>
      <c r="B560" s="394" t="s">
        <v>807</v>
      </c>
      <c r="D560" s="371"/>
      <c r="E560" s="360"/>
      <c r="F560" s="360"/>
      <c r="G560" s="371"/>
    </row>
    <row r="561" spans="1:7" s="391" customFormat="1">
      <c r="A561" s="392"/>
      <c r="B561" s="393" t="s">
        <v>808</v>
      </c>
      <c r="D561" s="371"/>
      <c r="E561" s="360"/>
      <c r="F561" s="360"/>
      <c r="G561" s="371"/>
    </row>
    <row r="562" spans="1:7" s="391" customFormat="1">
      <c r="A562" s="392"/>
      <c r="B562" s="394" t="s">
        <v>809</v>
      </c>
      <c r="D562" s="371"/>
      <c r="E562" s="360"/>
      <c r="F562" s="360"/>
      <c r="G562" s="371"/>
    </row>
    <row r="563" spans="1:7" s="391" customFormat="1">
      <c r="A563" s="392"/>
      <c r="B563" s="393" t="s">
        <v>810</v>
      </c>
      <c r="D563" s="371"/>
      <c r="E563" s="360"/>
      <c r="F563" s="360"/>
      <c r="G563" s="371"/>
    </row>
    <row r="564" spans="1:7" s="391" customFormat="1">
      <c r="A564" s="392">
        <f>A557+1</f>
        <v>2</v>
      </c>
      <c r="B564" s="393" t="s">
        <v>811</v>
      </c>
      <c r="C564" s="371">
        <v>2</v>
      </c>
      <c r="D564" s="371" t="s">
        <v>302</v>
      </c>
      <c r="E564" s="360">
        <f>(450000+40000)*2</f>
        <v>980000</v>
      </c>
      <c r="F564" s="360">
        <f>C564*E564</f>
        <v>1960000</v>
      </c>
    </row>
    <row r="565" spans="1:7" s="391" customFormat="1">
      <c r="A565" s="392">
        <f>A564+1</f>
        <v>3</v>
      </c>
      <c r="B565" s="393" t="s">
        <v>812</v>
      </c>
      <c r="C565" s="371">
        <v>1</v>
      </c>
      <c r="D565" s="371" t="s">
        <v>302</v>
      </c>
      <c r="E565" s="360">
        <f>(131000+25000)*2</f>
        <v>312000</v>
      </c>
      <c r="F565" s="360">
        <f>C565*E565</f>
        <v>312000</v>
      </c>
      <c r="G565" s="371"/>
    </row>
    <row r="566" spans="1:7" s="391" customFormat="1">
      <c r="A566" s="371"/>
      <c r="B566" s="393" t="s">
        <v>813</v>
      </c>
      <c r="C566" s="371"/>
      <c r="D566" s="371"/>
      <c r="E566" s="360"/>
      <c r="F566" s="360"/>
      <c r="G566" s="371"/>
    </row>
    <row r="567" spans="1:7" s="391" customFormat="1">
      <c r="A567" s="371"/>
      <c r="B567" s="393" t="s">
        <v>814</v>
      </c>
      <c r="C567" s="371">
        <f>1.2*6.2*0.5</f>
        <v>3.7199999999999998</v>
      </c>
      <c r="D567" s="371" t="s">
        <v>51</v>
      </c>
      <c r="E567" s="360">
        <f>E18</f>
        <v>75000</v>
      </c>
      <c r="F567" s="360">
        <f>C567*E567</f>
        <v>279000</v>
      </c>
      <c r="G567" s="371"/>
    </row>
    <row r="568" spans="1:7" s="391" customFormat="1">
      <c r="A568" s="371"/>
      <c r="B568" s="393" t="s">
        <v>815</v>
      </c>
      <c r="C568" s="371">
        <f>1.2*6.2*0.5</f>
        <v>3.7199999999999998</v>
      </c>
      <c r="D568" s="371" t="s">
        <v>51</v>
      </c>
      <c r="E568" s="360">
        <f>Analisa!F87</f>
        <v>150000</v>
      </c>
      <c r="F568" s="360">
        <f>C568*E568</f>
        <v>558000</v>
      </c>
      <c r="G568" s="371"/>
    </row>
    <row r="569" spans="1:7" s="391" customFormat="1">
      <c r="A569" s="371"/>
      <c r="B569" s="393" t="s">
        <v>816</v>
      </c>
      <c r="C569" s="371">
        <f>1.2*6.2*0.05</f>
        <v>0.372</v>
      </c>
      <c r="D569" s="371" t="s">
        <v>51</v>
      </c>
      <c r="E569" s="360">
        <f>Analisa!F48</f>
        <v>804190.63636363635</v>
      </c>
      <c r="F569" s="360">
        <f>C569*E569</f>
        <v>299158.91672727274</v>
      </c>
      <c r="G569" s="371"/>
    </row>
    <row r="570" spans="1:7" s="391" customFormat="1">
      <c r="A570" s="371"/>
      <c r="B570" s="393" t="s">
        <v>817</v>
      </c>
      <c r="C570" s="371">
        <f>1.2*6.2*0.1</f>
        <v>0.74399999999999999</v>
      </c>
      <c r="D570" s="371" t="s">
        <v>51</v>
      </c>
      <c r="E570" s="360">
        <f>'AN BETON TYPE MAPLE'!F444</f>
        <v>1378456.7901234569</v>
      </c>
      <c r="F570" s="360">
        <f>C570*E570</f>
        <v>1025571.8518518519</v>
      </c>
      <c r="G570" s="371"/>
    </row>
    <row r="571" spans="1:7" s="391" customFormat="1">
      <c r="A571" s="371"/>
      <c r="B571" s="394" t="s">
        <v>818</v>
      </c>
      <c r="C571" s="371">
        <f>1.2*6.2</f>
        <v>7.4399999999999995</v>
      </c>
      <c r="D571" s="371" t="s">
        <v>5</v>
      </c>
      <c r="E571" s="360">
        <f>E148</f>
        <v>239262.5</v>
      </c>
      <c r="F571" s="360">
        <f>C571*E571</f>
        <v>1780112.9999999998</v>
      </c>
      <c r="G571" s="371"/>
    </row>
    <row r="572" spans="1:7" s="391" customFormat="1">
      <c r="A572" s="371"/>
      <c r="B572" s="395"/>
      <c r="D572" s="371"/>
      <c r="E572" s="360"/>
      <c r="F572" s="360">
        <f>SUM(F564:F571)</f>
        <v>6213843.7685791245</v>
      </c>
      <c r="G572" s="371"/>
    </row>
    <row r="573" spans="1:7" s="391" customFormat="1">
      <c r="A573" s="371"/>
      <c r="B573" s="395"/>
      <c r="D573" s="371"/>
      <c r="E573" s="371"/>
      <c r="F573" s="369">
        <v>6300000</v>
      </c>
      <c r="G573" s="371"/>
    </row>
  </sheetData>
  <pageMargins left="0.25" right="0.25" top="0.75" bottom="0.75" header="0.3" footer="0.3"/>
  <pageSetup paperSize="9" scale="90" orientation="portrait" horizontalDpi="12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3"/>
  <sheetViews>
    <sheetView zoomScaleNormal="100" workbookViewId="0">
      <pane ySplit="1" topLeftCell="A146" activePane="bottomLeft" state="frozen"/>
      <selection pane="bottomLeft" activeCell="B154" sqref="B154"/>
    </sheetView>
  </sheetViews>
  <sheetFormatPr defaultRowHeight="14.4"/>
  <cols>
    <col min="1" max="1" width="11.33203125" bestFit="1" customWidth="1"/>
    <col min="2" max="2" width="39.6640625" customWidth="1"/>
    <col min="3" max="3" width="8.77734375" customWidth="1"/>
    <col min="4" max="4" width="6.44140625" bestFit="1" customWidth="1"/>
    <col min="5" max="6" width="14.21875" style="288" bestFit="1" customWidth="1"/>
    <col min="7" max="7" width="12" customWidth="1"/>
    <col min="8" max="8" width="14.21875" style="414" bestFit="1" customWidth="1"/>
    <col min="9" max="9" width="9.109375" style="411"/>
    <col min="10" max="10" width="11.5546875" style="411" bestFit="1" customWidth="1"/>
  </cols>
  <sheetData>
    <row r="1" spans="1:7">
      <c r="A1" s="280" t="s">
        <v>0</v>
      </c>
      <c r="B1" s="280" t="s">
        <v>1</v>
      </c>
      <c r="C1" s="280" t="s">
        <v>2</v>
      </c>
      <c r="D1" s="280" t="s">
        <v>177</v>
      </c>
      <c r="E1" s="281" t="s">
        <v>3</v>
      </c>
      <c r="F1" s="281" t="s">
        <v>4</v>
      </c>
    </row>
    <row r="2" spans="1:7">
      <c r="A2" s="282" t="s">
        <v>178</v>
      </c>
      <c r="B2" s="282" t="s">
        <v>179</v>
      </c>
      <c r="C2" s="282"/>
      <c r="D2" s="282" t="s">
        <v>6</v>
      </c>
      <c r="E2" s="283"/>
      <c r="F2" s="284">
        <f>SUM(F3:F11)</f>
        <v>4433680</v>
      </c>
      <c r="G2" s="397" t="s">
        <v>824</v>
      </c>
    </row>
    <row r="3" spans="1:7">
      <c r="A3" s="285"/>
      <c r="B3" s="280" t="s">
        <v>180</v>
      </c>
      <c r="C3" s="280"/>
      <c r="D3" s="280" t="s">
        <v>6</v>
      </c>
      <c r="E3" s="281"/>
      <c r="F3" s="281">
        <f>+C3*E3</f>
        <v>0</v>
      </c>
    </row>
    <row r="4" spans="1:7">
      <c r="A4" s="285"/>
      <c r="B4" s="280" t="s">
        <v>181</v>
      </c>
      <c r="C4" s="280">
        <v>1</v>
      </c>
      <c r="D4" s="280" t="s">
        <v>6</v>
      </c>
      <c r="E4" s="281">
        <f>'BQ MAPLE'!E4</f>
        <v>500000</v>
      </c>
      <c r="F4" s="281">
        <f>+C4*E4</f>
        <v>500000</v>
      </c>
    </row>
    <row r="5" spans="1:7">
      <c r="A5" s="285"/>
      <c r="B5" s="280" t="s">
        <v>182</v>
      </c>
      <c r="C5" s="280">
        <v>1</v>
      </c>
      <c r="D5" s="280" t="s">
        <v>6</v>
      </c>
      <c r="E5" s="281">
        <f>'BQ MAPLE'!E5</f>
        <v>1000000</v>
      </c>
      <c r="F5" s="281">
        <f t="shared" ref="F5:F11" si="0">+C5*E5</f>
        <v>1000000</v>
      </c>
    </row>
    <row r="6" spans="1:7">
      <c r="A6" s="285"/>
      <c r="B6" s="280" t="s">
        <v>183</v>
      </c>
      <c r="C6" s="396">
        <v>54</v>
      </c>
      <c r="D6" s="280" t="s">
        <v>8</v>
      </c>
      <c r="E6" s="281">
        <f>'BQ MAPLE'!E6</f>
        <v>21920</v>
      </c>
      <c r="F6" s="281">
        <f t="shared" si="0"/>
        <v>1183680</v>
      </c>
    </row>
    <row r="7" spans="1:7">
      <c r="A7" s="285"/>
      <c r="B7" s="280" t="s">
        <v>184</v>
      </c>
      <c r="C7" s="280">
        <v>1</v>
      </c>
      <c r="D7" s="280" t="s">
        <v>6</v>
      </c>
      <c r="E7" s="281">
        <f>'BQ MAPLE'!E7</f>
        <v>750000</v>
      </c>
      <c r="F7" s="281">
        <f t="shared" si="0"/>
        <v>750000</v>
      </c>
    </row>
    <row r="8" spans="1:7">
      <c r="A8" s="285"/>
      <c r="B8" s="280" t="s">
        <v>185</v>
      </c>
      <c r="C8" s="280">
        <v>1</v>
      </c>
      <c r="D8" s="280" t="s">
        <v>6</v>
      </c>
      <c r="E8" s="281">
        <f>'BQ MAPLE'!E8</f>
        <v>1000000</v>
      </c>
      <c r="F8" s="281">
        <f t="shared" si="0"/>
        <v>1000000</v>
      </c>
    </row>
    <row r="9" spans="1:7">
      <c r="A9" s="285"/>
      <c r="B9" s="286" t="s">
        <v>397</v>
      </c>
      <c r="C9" s="280"/>
      <c r="D9" s="280"/>
      <c r="E9" s="281"/>
      <c r="F9" s="281">
        <f t="shared" si="0"/>
        <v>0</v>
      </c>
    </row>
    <row r="10" spans="1:7">
      <c r="A10" s="285"/>
      <c r="B10" s="286" t="s">
        <v>398</v>
      </c>
      <c r="C10" s="280"/>
      <c r="D10" s="280"/>
      <c r="E10" s="281"/>
      <c r="F10" s="281">
        <f t="shared" si="0"/>
        <v>0</v>
      </c>
    </row>
    <row r="11" spans="1:7">
      <c r="A11" s="285"/>
      <c r="B11" s="286" t="s">
        <v>399</v>
      </c>
      <c r="C11" s="280"/>
      <c r="D11" s="280"/>
      <c r="E11" s="281"/>
      <c r="F11" s="281">
        <f t="shared" si="0"/>
        <v>0</v>
      </c>
    </row>
    <row r="12" spans="1:7">
      <c r="A12" s="285"/>
      <c r="B12" s="280"/>
      <c r="C12" s="280"/>
      <c r="D12" s="280"/>
      <c r="E12" s="281"/>
      <c r="F12" s="281"/>
    </row>
    <row r="13" spans="1:7">
      <c r="A13" s="282" t="s">
        <v>186</v>
      </c>
      <c r="B13" s="282" t="s">
        <v>187</v>
      </c>
      <c r="C13" s="282"/>
      <c r="D13" s="282" t="s">
        <v>6</v>
      </c>
      <c r="E13" s="283"/>
      <c r="F13" s="284">
        <f>SUM(F14:F25)</f>
        <v>9386291</v>
      </c>
    </row>
    <row r="14" spans="1:7">
      <c r="A14" s="285"/>
      <c r="B14" s="280" t="s">
        <v>188</v>
      </c>
      <c r="C14" s="280"/>
      <c r="D14" s="280" t="s">
        <v>6</v>
      </c>
      <c r="E14" s="281"/>
      <c r="F14" s="281">
        <f>+C14*E14</f>
        <v>0</v>
      </c>
    </row>
    <row r="15" spans="1:7" ht="27.6">
      <c r="A15" s="285"/>
      <c r="B15" s="280" t="s">
        <v>189</v>
      </c>
      <c r="C15" s="356">
        <v>0</v>
      </c>
      <c r="D15" s="280" t="s">
        <v>10</v>
      </c>
      <c r="E15" s="281">
        <f>'BQ MAPLE'!E15</f>
        <v>190900</v>
      </c>
      <c r="F15" s="281">
        <f t="shared" ref="F15:F25" si="1">+C15*E15</f>
        <v>0</v>
      </c>
    </row>
    <row r="16" spans="1:7">
      <c r="A16" s="285"/>
      <c r="B16" s="280" t="s">
        <v>313</v>
      </c>
      <c r="C16" s="402">
        <f>(3.85*2.3+7.7*0.97+8*9.8+2*2.15+2*1.6)*0.25</f>
        <v>25.556000000000001</v>
      </c>
      <c r="D16" s="280" t="s">
        <v>9</v>
      </c>
      <c r="E16" s="281">
        <f>'BQ MAPLE'!E16</f>
        <v>150000</v>
      </c>
      <c r="F16" s="281">
        <f t="shared" si="1"/>
        <v>3833400</v>
      </c>
    </row>
    <row r="17" spans="1:6">
      <c r="A17" s="285"/>
      <c r="B17" s="280" t="s">
        <v>400</v>
      </c>
      <c r="C17" s="361">
        <f>6.2*5*0.4</f>
        <v>12.4</v>
      </c>
      <c r="D17" s="280" t="s">
        <v>9</v>
      </c>
      <c r="E17" s="281">
        <f>'BQ MAPLE'!E17</f>
        <v>150000</v>
      </c>
      <c r="F17" s="281">
        <f t="shared" si="1"/>
        <v>1860000</v>
      </c>
    </row>
    <row r="18" spans="1:6">
      <c r="A18" s="285"/>
      <c r="B18" s="280" t="s">
        <v>190</v>
      </c>
      <c r="C18" s="361">
        <f>(162.4*0.2*0.4)+(0.5*0.5*26+1*0.5*5+1.5*0.5)*0.6</f>
        <v>18.842000000000002</v>
      </c>
      <c r="D18" s="280" t="s">
        <v>9</v>
      </c>
      <c r="E18" s="281">
        <f>'BQ MAPLE'!E18</f>
        <v>75000</v>
      </c>
      <c r="F18" s="281">
        <f t="shared" si="1"/>
        <v>1413150.0000000002</v>
      </c>
    </row>
    <row r="19" spans="1:6">
      <c r="A19" s="285"/>
      <c r="B19" s="280" t="s">
        <v>191</v>
      </c>
      <c r="C19" s="361">
        <f>C18*0.6</f>
        <v>11.305200000000001</v>
      </c>
      <c r="D19" s="280" t="s">
        <v>9</v>
      </c>
      <c r="E19" s="281">
        <f>'BQ MAPLE'!E19</f>
        <v>75000</v>
      </c>
      <c r="F19" s="281">
        <f t="shared" si="1"/>
        <v>847890.00000000012</v>
      </c>
    </row>
    <row r="20" spans="1:6">
      <c r="A20" s="285"/>
      <c r="B20" s="280" t="s">
        <v>192</v>
      </c>
      <c r="C20" s="361">
        <f>C18*0.4</f>
        <v>7.5368000000000013</v>
      </c>
      <c r="D20" s="280" t="s">
        <v>9</v>
      </c>
      <c r="E20" s="281">
        <f>'BQ MAPLE'!E20</f>
        <v>60000</v>
      </c>
      <c r="F20" s="281">
        <f t="shared" si="1"/>
        <v>452208.00000000006</v>
      </c>
    </row>
    <row r="21" spans="1:6">
      <c r="A21" s="285"/>
      <c r="B21" s="280" t="s">
        <v>401</v>
      </c>
      <c r="C21" s="361">
        <f>133.22</f>
        <v>133.22</v>
      </c>
      <c r="D21" s="280" t="s">
        <v>5</v>
      </c>
      <c r="E21" s="281">
        <f>'BQ MAPLE'!E21</f>
        <v>3150</v>
      </c>
      <c r="F21" s="281">
        <f t="shared" si="1"/>
        <v>419643</v>
      </c>
    </row>
    <row r="22" spans="1:6">
      <c r="A22" s="285"/>
      <c r="B22" s="280" t="s">
        <v>193</v>
      </c>
      <c r="C22" s="402">
        <v>28</v>
      </c>
      <c r="D22" s="280" t="s">
        <v>10</v>
      </c>
      <c r="E22" s="281">
        <f>'BQ MAPLE'!E22</f>
        <v>20000</v>
      </c>
      <c r="F22" s="281">
        <f t="shared" si="1"/>
        <v>560000</v>
      </c>
    </row>
    <row r="23" spans="1:6">
      <c r="A23" s="285"/>
      <c r="B23" s="286" t="s">
        <v>397</v>
      </c>
      <c r="C23" s="280"/>
      <c r="D23" s="280"/>
      <c r="E23" s="281"/>
      <c r="F23" s="281">
        <f t="shared" si="1"/>
        <v>0</v>
      </c>
    </row>
    <row r="24" spans="1:6">
      <c r="A24" s="285"/>
      <c r="B24" s="286" t="s">
        <v>398</v>
      </c>
      <c r="C24" s="280"/>
      <c r="D24" s="280"/>
      <c r="E24" s="281"/>
      <c r="F24" s="281">
        <f t="shared" si="1"/>
        <v>0</v>
      </c>
    </row>
    <row r="25" spans="1:6">
      <c r="A25" s="285"/>
      <c r="B25" s="286" t="s">
        <v>399</v>
      </c>
      <c r="C25" s="280"/>
      <c r="D25" s="280"/>
      <c r="E25" s="281"/>
      <c r="F25" s="281">
        <f t="shared" si="1"/>
        <v>0</v>
      </c>
    </row>
    <row r="26" spans="1:6">
      <c r="A26" s="285"/>
      <c r="B26" s="280"/>
      <c r="C26" s="280"/>
      <c r="D26" s="280"/>
      <c r="E26" s="281"/>
      <c r="F26" s="281"/>
    </row>
    <row r="27" spans="1:6">
      <c r="A27" s="282" t="s">
        <v>194</v>
      </c>
      <c r="B27" s="282" t="s">
        <v>195</v>
      </c>
      <c r="C27" s="282"/>
      <c r="D27" s="282" t="s">
        <v>6</v>
      </c>
      <c r="E27" s="283"/>
      <c r="F27" s="284">
        <f>SUM(F28:F42)</f>
        <v>42793344.703401536</v>
      </c>
    </row>
    <row r="28" spans="1:6">
      <c r="A28" s="285"/>
      <c r="B28" s="280" t="s">
        <v>196</v>
      </c>
      <c r="C28" s="280"/>
      <c r="D28" s="280" t="s">
        <v>6</v>
      </c>
      <c r="E28" s="281"/>
      <c r="F28" s="281">
        <f t="shared" ref="F28:F42" si="2">+C28*E28</f>
        <v>0</v>
      </c>
    </row>
    <row r="29" spans="1:6">
      <c r="A29" s="285"/>
      <c r="B29" s="280" t="s">
        <v>861</v>
      </c>
      <c r="C29" s="421">
        <f>0.4*0.4*0.4*8</f>
        <v>0.51200000000000012</v>
      </c>
      <c r="D29" s="280" t="s">
        <v>9</v>
      </c>
      <c r="E29" s="281">
        <f>'BQ MAPLE'!E29</f>
        <v>3852484.2317997543</v>
      </c>
      <c r="F29" s="281">
        <f t="shared" si="2"/>
        <v>1972471.9266814748</v>
      </c>
    </row>
    <row r="30" spans="1:6">
      <c r="A30" s="285"/>
      <c r="B30" s="280" t="s">
        <v>856</v>
      </c>
      <c r="C30" s="421">
        <f>0.4*0.4*0.4*8</f>
        <v>0.51200000000000012</v>
      </c>
      <c r="D30" s="280" t="s">
        <v>9</v>
      </c>
      <c r="E30" s="281">
        <f>'BQ MAPLE'!E30</f>
        <v>3852484.2317997543</v>
      </c>
      <c r="F30" s="281">
        <f t="shared" si="2"/>
        <v>1972471.9266814748</v>
      </c>
    </row>
    <row r="31" spans="1:6">
      <c r="A31" s="285"/>
      <c r="B31" s="280" t="s">
        <v>395</v>
      </c>
      <c r="C31" s="361">
        <f>0.6*0.5*0.4*4</f>
        <v>0.48</v>
      </c>
      <c r="D31" s="280" t="s">
        <v>9</v>
      </c>
      <c r="E31" s="281">
        <f>'BQ MAPLE'!E31</f>
        <v>3498750.737496247</v>
      </c>
      <c r="F31" s="281">
        <f t="shared" si="2"/>
        <v>1679400.3539981984</v>
      </c>
    </row>
    <row r="32" spans="1:6">
      <c r="A32" s="285"/>
      <c r="B32" s="280" t="s">
        <v>402</v>
      </c>
      <c r="C32" s="361">
        <f>1*0.5*0.5*5</f>
        <v>1.25</v>
      </c>
      <c r="D32" s="280" t="s">
        <v>9</v>
      </c>
      <c r="E32" s="281">
        <f>'BQ MAPLE'!E32</f>
        <v>2647171.0161464373</v>
      </c>
      <c r="F32" s="281">
        <f t="shared" si="2"/>
        <v>3308963.7701830463</v>
      </c>
    </row>
    <row r="33" spans="1:6">
      <c r="A33" s="285"/>
      <c r="B33" s="280" t="s">
        <v>403</v>
      </c>
      <c r="C33" s="361">
        <f>1.5*0.5*0.5*1</f>
        <v>0.375</v>
      </c>
      <c r="D33" s="280" t="s">
        <v>9</v>
      </c>
      <c r="E33" s="281">
        <f>'BQ MAPLE'!E33</f>
        <v>2578922.5388660226</v>
      </c>
      <c r="F33" s="281">
        <f t="shared" si="2"/>
        <v>967095.95207475848</v>
      </c>
    </row>
    <row r="34" spans="1:6">
      <c r="A34" s="285"/>
      <c r="B34" s="280" t="s">
        <v>404</v>
      </c>
      <c r="C34" s="361">
        <f>0.15*0.3*3.9</f>
        <v>0.17549999999999999</v>
      </c>
      <c r="D34" s="280" t="s">
        <v>9</v>
      </c>
      <c r="E34" s="281">
        <f>'BQ MAPLE'!E34</f>
        <v>3073435.9402093007</v>
      </c>
      <c r="F34" s="281">
        <f t="shared" si="2"/>
        <v>539388.00750673225</v>
      </c>
    </row>
    <row r="35" spans="1:6">
      <c r="A35" s="285"/>
      <c r="B35" s="280" t="s">
        <v>405</v>
      </c>
      <c r="C35" s="361">
        <f>0.15*0.3*2.15</f>
        <v>9.6749999999999989E-2</v>
      </c>
      <c r="D35" s="280" t="s">
        <v>9</v>
      </c>
      <c r="E35" s="281">
        <f>'BQ MAPLE'!E35</f>
        <v>3580111.2173264176</v>
      </c>
      <c r="F35" s="281">
        <f t="shared" si="2"/>
        <v>346375.76027633087</v>
      </c>
    </row>
    <row r="36" spans="1:6">
      <c r="A36" s="285"/>
      <c r="B36" s="280" t="s">
        <v>406</v>
      </c>
      <c r="C36" s="361">
        <f>0.15*0.4*4.6</f>
        <v>0.27599999999999997</v>
      </c>
      <c r="D36" s="280" t="s">
        <v>9</v>
      </c>
      <c r="E36" s="281">
        <f>'BQ MAPLE'!E36</f>
        <v>2858270.2165206117</v>
      </c>
      <c r="F36" s="281">
        <f t="shared" si="2"/>
        <v>788882.5797596887</v>
      </c>
    </row>
    <row r="37" spans="1:6">
      <c r="A37" s="285"/>
      <c r="B37" s="280" t="s">
        <v>407</v>
      </c>
      <c r="C37" s="361">
        <f>0.15*0.4*146.65</f>
        <v>8.7989999999999995</v>
      </c>
      <c r="D37" s="280" t="s">
        <v>9</v>
      </c>
      <c r="E37" s="281">
        <f>'BQ MAPLE'!E37</f>
        <v>3238276.6743584499</v>
      </c>
      <c r="F37" s="281">
        <f t="shared" si="2"/>
        <v>28493596.457679998</v>
      </c>
    </row>
    <row r="38" spans="1:6">
      <c r="A38" s="285"/>
      <c r="B38" s="280" t="s">
        <v>408</v>
      </c>
      <c r="C38" s="361">
        <f>0.15*0.4*5.1</f>
        <v>0.30599999999999999</v>
      </c>
      <c r="D38" s="280" t="s">
        <v>9</v>
      </c>
      <c r="E38" s="281">
        <f>'BQ MAPLE'!E38</f>
        <v>3355063.5290131043</v>
      </c>
      <c r="F38" s="281">
        <f t="shared" si="2"/>
        <v>1026649.4398780098</v>
      </c>
    </row>
    <row r="39" spans="1:6" ht="27.6">
      <c r="A39" s="285"/>
      <c r="B39" s="280" t="s">
        <v>409</v>
      </c>
      <c r="C39" s="361">
        <f>(162.4*0.2+0.5*0.5*26+1*0.5*5+1.5*0.5)*0.05</f>
        <v>2.1115000000000004</v>
      </c>
      <c r="D39" s="280" t="s">
        <v>9</v>
      </c>
      <c r="E39" s="281">
        <f>'BQ MAPLE'!E39</f>
        <v>804190.63636363635</v>
      </c>
      <c r="F39" s="281">
        <f t="shared" si="2"/>
        <v>1698048.5286818184</v>
      </c>
    </row>
    <row r="40" spans="1:6">
      <c r="A40" s="285"/>
      <c r="B40" s="286" t="s">
        <v>397</v>
      </c>
      <c r="C40" s="280"/>
      <c r="D40" s="280"/>
      <c r="E40" s="281"/>
      <c r="F40" s="281">
        <f t="shared" si="2"/>
        <v>0</v>
      </c>
    </row>
    <row r="41" spans="1:6">
      <c r="A41" s="285"/>
      <c r="B41" s="286" t="s">
        <v>398</v>
      </c>
      <c r="C41" s="280"/>
      <c r="D41" s="280"/>
      <c r="E41" s="281"/>
      <c r="F41" s="281">
        <f t="shared" si="2"/>
        <v>0</v>
      </c>
    </row>
    <row r="42" spans="1:6">
      <c r="A42" s="285"/>
      <c r="B42" s="286" t="s">
        <v>399</v>
      </c>
      <c r="C42" s="280"/>
      <c r="D42" s="280"/>
      <c r="E42" s="281"/>
      <c r="F42" s="281">
        <f t="shared" si="2"/>
        <v>0</v>
      </c>
    </row>
    <row r="43" spans="1:6">
      <c r="A43" s="285"/>
      <c r="B43" s="280"/>
      <c r="C43" s="280"/>
      <c r="D43" s="280"/>
      <c r="E43" s="281"/>
      <c r="F43" s="281"/>
    </row>
    <row r="44" spans="1:6">
      <c r="A44" s="282" t="s">
        <v>11</v>
      </c>
      <c r="B44" s="282" t="s">
        <v>175</v>
      </c>
      <c r="C44" s="282">
        <v>1</v>
      </c>
      <c r="D44" s="282" t="s">
        <v>9</v>
      </c>
      <c r="E44" s="283"/>
      <c r="F44" s="284">
        <f>SUM(F45:F88)</f>
        <v>120524549.76470712</v>
      </c>
    </row>
    <row r="45" spans="1:6">
      <c r="A45" s="285"/>
      <c r="B45" s="280" t="s">
        <v>197</v>
      </c>
      <c r="C45" s="280">
        <v>1</v>
      </c>
      <c r="D45" s="280" t="s">
        <v>9</v>
      </c>
      <c r="E45" s="281"/>
      <c r="F45" s="281">
        <f>+C45*E45</f>
        <v>0</v>
      </c>
    </row>
    <row r="46" spans="1:6">
      <c r="A46" s="285"/>
      <c r="B46" s="280" t="s">
        <v>198</v>
      </c>
      <c r="C46" s="280"/>
      <c r="D46" s="285"/>
      <c r="E46" s="281"/>
      <c r="F46" s="281">
        <f t="shared" ref="F46:F87" si="3">+C46*E46</f>
        <v>0</v>
      </c>
    </row>
    <row r="47" spans="1:6" ht="27.6">
      <c r="A47" s="285"/>
      <c r="B47" s="280" t="s">
        <v>410</v>
      </c>
      <c r="C47" s="361">
        <f>(3.85*2.3+7.7*0.97+8*9.8+2*2.15+2*1.6)*0.08</f>
        <v>8.1779200000000003</v>
      </c>
      <c r="D47" s="280" t="s">
        <v>9</v>
      </c>
      <c r="E47" s="281">
        <f>'BQ MAPLE'!E47</f>
        <v>1351330.8531746031</v>
      </c>
      <c r="F47" s="281">
        <f t="shared" si="3"/>
        <v>11051075.61079365</v>
      </c>
    </row>
    <row r="48" spans="1:6" ht="27.6">
      <c r="A48" s="285"/>
      <c r="B48" s="280" t="s">
        <v>411</v>
      </c>
      <c r="C48" s="361">
        <f>6.2*5*0.1</f>
        <v>3.1</v>
      </c>
      <c r="D48" s="280" t="s">
        <v>9</v>
      </c>
      <c r="E48" s="281">
        <f>'BQ MAPLE'!E48</f>
        <v>1378456.7901234569</v>
      </c>
      <c r="F48" s="281">
        <f t="shared" si="3"/>
        <v>4273216.0493827164</v>
      </c>
    </row>
    <row r="49" spans="1:6">
      <c r="A49" s="285"/>
      <c r="B49" s="280" t="s">
        <v>866</v>
      </c>
      <c r="C49" s="361">
        <f>0.12*0.12*4.25*22</f>
        <v>1.3464</v>
      </c>
      <c r="D49" s="280" t="s">
        <v>9</v>
      </c>
      <c r="E49" s="281">
        <f>'BQ MAPLE'!E49</f>
        <v>5921152.0207294449</v>
      </c>
      <c r="F49" s="281">
        <f t="shared" si="3"/>
        <v>7972239.0807101252</v>
      </c>
    </row>
    <row r="50" spans="1:6">
      <c r="A50" s="285"/>
      <c r="B50" s="280" t="s">
        <v>412</v>
      </c>
      <c r="C50" s="361">
        <f>0.13*0.2*4.25*2</f>
        <v>0.22100000000000003</v>
      </c>
      <c r="D50" s="280" t="s">
        <v>9</v>
      </c>
      <c r="E50" s="281">
        <f>'BQ MAPLE'!E50</f>
        <v>6620256.3551628552</v>
      </c>
      <c r="F50" s="281">
        <f t="shared" si="3"/>
        <v>1463076.6544909913</v>
      </c>
    </row>
    <row r="51" spans="1:6">
      <c r="A51" s="285"/>
      <c r="B51" s="280" t="s">
        <v>413</v>
      </c>
      <c r="C51" s="361">
        <f>0.13*0.4*4.25*6</f>
        <v>1.3260000000000001</v>
      </c>
      <c r="D51" s="280" t="s">
        <v>9</v>
      </c>
      <c r="E51" s="281">
        <f>'BQ MAPLE'!E51</f>
        <v>5533660.8068890572</v>
      </c>
      <c r="F51" s="281">
        <f t="shared" si="3"/>
        <v>7337634.2299348898</v>
      </c>
    </row>
    <row r="52" spans="1:6">
      <c r="A52" s="285"/>
      <c r="B52" s="280" t="s">
        <v>414</v>
      </c>
      <c r="C52" s="361">
        <f>0.13*0.5*4.25*5</f>
        <v>1.3812500000000001</v>
      </c>
      <c r="D52" s="280" t="s">
        <v>9</v>
      </c>
      <c r="E52" s="281">
        <f>'BQ MAPLE'!E52</f>
        <v>5071334.3098469097</v>
      </c>
      <c r="F52" s="281">
        <f t="shared" si="3"/>
        <v>7004780.5154760443</v>
      </c>
    </row>
    <row r="53" spans="1:6">
      <c r="A53" s="285"/>
      <c r="B53" s="280" t="s">
        <v>415</v>
      </c>
      <c r="C53" s="361">
        <f>0.13*0.6*4.25*2</f>
        <v>0.66300000000000003</v>
      </c>
      <c r="D53" s="280" t="s">
        <v>9</v>
      </c>
      <c r="E53" s="281">
        <f>'BQ MAPLE'!E53</f>
        <v>5138794.6391461398</v>
      </c>
      <c r="F53" s="281">
        <f t="shared" si="3"/>
        <v>3407020.8457538909</v>
      </c>
    </row>
    <row r="54" spans="1:6">
      <c r="A54" s="285"/>
      <c r="B54" s="280" t="s">
        <v>416</v>
      </c>
      <c r="C54" s="356">
        <v>0</v>
      </c>
      <c r="D54" s="280" t="s">
        <v>9</v>
      </c>
      <c r="E54" s="281">
        <f>'BQ MAPLE'!E54</f>
        <v>4864970.8795078788</v>
      </c>
      <c r="F54" s="281">
        <f t="shared" si="3"/>
        <v>0</v>
      </c>
    </row>
    <row r="55" spans="1:6">
      <c r="A55" s="285"/>
      <c r="B55" s="280" t="s">
        <v>417</v>
      </c>
      <c r="C55" s="356">
        <v>0</v>
      </c>
      <c r="D55" s="280" t="s">
        <v>9</v>
      </c>
      <c r="E55" s="281">
        <f>'BQ MAPLE'!E55</f>
        <v>5002613.4021215271</v>
      </c>
      <c r="F55" s="281">
        <f t="shared" si="3"/>
        <v>0</v>
      </c>
    </row>
    <row r="56" spans="1:6">
      <c r="A56" s="285"/>
      <c r="B56" s="280" t="s">
        <v>418</v>
      </c>
      <c r="C56" s="361">
        <f>0.13*0.9*4.25*1</f>
        <v>0.49725000000000003</v>
      </c>
      <c r="D56" s="280" t="s">
        <v>9</v>
      </c>
      <c r="E56" s="281">
        <f>'BQ MAPLE'!E56</f>
        <v>5129894.2004137011</v>
      </c>
      <c r="F56" s="281">
        <f t="shared" si="3"/>
        <v>2550839.8911557132</v>
      </c>
    </row>
    <row r="57" spans="1:6">
      <c r="A57" s="285"/>
      <c r="B57" s="280" t="s">
        <v>419</v>
      </c>
      <c r="C57" s="361">
        <f>0.15*0.9*4.25*1</f>
        <v>0.57374999999999998</v>
      </c>
      <c r="D57" s="280" t="s">
        <v>9</v>
      </c>
      <c r="E57" s="281">
        <f>'BQ MAPLE'!E57</f>
        <v>4999268.1412650412</v>
      </c>
      <c r="F57" s="281">
        <f t="shared" si="3"/>
        <v>2868330.0960508175</v>
      </c>
    </row>
    <row r="58" spans="1:6">
      <c r="A58" s="285"/>
      <c r="B58" s="280" t="s">
        <v>420</v>
      </c>
      <c r="C58" s="361">
        <f>0.13*0.53*4.25*1</f>
        <v>0.292825</v>
      </c>
      <c r="D58" s="280" t="s">
        <v>9</v>
      </c>
      <c r="E58" s="281">
        <f>'BQ MAPLE'!E58</f>
        <v>6219604.4888366628</v>
      </c>
      <c r="F58" s="281">
        <f t="shared" si="3"/>
        <v>1821255.6844435958</v>
      </c>
    </row>
    <row r="59" spans="1:6">
      <c r="A59" s="285"/>
      <c r="B59" s="280" t="s">
        <v>421</v>
      </c>
      <c r="C59" s="361">
        <f>0.13*0.93*4.25*1</f>
        <v>0.51382499999999998</v>
      </c>
      <c r="D59" s="280" t="s">
        <v>9</v>
      </c>
      <c r="E59" s="281">
        <f>'BQ MAPLE'!E59</f>
        <v>5712394.3039721549</v>
      </c>
      <c r="F59" s="281">
        <f t="shared" si="3"/>
        <v>2935171.0032384922</v>
      </c>
    </row>
    <row r="60" spans="1:6">
      <c r="A60" s="285"/>
      <c r="B60" s="285"/>
      <c r="C60" s="361"/>
      <c r="D60" s="285"/>
      <c r="E60" s="281"/>
      <c r="F60" s="281">
        <f t="shared" si="3"/>
        <v>0</v>
      </c>
    </row>
    <row r="61" spans="1:6">
      <c r="A61" s="285"/>
      <c r="B61" s="280" t="s">
        <v>199</v>
      </c>
      <c r="C61" s="361"/>
      <c r="D61" s="285"/>
      <c r="E61" s="281"/>
      <c r="F61" s="281">
        <f t="shared" si="3"/>
        <v>0</v>
      </c>
    </row>
    <row r="62" spans="1:6">
      <c r="A62" s="285"/>
      <c r="B62" s="280" t="s">
        <v>865</v>
      </c>
      <c r="C62" s="361">
        <f>0.12*0.12*3.8*34</f>
        <v>1.8604799999999999</v>
      </c>
      <c r="D62" s="280" t="s">
        <v>9</v>
      </c>
      <c r="E62" s="281">
        <f>'BQ MAPLE'!E62</f>
        <v>5921152.0207294449</v>
      </c>
      <c r="F62" s="281">
        <f t="shared" si="3"/>
        <v>11016184.911526717</v>
      </c>
    </row>
    <row r="63" spans="1:6">
      <c r="A63" s="285"/>
      <c r="B63" s="280" t="s">
        <v>422</v>
      </c>
      <c r="C63" s="361">
        <f>0.13*0.2*3.8</f>
        <v>9.8799999999999999E-2</v>
      </c>
      <c r="D63" s="280" t="s">
        <v>9</v>
      </c>
      <c r="E63" s="281">
        <f>'BQ MAPLE'!E63</f>
        <v>6620256.3551628552</v>
      </c>
      <c r="F63" s="281">
        <f t="shared" si="3"/>
        <v>654081.32789009006</v>
      </c>
    </row>
    <row r="64" spans="1:6">
      <c r="A64" s="285"/>
      <c r="B64" s="280" t="s">
        <v>423</v>
      </c>
      <c r="C64" s="361">
        <f>0.13*0.3*3.8*18</f>
        <v>2.6676000000000002</v>
      </c>
      <c r="D64" s="280" t="s">
        <v>9</v>
      </c>
      <c r="E64" s="281">
        <f>'BQ MAPLE'!E64</f>
        <v>5552848.9806379806</v>
      </c>
      <c r="F64" s="281">
        <f t="shared" si="3"/>
        <v>14812779.940749878</v>
      </c>
    </row>
    <row r="65" spans="1:6">
      <c r="A65" s="285"/>
      <c r="B65" s="280" t="s">
        <v>424</v>
      </c>
      <c r="C65" s="356">
        <v>0</v>
      </c>
      <c r="D65" s="280" t="s">
        <v>9</v>
      </c>
      <c r="E65" s="281">
        <f>'BQ MAPLE'!E65</f>
        <v>5533660.8068890572</v>
      </c>
      <c r="F65" s="281">
        <f t="shared" si="3"/>
        <v>0</v>
      </c>
    </row>
    <row r="66" spans="1:6">
      <c r="A66" s="285"/>
      <c r="B66" s="280" t="s">
        <v>425</v>
      </c>
      <c r="C66" s="361">
        <f>0.13*0.3*18.8</f>
        <v>0.73320000000000007</v>
      </c>
      <c r="D66" s="280" t="s">
        <v>9</v>
      </c>
      <c r="E66" s="281">
        <f>'BQ MAPLE'!E66</f>
        <v>3569825.4991925494</v>
      </c>
      <c r="F66" s="281">
        <f t="shared" si="3"/>
        <v>2617396.0560079776</v>
      </c>
    </row>
    <row r="67" spans="1:6">
      <c r="A67" s="285"/>
      <c r="B67" s="280" t="s">
        <v>426</v>
      </c>
      <c r="C67" s="361">
        <f>0.13*0.3*18</f>
        <v>0.70199999999999996</v>
      </c>
      <c r="D67" s="280" t="s">
        <v>9</v>
      </c>
      <c r="E67" s="281">
        <f>'BQ MAPLE'!E67</f>
        <v>4154450.8189430698</v>
      </c>
      <c r="F67" s="281">
        <f t="shared" si="3"/>
        <v>2916424.4748980347</v>
      </c>
    </row>
    <row r="68" spans="1:6">
      <c r="A68" s="285"/>
      <c r="B68" s="280" t="s">
        <v>427</v>
      </c>
      <c r="C68" s="361">
        <f>0.13*0.4*69.15</f>
        <v>3.5958000000000006</v>
      </c>
      <c r="D68" s="280" t="s">
        <v>9</v>
      </c>
      <c r="E68" s="281">
        <f>'BQ MAPLE'!E68</f>
        <v>3844926.4927038052</v>
      </c>
      <c r="F68" s="281">
        <f t="shared" si="3"/>
        <v>13825586.682464344</v>
      </c>
    </row>
    <row r="69" spans="1:6">
      <c r="A69" s="285"/>
      <c r="B69" s="280" t="s">
        <v>428</v>
      </c>
      <c r="C69" s="361">
        <f>0.13*0.4*7.2</f>
        <v>0.37440000000000007</v>
      </c>
      <c r="D69" s="280" t="s">
        <v>9</v>
      </c>
      <c r="E69" s="281">
        <f>'BQ MAPLE'!E69</f>
        <v>4771420.6536099035</v>
      </c>
      <c r="F69" s="281">
        <f t="shared" si="3"/>
        <v>1786419.8927115481</v>
      </c>
    </row>
    <row r="70" spans="1:6">
      <c r="A70" s="285"/>
      <c r="B70" s="280" t="s">
        <v>429</v>
      </c>
      <c r="C70" s="361">
        <f>0.13*0.4*4.7</f>
        <v>0.24440000000000003</v>
      </c>
      <c r="D70" s="280" t="s">
        <v>9</v>
      </c>
      <c r="E70" s="281">
        <f>'BQ MAPLE'!E70</f>
        <v>3979680.5557668684</v>
      </c>
      <c r="F70" s="281">
        <f t="shared" si="3"/>
        <v>972633.92782942276</v>
      </c>
    </row>
    <row r="71" spans="1:6">
      <c r="A71" s="285"/>
      <c r="B71" s="280" t="s">
        <v>430</v>
      </c>
      <c r="C71" s="361">
        <f>0.13*0.4*3.7</f>
        <v>0.19240000000000002</v>
      </c>
      <c r="D71" s="280" t="s">
        <v>9</v>
      </c>
      <c r="E71" s="281">
        <f>'BQ MAPLE'!E71</f>
        <v>4022733.6567284069</v>
      </c>
      <c r="F71" s="281">
        <f t="shared" si="3"/>
        <v>773973.95555454551</v>
      </c>
    </row>
    <row r="72" spans="1:6">
      <c r="A72" s="285"/>
      <c r="B72" s="280" t="s">
        <v>431</v>
      </c>
      <c r="C72" s="356">
        <v>0</v>
      </c>
      <c r="D72" s="280" t="s">
        <v>9</v>
      </c>
      <c r="E72" s="281">
        <f>'BQ MAPLE'!E72</f>
        <v>0</v>
      </c>
      <c r="F72" s="281">
        <f t="shared" si="3"/>
        <v>0</v>
      </c>
    </row>
    <row r="73" spans="1:6">
      <c r="A73" s="285"/>
      <c r="B73" s="280" t="s">
        <v>432</v>
      </c>
      <c r="C73" s="361">
        <f>0.13*0.4*3.7</f>
        <v>0.19240000000000002</v>
      </c>
      <c r="D73" s="280" t="s">
        <v>9</v>
      </c>
      <c r="E73" s="281">
        <f>'BQ MAPLE'!E73</f>
        <v>4426995.8459175956</v>
      </c>
      <c r="F73" s="281">
        <f t="shared" si="3"/>
        <v>851754.00075454544</v>
      </c>
    </row>
    <row r="74" spans="1:6">
      <c r="A74" s="285"/>
      <c r="B74" s="280" t="s">
        <v>433</v>
      </c>
      <c r="C74" s="361">
        <f>0.13*0.5*8.4</f>
        <v>0.54600000000000004</v>
      </c>
      <c r="D74" s="280" t="s">
        <v>9</v>
      </c>
      <c r="E74" s="281">
        <f>'BQ MAPLE'!E74</f>
        <v>3808462.6469602468</v>
      </c>
      <c r="F74" s="281">
        <f t="shared" si="3"/>
        <v>2079420.6052402949</v>
      </c>
    </row>
    <row r="75" spans="1:6">
      <c r="A75" s="285"/>
      <c r="B75" s="280" t="s">
        <v>434</v>
      </c>
      <c r="C75" s="361">
        <f>0.13*0.5*7.9</f>
        <v>0.51350000000000007</v>
      </c>
      <c r="D75" s="280" t="s">
        <v>9</v>
      </c>
      <c r="E75" s="281">
        <f>'BQ MAPLE'!E75</f>
        <v>4223719.0136962142</v>
      </c>
      <c r="F75" s="281">
        <f t="shared" si="3"/>
        <v>2168879.7135330061</v>
      </c>
    </row>
    <row r="76" spans="1:6">
      <c r="A76" s="285"/>
      <c r="B76" s="280" t="s">
        <v>435</v>
      </c>
      <c r="C76" s="361">
        <f>0.13*0.5*5.8</f>
        <v>0.377</v>
      </c>
      <c r="D76" s="280" t="s">
        <v>9</v>
      </c>
      <c r="E76" s="281">
        <f>'BQ MAPLE'!E76</f>
        <v>4453335.5521577522</v>
      </c>
      <c r="F76" s="281">
        <f t="shared" si="3"/>
        <v>1678907.5031634725</v>
      </c>
    </row>
    <row r="77" spans="1:6">
      <c r="A77" s="285"/>
      <c r="B77" s="280" t="s">
        <v>436</v>
      </c>
      <c r="C77" s="361">
        <f>0.2*0.5*2.5</f>
        <v>0.25</v>
      </c>
      <c r="D77" s="280" t="s">
        <v>9</v>
      </c>
      <c r="E77" s="281">
        <f>'BQ MAPLE'!E77</f>
        <v>3763392.0450255945</v>
      </c>
      <c r="F77" s="281">
        <f t="shared" si="3"/>
        <v>940848.01125639863</v>
      </c>
    </row>
    <row r="78" spans="1:6">
      <c r="A78" s="285"/>
      <c r="B78" s="280" t="s">
        <v>437</v>
      </c>
      <c r="C78" s="361">
        <f>0.2*0.5*3.5</f>
        <v>0.35000000000000003</v>
      </c>
      <c r="D78" s="280" t="s">
        <v>9</v>
      </c>
      <c r="E78" s="281">
        <f>'BQ MAPLE'!E78</f>
        <v>3549044.2072328012</v>
      </c>
      <c r="F78" s="281">
        <f t="shared" si="3"/>
        <v>1242165.4725314805</v>
      </c>
    </row>
    <row r="79" spans="1:6">
      <c r="A79" s="285"/>
      <c r="B79" s="280" t="s">
        <v>438</v>
      </c>
      <c r="C79" s="361">
        <f>0.13*0.5*2.6</f>
        <v>0.16900000000000001</v>
      </c>
      <c r="D79" s="280" t="s">
        <v>9</v>
      </c>
      <c r="E79" s="281">
        <f>'BQ MAPLE'!E79</f>
        <v>4161839.0709380712</v>
      </c>
      <c r="F79" s="281">
        <f t="shared" si="3"/>
        <v>703350.80298853409</v>
      </c>
    </row>
    <row r="80" spans="1:6">
      <c r="A80" s="285"/>
      <c r="B80" s="280" t="s">
        <v>439</v>
      </c>
      <c r="C80" s="361">
        <f>0.13*0.5*2.6</f>
        <v>0.16900000000000001</v>
      </c>
      <c r="D80" s="280" t="s">
        <v>9</v>
      </c>
      <c r="E80" s="281">
        <f>'BQ MAPLE'!E80</f>
        <v>4377445.5718389722</v>
      </c>
      <c r="F80" s="281">
        <f t="shared" si="3"/>
        <v>739788.30164078635</v>
      </c>
    </row>
    <row r="81" spans="1:6">
      <c r="A81" s="285"/>
      <c r="B81" s="286" t="s">
        <v>397</v>
      </c>
      <c r="C81" s="361"/>
      <c r="D81" s="280"/>
      <c r="E81" s="281"/>
      <c r="F81" s="281">
        <f t="shared" si="3"/>
        <v>0</v>
      </c>
    </row>
    <row r="82" spans="1:6">
      <c r="A82" s="285"/>
      <c r="B82" s="286" t="s">
        <v>769</v>
      </c>
      <c r="C82" s="361">
        <f>(0.35+0.12)*0.1/2*3.8*4</f>
        <v>0.35719999999999996</v>
      </c>
      <c r="D82" s="280" t="s">
        <v>9</v>
      </c>
      <c r="E82" s="281">
        <f>'BQ MAPLE'!E83</f>
        <v>6402278.9530439535</v>
      </c>
      <c r="F82" s="281">
        <f t="shared" si="3"/>
        <v>2286894.0420272998</v>
      </c>
    </row>
    <row r="83" spans="1:6">
      <c r="A83" s="285"/>
      <c r="B83" s="286" t="s">
        <v>770</v>
      </c>
      <c r="C83" s="361">
        <f>0.13*0.3*3.1</f>
        <v>0.12090000000000001</v>
      </c>
      <c r="D83" s="280" t="s">
        <v>9</v>
      </c>
      <c r="E83" s="281">
        <f>'BQ MAPLE'!E84</f>
        <v>3716678.6955794957</v>
      </c>
      <c r="F83" s="281">
        <f t="shared" si="3"/>
        <v>449346.45429556107</v>
      </c>
    </row>
    <row r="84" spans="1:6">
      <c r="A84" s="285"/>
      <c r="B84" s="286" t="s">
        <v>771</v>
      </c>
      <c r="C84" s="361">
        <f>0.13*0.3*2</f>
        <v>7.8E-2</v>
      </c>
      <c r="D84" s="280" t="s">
        <v>9</v>
      </c>
      <c r="E84" s="281">
        <f>'BQ MAPLE'!E85</f>
        <v>4556279.7612507623</v>
      </c>
      <c r="F84" s="281">
        <f t="shared" si="3"/>
        <v>355389.82137755945</v>
      </c>
    </row>
    <row r="85" spans="1:6">
      <c r="A85" s="285"/>
      <c r="B85" s="286" t="s">
        <v>772</v>
      </c>
      <c r="C85" s="361">
        <f>0.13*0.15*2.5</f>
        <v>4.8750000000000002E-2</v>
      </c>
      <c r="D85" s="280" t="s">
        <v>9</v>
      </c>
      <c r="E85" s="281">
        <f>'BQ MAPLE'!E86</f>
        <v>4325349.279270879</v>
      </c>
      <c r="F85" s="281">
        <f t="shared" si="3"/>
        <v>210860.77736445537</v>
      </c>
    </row>
    <row r="86" spans="1:6">
      <c r="A86" s="285"/>
      <c r="B86" s="286" t="s">
        <v>773</v>
      </c>
      <c r="C86" s="361">
        <f>0.13*0.2*6.6</f>
        <v>0.1716</v>
      </c>
      <c r="D86" s="280" t="s">
        <v>9</v>
      </c>
      <c r="E86" s="281">
        <f>'BQ MAPLE'!E87</f>
        <v>3694481.5092783347</v>
      </c>
      <c r="F86" s="281">
        <f t="shared" si="3"/>
        <v>633973.02699216222</v>
      </c>
    </row>
    <row r="87" spans="1:6">
      <c r="A87" s="285"/>
      <c r="B87" s="286" t="s">
        <v>774</v>
      </c>
      <c r="C87" s="361">
        <f>0.13*0.2*5.6</f>
        <v>0.14560000000000001</v>
      </c>
      <c r="D87" s="280" t="s">
        <v>9</v>
      </c>
      <c r="E87" s="281">
        <f>'BQ MAPLE'!E88</f>
        <v>4667093.0465964219</v>
      </c>
      <c r="F87" s="281">
        <f t="shared" si="3"/>
        <v>679528.747584439</v>
      </c>
    </row>
    <row r="88" spans="1:6">
      <c r="A88" s="285"/>
      <c r="B88" s="286" t="s">
        <v>731</v>
      </c>
      <c r="C88" s="361">
        <f>0.13*0.3*5.3*3</f>
        <v>0.62009999999999998</v>
      </c>
      <c r="D88" s="280" t="s">
        <v>9</v>
      </c>
      <c r="E88" s="362">
        <f>'BQ MAPLE'!E82</f>
        <v>5552848.9806379806</v>
      </c>
      <c r="F88" s="281">
        <f>+C88*E88</f>
        <v>3443321.6528936117</v>
      </c>
    </row>
    <row r="89" spans="1:6">
      <c r="A89" s="285"/>
      <c r="B89" s="280"/>
      <c r="C89" s="361"/>
      <c r="D89" s="280"/>
      <c r="E89" s="281"/>
      <c r="F89" s="281"/>
    </row>
    <row r="90" spans="1:6" ht="27.6">
      <c r="A90" s="282" t="s">
        <v>176</v>
      </c>
      <c r="B90" s="282" t="s">
        <v>12</v>
      </c>
      <c r="C90" s="375"/>
      <c r="D90" s="282" t="s">
        <v>9</v>
      </c>
      <c r="E90" s="283"/>
      <c r="F90" s="284">
        <f>SUM(F91:F117)</f>
        <v>30793040.88651751</v>
      </c>
    </row>
    <row r="91" spans="1:6">
      <c r="A91" s="285"/>
      <c r="B91" s="280" t="s">
        <v>440</v>
      </c>
      <c r="C91" s="361"/>
      <c r="D91" s="280" t="s">
        <v>9</v>
      </c>
      <c r="E91" s="281"/>
      <c r="F91" s="281">
        <f>+C91*E91</f>
        <v>0</v>
      </c>
    </row>
    <row r="92" spans="1:6">
      <c r="A92" s="285"/>
      <c r="B92" s="280" t="s">
        <v>867</v>
      </c>
      <c r="C92" s="356">
        <v>0</v>
      </c>
      <c r="D92" s="280" t="s">
        <v>9</v>
      </c>
      <c r="E92" s="281">
        <f>'BQ MAPLE'!E92</f>
        <v>5921152.0207294449</v>
      </c>
      <c r="F92" s="281">
        <f t="shared" ref="F92:F117" si="4">+C92*E92</f>
        <v>0</v>
      </c>
    </row>
    <row r="93" spans="1:6">
      <c r="A93" s="285"/>
      <c r="B93" s="280" t="s">
        <v>422</v>
      </c>
      <c r="C93" s="361">
        <f>0.13*0.2*1.5*6</f>
        <v>0.23400000000000004</v>
      </c>
      <c r="D93" s="280" t="s">
        <v>9</v>
      </c>
      <c r="E93" s="281">
        <f>'BQ MAPLE'!E93</f>
        <v>6620256.3551628552</v>
      </c>
      <c r="F93" s="281">
        <f t="shared" si="4"/>
        <v>1549139.9871081084</v>
      </c>
    </row>
    <row r="94" spans="1:6">
      <c r="A94" s="285"/>
      <c r="B94" s="280" t="s">
        <v>423</v>
      </c>
      <c r="C94" s="356">
        <v>0</v>
      </c>
      <c r="D94" s="280" t="s">
        <v>9</v>
      </c>
      <c r="E94" s="281">
        <f>'BQ MAPLE'!E94</f>
        <v>5552848.9806379806</v>
      </c>
      <c r="F94" s="281">
        <f t="shared" si="4"/>
        <v>0</v>
      </c>
    </row>
    <row r="95" spans="1:6">
      <c r="A95" s="285"/>
      <c r="B95" s="280" t="s">
        <v>441</v>
      </c>
      <c r="C95" s="361">
        <f>0.13*0.3*25.45</f>
        <v>0.99254999999999993</v>
      </c>
      <c r="D95" s="280" t="s">
        <v>9</v>
      </c>
      <c r="E95" s="281">
        <f>'BQ MAPLE'!E95</f>
        <v>3569825.4991925494</v>
      </c>
      <c r="F95" s="281">
        <f t="shared" si="4"/>
        <v>3543230.2992235646</v>
      </c>
    </row>
    <row r="96" spans="1:6">
      <c r="A96" s="285"/>
      <c r="B96" s="280" t="s">
        <v>442</v>
      </c>
      <c r="C96" s="361">
        <f>0.13*0.3*26.6</f>
        <v>1.0374000000000001</v>
      </c>
      <c r="D96" s="280" t="s">
        <v>9</v>
      </c>
      <c r="E96" s="281">
        <f>'BQ MAPLE'!E96</f>
        <v>4154450.8189430698</v>
      </c>
      <c r="F96" s="281">
        <f t="shared" si="4"/>
        <v>4309827.2795715407</v>
      </c>
    </row>
    <row r="97" spans="1:6">
      <c r="A97" s="285"/>
      <c r="B97" s="280" t="s">
        <v>443</v>
      </c>
      <c r="C97" s="361">
        <f>0.13*0.4*4.2</f>
        <v>0.21840000000000004</v>
      </c>
      <c r="D97" s="280" t="s">
        <v>9</v>
      </c>
      <c r="E97" s="281">
        <f>'BQ MAPLE'!E97</f>
        <v>3406457.5028909156</v>
      </c>
      <c r="F97" s="281">
        <f t="shared" si="4"/>
        <v>743970.31863137614</v>
      </c>
    </row>
    <row r="98" spans="1:6">
      <c r="A98" s="285"/>
      <c r="B98" s="280" t="s">
        <v>427</v>
      </c>
      <c r="C98" s="361">
        <f>0.13*0.4*19.6</f>
        <v>1.0192000000000001</v>
      </c>
      <c r="D98" s="280" t="s">
        <v>9</v>
      </c>
      <c r="E98" s="281">
        <f>'BQ MAPLE'!E98</f>
        <v>3844926.4927038052</v>
      </c>
      <c r="F98" s="281">
        <f t="shared" si="4"/>
        <v>3918749.0813637185</v>
      </c>
    </row>
    <row r="99" spans="1:6">
      <c r="A99" s="285"/>
      <c r="B99" s="280" t="s">
        <v>444</v>
      </c>
      <c r="C99" s="361">
        <f>0.13*0.4*9</f>
        <v>0.46800000000000003</v>
      </c>
      <c r="D99" s="280" t="s">
        <v>9</v>
      </c>
      <c r="E99" s="281">
        <f>'BQ MAPLE'!E99</f>
        <v>4426995.8459175956</v>
      </c>
      <c r="F99" s="281">
        <f t="shared" si="4"/>
        <v>2071834.0558894349</v>
      </c>
    </row>
    <row r="100" spans="1:6">
      <c r="A100" s="285"/>
      <c r="B100" s="280" t="s">
        <v>445</v>
      </c>
      <c r="C100" s="361">
        <f>0.13*0.4*7.7</f>
        <v>0.40040000000000003</v>
      </c>
      <c r="D100" s="280" t="s">
        <v>9</v>
      </c>
      <c r="E100" s="281">
        <f>'BQ MAPLE'!E100</f>
        <v>4771420.6536099035</v>
      </c>
      <c r="F100" s="281">
        <f t="shared" si="4"/>
        <v>1910476.8297054055</v>
      </c>
    </row>
    <row r="101" spans="1:6">
      <c r="A101" s="285"/>
      <c r="B101" s="280" t="s">
        <v>446</v>
      </c>
      <c r="C101" s="361">
        <f>0.13*0.4*7</f>
        <v>0.36400000000000005</v>
      </c>
      <c r="D101" s="280" t="s">
        <v>9</v>
      </c>
      <c r="E101" s="281">
        <f>'BQ MAPLE'!E101</f>
        <v>3979680.5557668684</v>
      </c>
      <c r="F101" s="281">
        <f t="shared" si="4"/>
        <v>1448603.7222991402</v>
      </c>
    </row>
    <row r="102" spans="1:6">
      <c r="A102" s="285"/>
      <c r="B102" s="280" t="s">
        <v>447</v>
      </c>
      <c r="C102" s="356">
        <v>0</v>
      </c>
      <c r="D102" s="280" t="s">
        <v>9</v>
      </c>
      <c r="E102" s="281">
        <f>'BQ MAPLE'!E102</f>
        <v>0</v>
      </c>
      <c r="F102" s="281">
        <f t="shared" si="4"/>
        <v>0</v>
      </c>
    </row>
    <row r="103" spans="1:6">
      <c r="A103" s="285"/>
      <c r="B103" s="280" t="s">
        <v>448</v>
      </c>
      <c r="C103" s="356">
        <v>0</v>
      </c>
      <c r="D103" s="280" t="s">
        <v>9</v>
      </c>
      <c r="E103" s="281">
        <f>'BQ MAPLE'!E103</f>
        <v>4223719.0136962142</v>
      </c>
      <c r="F103" s="281">
        <f t="shared" si="4"/>
        <v>0</v>
      </c>
    </row>
    <row r="104" spans="1:6">
      <c r="A104" s="285"/>
      <c r="B104" s="285"/>
      <c r="C104" s="361"/>
      <c r="D104" s="285"/>
      <c r="E104" s="281"/>
      <c r="F104" s="281">
        <f t="shared" si="4"/>
        <v>0</v>
      </c>
    </row>
    <row r="105" spans="1:6">
      <c r="A105" s="285"/>
      <c r="B105" s="280" t="s">
        <v>449</v>
      </c>
      <c r="C105" s="361"/>
      <c r="D105" s="285"/>
      <c r="E105" s="281"/>
      <c r="F105" s="281">
        <f t="shared" si="4"/>
        <v>0</v>
      </c>
    </row>
    <row r="106" spans="1:6">
      <c r="A106" s="285"/>
      <c r="B106" s="280" t="s">
        <v>450</v>
      </c>
      <c r="C106" s="356">
        <v>0</v>
      </c>
      <c r="D106" s="280" t="s">
        <v>9</v>
      </c>
      <c r="E106" s="281">
        <f>'BQ MAPLE'!E106</f>
        <v>3569825.4991925494</v>
      </c>
      <c r="F106" s="281">
        <f t="shared" si="4"/>
        <v>0</v>
      </c>
    </row>
    <row r="107" spans="1:6">
      <c r="A107" s="285"/>
      <c r="B107" s="280" t="s">
        <v>451</v>
      </c>
      <c r="C107" s="356">
        <v>0</v>
      </c>
      <c r="D107" s="280" t="s">
        <v>9</v>
      </c>
      <c r="E107" s="281">
        <f>'BQ MAPLE'!E107</f>
        <v>0</v>
      </c>
      <c r="F107" s="281">
        <f t="shared" si="4"/>
        <v>0</v>
      </c>
    </row>
    <row r="108" spans="1:6" ht="27.6">
      <c r="A108" s="285"/>
      <c r="B108" s="280" t="s">
        <v>452</v>
      </c>
      <c r="C108" s="356">
        <v>0</v>
      </c>
      <c r="D108" s="280" t="s">
        <v>9</v>
      </c>
      <c r="E108" s="281">
        <f>'BQ MAPLE'!E108</f>
        <v>0</v>
      </c>
      <c r="F108" s="281">
        <f t="shared" si="4"/>
        <v>0</v>
      </c>
    </row>
    <row r="109" spans="1:6" ht="27.6">
      <c r="A109" s="285"/>
      <c r="B109" s="280" t="s">
        <v>453</v>
      </c>
      <c r="C109" s="356">
        <v>0</v>
      </c>
      <c r="D109" s="280" t="s">
        <v>9</v>
      </c>
      <c r="E109" s="281">
        <f>'BQ MAPLE'!E109</f>
        <v>0</v>
      </c>
      <c r="F109" s="281">
        <f t="shared" si="4"/>
        <v>0</v>
      </c>
    </row>
    <row r="110" spans="1:6" ht="27.6">
      <c r="A110" s="285"/>
      <c r="B110" s="280" t="s">
        <v>454</v>
      </c>
      <c r="C110" s="361">
        <f>+(4.1*0.8*0.1)</f>
        <v>0.32800000000000001</v>
      </c>
      <c r="D110" s="280" t="s">
        <v>9</v>
      </c>
      <c r="E110" s="281">
        <f>'BQ MAPLE'!E110</f>
        <v>3322371.9090909092</v>
      </c>
      <c r="F110" s="281">
        <f t="shared" si="4"/>
        <v>1089737.9861818182</v>
      </c>
    </row>
    <row r="111" spans="1:6">
      <c r="A111" s="285"/>
      <c r="B111" s="286" t="s">
        <v>397</v>
      </c>
      <c r="C111" s="361"/>
      <c r="D111" s="280"/>
      <c r="E111" s="281"/>
      <c r="F111" s="281">
        <f t="shared" si="4"/>
        <v>0</v>
      </c>
    </row>
    <row r="112" spans="1:6">
      <c r="A112" s="285"/>
      <c r="B112" s="286" t="s">
        <v>692</v>
      </c>
      <c r="C112" s="361">
        <f>0.13*0.2*29.1</f>
        <v>0.75660000000000005</v>
      </c>
      <c r="D112" s="280" t="s">
        <v>9</v>
      </c>
      <c r="E112" s="281">
        <f>'BQ MAPLE'!E112</f>
        <v>3694481.5092783347</v>
      </c>
      <c r="F112" s="281">
        <f t="shared" si="4"/>
        <v>2795244.7099199882</v>
      </c>
    </row>
    <row r="113" spans="1:6">
      <c r="A113" s="285"/>
      <c r="B113" s="286" t="s">
        <v>693</v>
      </c>
      <c r="C113" s="361">
        <f>0.13*0.2*8.5</f>
        <v>0.22100000000000003</v>
      </c>
      <c r="D113" s="280" t="s">
        <v>9</v>
      </c>
      <c r="E113" s="281">
        <f>'BQ MAPLE'!E113</f>
        <v>3694481.5092783347</v>
      </c>
      <c r="F113" s="281">
        <f t="shared" si="4"/>
        <v>816480.41355051205</v>
      </c>
    </row>
    <row r="114" spans="1:6">
      <c r="A114" s="285"/>
      <c r="B114" s="286" t="s">
        <v>694</v>
      </c>
      <c r="C114" s="361">
        <f>0.13*0.2*33.5</f>
        <v>0.87100000000000011</v>
      </c>
      <c r="D114" s="280" t="s">
        <v>9</v>
      </c>
      <c r="E114" s="281">
        <f>'BQ MAPLE'!E114</f>
        <v>4571419.4889041139</v>
      </c>
      <c r="F114" s="281">
        <f t="shared" si="4"/>
        <v>3981706.3748354837</v>
      </c>
    </row>
    <row r="115" spans="1:6">
      <c r="A115" s="285"/>
      <c r="B115" s="286" t="s">
        <v>695</v>
      </c>
      <c r="C115" s="361">
        <f>0.13*0.4*2.5</f>
        <v>0.13</v>
      </c>
      <c r="D115" s="280" t="s">
        <v>9</v>
      </c>
      <c r="E115" s="281">
        <f>'BQ MAPLE'!E115</f>
        <v>4470048.9468791336</v>
      </c>
      <c r="F115" s="281">
        <f t="shared" si="4"/>
        <v>581106.36309428734</v>
      </c>
    </row>
    <row r="116" spans="1:6">
      <c r="A116" s="285"/>
      <c r="B116" s="286" t="s">
        <v>696</v>
      </c>
      <c r="C116" s="361">
        <f>0.13*0.4*4.57</f>
        <v>0.23764000000000005</v>
      </c>
      <c r="D116" s="280" t="s">
        <v>9</v>
      </c>
      <c r="E116" s="281">
        <f>'BQ MAPLE'!E116</f>
        <v>4200540.8207530081</v>
      </c>
      <c r="F116" s="281">
        <f t="shared" si="4"/>
        <v>998216.52064374508</v>
      </c>
    </row>
    <row r="117" spans="1:6">
      <c r="A117" s="285"/>
      <c r="B117" s="286" t="s">
        <v>697</v>
      </c>
      <c r="C117" s="361">
        <f>0.13*0.4*5</f>
        <v>0.26</v>
      </c>
      <c r="D117" s="280" t="s">
        <v>9</v>
      </c>
      <c r="E117" s="281">
        <f>'BQ MAPLE'!E117</f>
        <v>3979680.5557668684</v>
      </c>
      <c r="F117" s="281">
        <f t="shared" si="4"/>
        <v>1034716.9444993858</v>
      </c>
    </row>
    <row r="118" spans="1:6">
      <c r="A118" s="285"/>
      <c r="B118" s="280"/>
      <c r="C118" s="361"/>
      <c r="D118" s="280"/>
      <c r="E118" s="281"/>
      <c r="F118" s="281"/>
    </row>
    <row r="119" spans="1:6">
      <c r="A119" s="282" t="s">
        <v>13</v>
      </c>
      <c r="B119" s="282" t="s">
        <v>14</v>
      </c>
      <c r="C119" s="375"/>
      <c r="D119" s="282" t="s">
        <v>9</v>
      </c>
      <c r="E119" s="283"/>
      <c r="F119" s="284">
        <f>SUM(F120:F130)</f>
        <v>53609590.642130688</v>
      </c>
    </row>
    <row r="120" spans="1:6">
      <c r="A120" s="285"/>
      <c r="B120" s="280" t="s">
        <v>200</v>
      </c>
      <c r="C120" s="361"/>
      <c r="D120" s="280" t="s">
        <v>9</v>
      </c>
      <c r="E120" s="281"/>
      <c r="F120" s="281">
        <f>+C120*E120</f>
        <v>0</v>
      </c>
    </row>
    <row r="121" spans="1:6">
      <c r="A121" s="285"/>
      <c r="B121" s="280" t="s">
        <v>455</v>
      </c>
      <c r="C121" s="361">
        <f>(8.1*10-2.1*2.1-2.8*0.8+7.5*1+2.5*4.1+4.1*0.5)*0.12</f>
        <v>11.298</v>
      </c>
      <c r="D121" s="280" t="s">
        <v>9</v>
      </c>
      <c r="E121" s="281">
        <f>'BQ MAPLE'!E121</f>
        <v>3163852.8409090908</v>
      </c>
      <c r="F121" s="281">
        <f t="shared" ref="F121:F130" si="5">+C121*E121</f>
        <v>35745209.396590911</v>
      </c>
    </row>
    <row r="122" spans="1:6">
      <c r="A122" s="285"/>
      <c r="B122" s="280" t="s">
        <v>456</v>
      </c>
      <c r="C122" s="361">
        <f>(10*0.6*2+3.2*2.4+2.2*0.8+1.6*0.8+0.6*0.3)*0.1</f>
        <v>2.2900000000000005</v>
      </c>
      <c r="D122" s="280" t="s">
        <v>9</v>
      </c>
      <c r="E122" s="281">
        <f>'BQ MAPLE'!E122</f>
        <v>3322371.9090909092</v>
      </c>
      <c r="F122" s="281">
        <f t="shared" si="5"/>
        <v>7608231.6718181837</v>
      </c>
    </row>
    <row r="123" spans="1:6">
      <c r="A123" s="285"/>
      <c r="B123" s="280" t="s">
        <v>457</v>
      </c>
      <c r="C123" s="361">
        <f>(10*0.6*2+3.2*2.4+2.2*0.8+1.6*0.8+0.6*0.3)*0.1</f>
        <v>2.2900000000000005</v>
      </c>
      <c r="D123" s="280" t="s">
        <v>9</v>
      </c>
      <c r="E123" s="281">
        <f>'BQ MAPLE'!E123</f>
        <v>3163852.8409090908</v>
      </c>
      <c r="F123" s="281">
        <f t="shared" si="5"/>
        <v>7245223.0056818193</v>
      </c>
    </row>
    <row r="124" spans="1:6">
      <c r="A124" s="285"/>
      <c r="B124" s="280" t="s">
        <v>458</v>
      </c>
      <c r="C124" s="356">
        <v>0</v>
      </c>
      <c r="D124" s="280" t="s">
        <v>9</v>
      </c>
      <c r="E124" s="281">
        <f>'BQ MAPLE'!E124</f>
        <v>0</v>
      </c>
      <c r="F124" s="281">
        <f t="shared" si="5"/>
        <v>0</v>
      </c>
    </row>
    <row r="125" spans="1:6">
      <c r="A125" s="285"/>
      <c r="B125" s="280" t="s">
        <v>459</v>
      </c>
      <c r="C125" s="356">
        <v>0</v>
      </c>
      <c r="D125" s="280" t="s">
        <v>9</v>
      </c>
      <c r="E125" s="281">
        <f>'BQ MAPLE'!E125</f>
        <v>0</v>
      </c>
      <c r="F125" s="281">
        <f t="shared" si="5"/>
        <v>0</v>
      </c>
    </row>
    <row r="126" spans="1:6">
      <c r="A126" s="285"/>
      <c r="B126" s="280" t="s">
        <v>460</v>
      </c>
      <c r="C126" s="356">
        <v>0</v>
      </c>
      <c r="D126" s="280" t="s">
        <v>9</v>
      </c>
      <c r="E126" s="281">
        <f>'BQ MAPLE'!E126</f>
        <v>0</v>
      </c>
      <c r="F126" s="281">
        <f t="shared" si="5"/>
        <v>0</v>
      </c>
    </row>
    <row r="127" spans="1:6">
      <c r="A127" s="285"/>
      <c r="B127" s="280" t="s">
        <v>461</v>
      </c>
      <c r="C127" s="356">
        <v>0</v>
      </c>
      <c r="D127" s="280" t="s">
        <v>9</v>
      </c>
      <c r="E127" s="281">
        <f>'BQ MAPLE'!E127</f>
        <v>0</v>
      </c>
      <c r="F127" s="281">
        <f t="shared" si="5"/>
        <v>0</v>
      </c>
    </row>
    <row r="128" spans="1:6">
      <c r="A128" s="285"/>
      <c r="B128" s="286" t="s">
        <v>397</v>
      </c>
      <c r="C128" s="361"/>
      <c r="D128" s="280"/>
      <c r="E128" s="281"/>
      <c r="F128" s="281">
        <f t="shared" si="5"/>
        <v>0</v>
      </c>
    </row>
    <row r="129" spans="1:6">
      <c r="A129" s="285"/>
      <c r="B129" s="286" t="s">
        <v>698</v>
      </c>
      <c r="C129" s="361">
        <f>(2.7*2.3-0.5*1.7)*0.1</f>
        <v>0.53600000000000003</v>
      </c>
      <c r="D129" s="280" t="s">
        <v>9</v>
      </c>
      <c r="E129" s="281">
        <f>'BQ MAPLE'!E129</f>
        <v>3693411.8181818184</v>
      </c>
      <c r="F129" s="281">
        <f t="shared" si="5"/>
        <v>1979668.7345454548</v>
      </c>
    </row>
    <row r="130" spans="1:6">
      <c r="A130" s="285"/>
      <c r="B130" s="286" t="s">
        <v>819</v>
      </c>
      <c r="C130" s="361">
        <f>3.2*0.8*0.12+0.25*0.5*0.15</f>
        <v>0.32595000000000002</v>
      </c>
      <c r="D130" s="280" t="s">
        <v>9</v>
      </c>
      <c r="E130" s="281">
        <f>'BQ MAPLE'!E130</f>
        <v>3163852.8409090908</v>
      </c>
      <c r="F130" s="281">
        <f t="shared" si="5"/>
        <v>1031257.8334943182</v>
      </c>
    </row>
    <row r="131" spans="1:6">
      <c r="A131" s="285"/>
      <c r="B131" s="280"/>
      <c r="C131" s="361"/>
      <c r="D131" s="280"/>
      <c r="E131" s="281"/>
      <c r="F131" s="281"/>
    </row>
    <row r="132" spans="1:6">
      <c r="A132" s="282" t="s">
        <v>201</v>
      </c>
      <c r="B132" s="282" t="s">
        <v>202</v>
      </c>
      <c r="C132" s="375"/>
      <c r="D132" s="282" t="s">
        <v>6</v>
      </c>
      <c r="E132" s="283"/>
      <c r="F132" s="284">
        <f>SUM(F133:F144)</f>
        <v>18156700.347622305</v>
      </c>
    </row>
    <row r="133" spans="1:6">
      <c r="A133" s="285"/>
      <c r="B133" s="280" t="s">
        <v>203</v>
      </c>
      <c r="C133" s="361"/>
      <c r="D133" s="280" t="s">
        <v>6</v>
      </c>
      <c r="E133" s="281"/>
      <c r="F133" s="281">
        <f t="shared" ref="F133:F142" si="6">+C133*E133</f>
        <v>0</v>
      </c>
    </row>
    <row r="134" spans="1:6">
      <c r="A134" s="285"/>
      <c r="B134" s="280" t="s">
        <v>462</v>
      </c>
      <c r="C134" s="361">
        <f>8.72*1.15*0.12+0.3*0.09*1.15*19</f>
        <v>1.79331</v>
      </c>
      <c r="D134" s="280" t="s">
        <v>9</v>
      </c>
      <c r="E134" s="281">
        <f>'BQ MAPLE'!E134</f>
        <v>4519416.3799549546</v>
      </c>
      <c r="F134" s="281">
        <f t="shared" si="6"/>
        <v>8104714.5883370191</v>
      </c>
    </row>
    <row r="135" spans="1:6">
      <c r="A135" s="285"/>
      <c r="B135" s="280" t="s">
        <v>463</v>
      </c>
      <c r="C135" s="356">
        <v>0</v>
      </c>
      <c r="D135" s="280" t="s">
        <v>9</v>
      </c>
      <c r="E135" s="281">
        <f>'BQ MAPLE'!E135</f>
        <v>0</v>
      </c>
      <c r="F135" s="281">
        <f t="shared" si="6"/>
        <v>0</v>
      </c>
    </row>
    <row r="136" spans="1:6">
      <c r="A136" s="285"/>
      <c r="B136" s="280" t="s">
        <v>464</v>
      </c>
      <c r="C136" s="361">
        <v>1</v>
      </c>
      <c r="D136" s="280" t="s">
        <v>204</v>
      </c>
      <c r="E136" s="281">
        <f>'BQ MAPLE'!E136</f>
        <v>750000</v>
      </c>
      <c r="F136" s="281">
        <f t="shared" si="6"/>
        <v>750000</v>
      </c>
    </row>
    <row r="137" spans="1:6">
      <c r="A137" s="285"/>
      <c r="B137" s="280" t="s">
        <v>465</v>
      </c>
      <c r="C137" s="361">
        <v>3</v>
      </c>
      <c r="D137" s="280" t="s">
        <v>204</v>
      </c>
      <c r="E137" s="281">
        <f>'BQ MAPLE'!E137</f>
        <v>350000</v>
      </c>
      <c r="F137" s="281">
        <f t="shared" si="6"/>
        <v>1050000</v>
      </c>
    </row>
    <row r="138" spans="1:6">
      <c r="A138" s="285"/>
      <c r="B138" s="280" t="s">
        <v>466</v>
      </c>
      <c r="C138" s="361">
        <f>0.13*0.15*34+0.13*0.15*27.7</f>
        <v>1.2031499999999999</v>
      </c>
      <c r="D138" s="280" t="s">
        <v>9</v>
      </c>
      <c r="E138" s="281">
        <f>'BQ MAPLE'!E138</f>
        <v>3114582.1620046622</v>
      </c>
      <c r="F138" s="281">
        <f t="shared" si="6"/>
        <v>3747309.5282159094</v>
      </c>
    </row>
    <row r="139" spans="1:6">
      <c r="A139" s="285"/>
      <c r="B139" s="280" t="s">
        <v>467</v>
      </c>
      <c r="C139" s="361">
        <f>2.3*0.15*0.3</f>
        <v>0.10349999999999999</v>
      </c>
      <c r="D139" s="280" t="s">
        <v>9</v>
      </c>
      <c r="E139" s="281">
        <f>'BQ MAPLE'!E139</f>
        <v>3569825.4991925494</v>
      </c>
      <c r="F139" s="281">
        <f t="shared" si="6"/>
        <v>369476.93916642887</v>
      </c>
    </row>
    <row r="140" spans="1:6">
      <c r="A140" s="285"/>
      <c r="B140" s="280" t="s">
        <v>468</v>
      </c>
      <c r="C140" s="361">
        <f>18*0.2*0.2</f>
        <v>0.72000000000000008</v>
      </c>
      <c r="D140" s="280" t="s">
        <v>9</v>
      </c>
      <c r="E140" s="281">
        <f>'BQ MAPLE'!E140</f>
        <v>840000</v>
      </c>
      <c r="F140" s="281">
        <f t="shared" si="6"/>
        <v>604800.00000000012</v>
      </c>
    </row>
    <row r="141" spans="1:6">
      <c r="A141" s="285"/>
      <c r="B141" s="286" t="s">
        <v>397</v>
      </c>
      <c r="C141" s="361"/>
      <c r="D141" s="280"/>
      <c r="E141" s="281"/>
      <c r="F141" s="281">
        <f t="shared" si="6"/>
        <v>0</v>
      </c>
    </row>
    <row r="142" spans="1:6">
      <c r="A142" s="285"/>
      <c r="B142" s="286" t="s">
        <v>699</v>
      </c>
      <c r="C142" s="361">
        <f>2*0.25*0.25*1.5</f>
        <v>0.1875</v>
      </c>
      <c r="D142" s="280" t="s">
        <v>9</v>
      </c>
      <c r="E142" s="281">
        <f>'BQ MAPLE'!E142</f>
        <v>4017169.5568157248</v>
      </c>
      <c r="F142" s="281">
        <f t="shared" si="6"/>
        <v>753219.2919029484</v>
      </c>
    </row>
    <row r="143" spans="1:6">
      <c r="A143" s="285"/>
      <c r="B143" s="286" t="s">
        <v>703</v>
      </c>
      <c r="C143" s="361">
        <f>(1.2+1.2+0.65)*9.36</f>
        <v>28.547999999999998</v>
      </c>
      <c r="D143" s="280" t="s">
        <v>43</v>
      </c>
      <c r="E143" s="281">
        <f>'BQ MAPLE'!E143</f>
        <v>35000</v>
      </c>
      <c r="F143" s="281">
        <f>+C143*E143</f>
        <v>999179.99999999988</v>
      </c>
    </row>
    <row r="144" spans="1:6">
      <c r="A144" s="285"/>
      <c r="B144" s="286" t="s">
        <v>839</v>
      </c>
      <c r="C144" s="361">
        <f>12.7*4</f>
        <v>50.8</v>
      </c>
      <c r="D144" s="280" t="s">
        <v>43</v>
      </c>
      <c r="E144" s="281">
        <f>'BQ MAPLE'!E144</f>
        <v>35000</v>
      </c>
      <c r="F144" s="281">
        <f>+C144*E144</f>
        <v>1778000</v>
      </c>
    </row>
    <row r="145" spans="1:6">
      <c r="A145" s="285"/>
      <c r="B145" s="286"/>
      <c r="C145" s="361"/>
      <c r="D145" s="280"/>
      <c r="E145" s="281"/>
      <c r="F145" s="281"/>
    </row>
    <row r="146" spans="1:6">
      <c r="A146" s="282" t="s">
        <v>15</v>
      </c>
      <c r="B146" s="282" t="s">
        <v>16</v>
      </c>
      <c r="C146" s="375"/>
      <c r="D146" s="282" t="s">
        <v>5</v>
      </c>
      <c r="E146" s="283"/>
      <c r="F146" s="284">
        <f>SUM(F147:F176)</f>
        <v>86604341.842756987</v>
      </c>
    </row>
    <row r="147" spans="1:6">
      <c r="A147" s="285"/>
      <c r="B147" s="280" t="s">
        <v>205</v>
      </c>
      <c r="C147" s="361"/>
      <c r="D147" s="280" t="s">
        <v>5</v>
      </c>
      <c r="E147" s="281"/>
      <c r="F147" s="281">
        <f t="shared" ref="F147:F171" si="7">+C147*E147</f>
        <v>0</v>
      </c>
    </row>
    <row r="148" spans="1:6" ht="27.6">
      <c r="A148" s="285"/>
      <c r="B148" s="280" t="s">
        <v>469</v>
      </c>
      <c r="C148" s="361">
        <f>6.2*5</f>
        <v>31</v>
      </c>
      <c r="D148" s="280" t="s">
        <v>5</v>
      </c>
      <c r="E148" s="281">
        <f>'BQ MAPLE'!E148</f>
        <v>239262.5</v>
      </c>
      <c r="F148" s="281">
        <f>+C148*E148</f>
        <v>7417137.5</v>
      </c>
    </row>
    <row r="149" spans="1:6" ht="27.6">
      <c r="A149" s="285"/>
      <c r="B149" s="280" t="s">
        <v>470</v>
      </c>
      <c r="C149" s="361">
        <f>1.3*2.6</f>
        <v>3.3800000000000003</v>
      </c>
      <c r="D149" s="280" t="s">
        <v>5</v>
      </c>
      <c r="E149" s="281">
        <f>'BQ MAPLE'!E149</f>
        <v>411099.34113680152</v>
      </c>
      <c r="F149" s="281">
        <f t="shared" si="7"/>
        <v>1389515.7730423892</v>
      </c>
    </row>
    <row r="150" spans="1:6" ht="27.6">
      <c r="A150" s="285"/>
      <c r="B150" s="280" t="s">
        <v>471</v>
      </c>
      <c r="C150" s="361">
        <f>1.3*2.9</f>
        <v>3.77</v>
      </c>
      <c r="D150" s="280" t="s">
        <v>5</v>
      </c>
      <c r="E150" s="281">
        <f>'BQ MAPLE'!E150</f>
        <v>411099.34113680152</v>
      </c>
      <c r="F150" s="281">
        <f t="shared" si="7"/>
        <v>1549844.5160857418</v>
      </c>
    </row>
    <row r="151" spans="1:6" ht="27.6">
      <c r="A151" s="285"/>
      <c r="B151" s="280" t="s">
        <v>849</v>
      </c>
      <c r="C151" s="361">
        <f>3.5*3</f>
        <v>10.5</v>
      </c>
      <c r="D151" s="280" t="s">
        <v>5</v>
      </c>
      <c r="E151" s="281">
        <f>'BQ MAPLE'!E151</f>
        <v>245653.84113680152</v>
      </c>
      <c r="F151" s="281">
        <f t="shared" si="7"/>
        <v>2579365.3319364162</v>
      </c>
    </row>
    <row r="152" spans="1:6" ht="27.6">
      <c r="A152" s="285"/>
      <c r="B152" s="280" t="s">
        <v>850</v>
      </c>
      <c r="C152" s="361">
        <f>4.5*9.8</f>
        <v>44.1</v>
      </c>
      <c r="D152" s="280" t="s">
        <v>5</v>
      </c>
      <c r="E152" s="281">
        <f>'BQ MAPLE'!E152</f>
        <v>245653.84113680152</v>
      </c>
      <c r="F152" s="281">
        <f t="shared" si="7"/>
        <v>10833334.394132948</v>
      </c>
    </row>
    <row r="153" spans="1:6" ht="27.6">
      <c r="A153" s="285"/>
      <c r="B153" s="280" t="s">
        <v>851</v>
      </c>
      <c r="C153" s="361">
        <f>3.85*2.3-1.15*2.85</f>
        <v>5.5774999999999988</v>
      </c>
      <c r="D153" s="280" t="s">
        <v>5</v>
      </c>
      <c r="E153" s="281">
        <f>'BQ MAPLE'!E153</f>
        <v>245653.84113680152</v>
      </c>
      <c r="F153" s="281">
        <f t="shared" si="7"/>
        <v>1370134.2989405103</v>
      </c>
    </row>
    <row r="154" spans="1:6" ht="27.6">
      <c r="A154" s="285"/>
      <c r="B154" s="280" t="s">
        <v>472</v>
      </c>
      <c r="C154" s="361">
        <f>18*(0.19+0.3)*1.25+1.1*2.5+0.19*1.25*3</f>
        <v>14.487500000000001</v>
      </c>
      <c r="D154" s="280" t="s">
        <v>5</v>
      </c>
      <c r="E154" s="281">
        <f>'BQ MAPLE'!E154</f>
        <v>431653.84113680152</v>
      </c>
      <c r="F154" s="281">
        <f t="shared" si="7"/>
        <v>6253585.0234694127</v>
      </c>
    </row>
    <row r="155" spans="1:6">
      <c r="A155" s="285"/>
      <c r="B155" s="280" t="s">
        <v>473</v>
      </c>
      <c r="C155" s="361">
        <v>30</v>
      </c>
      <c r="D155" s="280" t="s">
        <v>297</v>
      </c>
      <c r="E155" s="281">
        <f>'BQ MAPLE'!E155</f>
        <v>106592.30685613358</v>
      </c>
      <c r="F155" s="281">
        <f t="shared" si="7"/>
        <v>3197769.2056840076</v>
      </c>
    </row>
    <row r="156" spans="1:6" ht="27.6">
      <c r="A156" s="285"/>
      <c r="B156" s="280" t="s">
        <v>474</v>
      </c>
      <c r="C156" s="361">
        <f>5.5*1.6+2.45*0.7+2.4*2.15+1</f>
        <v>16.675000000000001</v>
      </c>
      <c r="D156" s="280" t="s">
        <v>5</v>
      </c>
      <c r="E156" s="281">
        <f>'BQ MAPLE'!E156</f>
        <v>156762.5</v>
      </c>
      <c r="F156" s="281">
        <f t="shared" si="7"/>
        <v>2614014.6875</v>
      </c>
    </row>
    <row r="157" spans="1:6" ht="27.6">
      <c r="A157" s="285"/>
      <c r="B157" s="280" t="s">
        <v>475</v>
      </c>
      <c r="C157" s="361">
        <f>0.6*2.16+1.05*0.6+0.2*0.6</f>
        <v>2.0460000000000003</v>
      </c>
      <c r="D157" s="280" t="s">
        <v>5</v>
      </c>
      <c r="E157" s="281">
        <f>'BQ MAPLE'!E157</f>
        <v>233553.84113680152</v>
      </c>
      <c r="F157" s="281">
        <f t="shared" si="7"/>
        <v>477851.158965896</v>
      </c>
    </row>
    <row r="158" spans="1:6" ht="27.6">
      <c r="A158" s="285"/>
      <c r="B158" s="280" t="s">
        <v>476</v>
      </c>
      <c r="C158" s="361">
        <f>0.6*1.65+0.8*2.01</f>
        <v>2.5979999999999999</v>
      </c>
      <c r="D158" s="280" t="s">
        <v>5</v>
      </c>
      <c r="E158" s="281">
        <f>'BQ MAPLE'!E158</f>
        <v>233553.84113680152</v>
      </c>
      <c r="F158" s="281">
        <f t="shared" si="7"/>
        <v>606772.8792734103</v>
      </c>
    </row>
    <row r="159" spans="1:6" ht="27.6">
      <c r="A159" s="285"/>
      <c r="B159" s="280" t="s">
        <v>477</v>
      </c>
      <c r="C159" s="361">
        <f>1.45*1.35</f>
        <v>1.9575</v>
      </c>
      <c r="D159" s="280" t="s">
        <v>5</v>
      </c>
      <c r="E159" s="281">
        <f>'BQ MAPLE'!E159</f>
        <v>240503.84113680152</v>
      </c>
      <c r="F159" s="281">
        <f t="shared" si="7"/>
        <v>470786.26902528899</v>
      </c>
    </row>
    <row r="160" spans="1:6" ht="27.6">
      <c r="A160" s="285"/>
      <c r="B160" s="280" t="s">
        <v>478</v>
      </c>
      <c r="C160" s="361">
        <f>0.95*1.35</f>
        <v>1.2825</v>
      </c>
      <c r="D160" s="280" t="s">
        <v>5</v>
      </c>
      <c r="E160" s="281">
        <f>'BQ MAPLE'!E160</f>
        <v>235903.84113680152</v>
      </c>
      <c r="F160" s="281">
        <f t="shared" si="7"/>
        <v>302546.67625794793</v>
      </c>
    </row>
    <row r="161" spans="1:6" ht="27.6">
      <c r="A161" s="285"/>
      <c r="B161" s="280" t="s">
        <v>479</v>
      </c>
      <c r="C161" s="361">
        <f>1.2*(3.3-0.6)+3.3*1.2+3.3*2.25+2.25*3.3-0.7*2.6</f>
        <v>20.23</v>
      </c>
      <c r="D161" s="280" t="s">
        <v>5</v>
      </c>
      <c r="E161" s="281">
        <f>'BQ MAPLE'!E161</f>
        <v>220675</v>
      </c>
      <c r="F161" s="281">
        <f t="shared" si="7"/>
        <v>4464255.25</v>
      </c>
    </row>
    <row r="162" spans="1:6" ht="27.6">
      <c r="A162" s="285"/>
      <c r="B162" s="280" t="s">
        <v>480</v>
      </c>
      <c r="C162" s="361">
        <f>(1.65+0.15)*1.05</f>
        <v>1.89</v>
      </c>
      <c r="D162" s="280" t="s">
        <v>5</v>
      </c>
      <c r="E162" s="281">
        <f>'BQ MAPLE'!E162</f>
        <v>121830.06756756757</v>
      </c>
      <c r="F162" s="281">
        <f t="shared" si="7"/>
        <v>230258.82770270269</v>
      </c>
    </row>
    <row r="163" spans="1:6">
      <c r="A163" s="285"/>
      <c r="B163" s="280" t="s">
        <v>481</v>
      </c>
      <c r="C163" s="356">
        <v>0</v>
      </c>
      <c r="D163" s="280" t="s">
        <v>5</v>
      </c>
      <c r="E163" s="281">
        <f>'BQ MAPLE'!E163</f>
        <v>0</v>
      </c>
      <c r="F163" s="281">
        <f t="shared" si="7"/>
        <v>0</v>
      </c>
    </row>
    <row r="164" spans="1:6" ht="27.6">
      <c r="A164" s="285"/>
      <c r="B164" s="280" t="s">
        <v>482</v>
      </c>
      <c r="C164" s="361">
        <v>1</v>
      </c>
      <c r="D164" s="280" t="s">
        <v>7</v>
      </c>
      <c r="E164" s="281">
        <f>'BQ MAPLE'!E164</f>
        <v>750000</v>
      </c>
      <c r="F164" s="281">
        <f>+C164*E164</f>
        <v>750000</v>
      </c>
    </row>
    <row r="165" spans="1:6">
      <c r="A165" s="285"/>
      <c r="B165" s="280" t="s">
        <v>483</v>
      </c>
      <c r="C165" s="361">
        <f>20.1</f>
        <v>20.100000000000001</v>
      </c>
      <c r="D165" s="280" t="s">
        <v>5</v>
      </c>
      <c r="E165" s="281">
        <f>'BQ MAPLE'!E165</f>
        <v>30450</v>
      </c>
      <c r="F165" s="281">
        <f t="shared" si="7"/>
        <v>612045</v>
      </c>
    </row>
    <row r="166" spans="1:6">
      <c r="A166" s="285"/>
      <c r="B166" s="280" t="s">
        <v>484</v>
      </c>
      <c r="C166" s="361">
        <v>45</v>
      </c>
      <c r="D166" s="280" t="s">
        <v>5</v>
      </c>
      <c r="E166" s="281">
        <f>'BQ MAPLE'!E166</f>
        <v>59215.384113680149</v>
      </c>
      <c r="F166" s="281">
        <f t="shared" si="7"/>
        <v>2664692.2851156066</v>
      </c>
    </row>
    <row r="167" spans="1:6" ht="27.6">
      <c r="A167" s="285"/>
      <c r="B167" s="280" t="s">
        <v>485</v>
      </c>
      <c r="C167" s="361">
        <f>(11.2*3.3+2.4*7.4+2.7*4.4)*0+92</f>
        <v>92</v>
      </c>
      <c r="D167" s="280" t="s">
        <v>5</v>
      </c>
      <c r="E167" s="281">
        <f>'BQ MAPLE'!E167</f>
        <v>85000</v>
      </c>
      <c r="F167" s="281">
        <f t="shared" si="7"/>
        <v>7820000</v>
      </c>
    </row>
    <row r="168" spans="1:6" ht="27.6">
      <c r="A168" s="285"/>
      <c r="B168" s="280" t="s">
        <v>486</v>
      </c>
      <c r="C168" s="361">
        <f>1.75*0.9+4.2*0.5+2.15*2.6-1.7*0.55+3.75*1</f>
        <v>12.08</v>
      </c>
      <c r="D168" s="280" t="s">
        <v>5</v>
      </c>
      <c r="E168" s="281">
        <f>'BQ MAPLE'!E168</f>
        <v>66147.193181818177</v>
      </c>
      <c r="F168" s="281">
        <f t="shared" si="7"/>
        <v>799058.09363636363</v>
      </c>
    </row>
    <row r="169" spans="1:6">
      <c r="A169" s="285"/>
      <c r="B169" s="280" t="s">
        <v>487</v>
      </c>
      <c r="C169" s="361">
        <f>2.8*2.1-1.4*0.7</f>
        <v>4.9000000000000004</v>
      </c>
      <c r="D169" s="280" t="s">
        <v>5</v>
      </c>
      <c r="E169" s="281">
        <f>'BQ MAPLE'!E169</f>
        <v>447838.7171717172</v>
      </c>
      <c r="F169" s="281">
        <f t="shared" si="7"/>
        <v>2194409.7141414145</v>
      </c>
    </row>
    <row r="170" spans="1:6" ht="27.6">
      <c r="A170" s="285"/>
      <c r="B170" s="280" t="s">
        <v>488</v>
      </c>
      <c r="C170" s="361">
        <v>2.1</v>
      </c>
      <c r="D170" s="280" t="s">
        <v>5</v>
      </c>
      <c r="E170" s="281">
        <f>'BQ MAPLE'!E170</f>
        <v>411099.34113680152</v>
      </c>
      <c r="F170" s="281">
        <f t="shared" si="7"/>
        <v>863308.6163872832</v>
      </c>
    </row>
    <row r="171" spans="1:6" ht="27.6">
      <c r="A171" s="285"/>
      <c r="B171" s="280" t="s">
        <v>489</v>
      </c>
      <c r="C171" s="361">
        <v>16.64</v>
      </c>
      <c r="D171" s="280" t="s">
        <v>5</v>
      </c>
      <c r="E171" s="281">
        <f>'BQ MAPLE'!E171</f>
        <v>463813.84113680152</v>
      </c>
      <c r="F171" s="281">
        <f t="shared" si="7"/>
        <v>7717862.316516378</v>
      </c>
    </row>
    <row r="172" spans="1:6" ht="27.6">
      <c r="A172" s="285"/>
      <c r="B172" s="280" t="s">
        <v>490</v>
      </c>
      <c r="C172" s="361">
        <f>(3.6*3.2)*0+1</f>
        <v>1</v>
      </c>
      <c r="D172" s="280" t="s">
        <v>5</v>
      </c>
      <c r="E172" s="281">
        <f>'BQ MAPLE'!E172</f>
        <v>13629458</v>
      </c>
      <c r="F172" s="281">
        <f>+C172*E172</f>
        <v>13629458</v>
      </c>
    </row>
    <row r="173" spans="1:6" ht="27.6">
      <c r="A173" s="285"/>
      <c r="B173" s="280" t="s">
        <v>491</v>
      </c>
      <c r="C173" s="361">
        <f>7.55*0.975</f>
        <v>7.3612500000000001</v>
      </c>
      <c r="D173" s="280" t="s">
        <v>5</v>
      </c>
      <c r="E173" s="281">
        <f>'BQ MAPLE'!E173</f>
        <v>411099.34113680152</v>
      </c>
      <c r="F173" s="281">
        <f t="shared" ref="F173:F175" si="8">+C173*E173</f>
        <v>3026205.02494328</v>
      </c>
    </row>
    <row r="174" spans="1:6">
      <c r="A174" s="285"/>
      <c r="B174" s="286" t="s">
        <v>397</v>
      </c>
      <c r="C174" s="361"/>
      <c r="D174" s="280"/>
      <c r="E174" s="281"/>
      <c r="F174" s="281">
        <f t="shared" si="8"/>
        <v>0</v>
      </c>
    </row>
    <row r="175" spans="1:6">
      <c r="B175" s="286" t="s">
        <v>840</v>
      </c>
      <c r="C175" s="376">
        <f>0.2*2.6+1*2.6+1.5*2.6+1.5*2.6</f>
        <v>10.920000000000002</v>
      </c>
      <c r="D175" s="280" t="s">
        <v>5</v>
      </c>
      <c r="E175" s="288">
        <f>165000*1.1+Analisa!$F$147</f>
        <v>253675.00000000003</v>
      </c>
      <c r="F175" s="281">
        <f t="shared" si="8"/>
        <v>2770131.0000000009</v>
      </c>
    </row>
    <row r="176" spans="1:6">
      <c r="B176" s="286" t="s">
        <v>399</v>
      </c>
      <c r="C176" s="376"/>
    </row>
    <row r="177" spans="1:6">
      <c r="A177" s="285"/>
      <c r="B177" s="280"/>
      <c r="C177" s="361"/>
      <c r="D177" s="280"/>
      <c r="E177" s="281"/>
      <c r="F177" s="281"/>
    </row>
    <row r="178" spans="1:6">
      <c r="A178" s="282" t="s">
        <v>206</v>
      </c>
      <c r="B178" s="282" t="s">
        <v>207</v>
      </c>
      <c r="C178" s="375"/>
      <c r="D178" s="282" t="s">
        <v>5</v>
      </c>
      <c r="E178" s="283"/>
      <c r="F178" s="284">
        <f>SUM(F179:F206)</f>
        <v>48233895.312861666</v>
      </c>
    </row>
    <row r="179" spans="1:6">
      <c r="A179" s="285"/>
      <c r="B179" s="280" t="s">
        <v>208</v>
      </c>
      <c r="C179" s="361"/>
      <c r="D179" s="280" t="s">
        <v>5</v>
      </c>
      <c r="E179" s="281"/>
      <c r="F179" s="281">
        <f>+C179*E179</f>
        <v>0</v>
      </c>
    </row>
    <row r="180" spans="1:6" ht="41.4">
      <c r="A180" s="285"/>
      <c r="B180" s="280" t="s">
        <v>852</v>
      </c>
      <c r="C180" s="361">
        <f>3.75*3.1+3*3.8+2.05*1+3*5.8+5.15*1.5+0.7*2.15</f>
        <v>51.704999999999998</v>
      </c>
      <c r="D180" s="280" t="s">
        <v>5</v>
      </c>
      <c r="E180" s="281">
        <f>'BQ MAPLE'!E180</f>
        <v>245653.84113680152</v>
      </c>
      <c r="F180" s="281">
        <f t="shared" ref="F180:F182" si="9">+C180*E180</f>
        <v>12701531.855978323</v>
      </c>
    </row>
    <row r="181" spans="1:6" ht="27.6">
      <c r="A181" s="285"/>
      <c r="B181" s="280" t="s">
        <v>853</v>
      </c>
      <c r="C181" s="361">
        <f>0.7*1.6+4.5*2.3+1.5*2.4+1.75*1.35</f>
        <v>17.432499999999997</v>
      </c>
      <c r="D181" s="280" t="s">
        <v>5</v>
      </c>
      <c r="E181" s="281">
        <f>'BQ MAPLE'!E181</f>
        <v>245653.84113680152</v>
      </c>
      <c r="F181" s="281">
        <f t="shared" si="9"/>
        <v>4282360.5856172917</v>
      </c>
    </row>
    <row r="182" spans="1:6" ht="27.6">
      <c r="A182" s="285"/>
      <c r="B182" s="280" t="s">
        <v>492</v>
      </c>
      <c r="C182" s="361">
        <f>1.9*1.75-1*0.6</f>
        <v>2.7249999999999996</v>
      </c>
      <c r="D182" s="280" t="s">
        <v>5</v>
      </c>
      <c r="E182" s="281">
        <f>'BQ MAPLE'!E182</f>
        <v>240503.84113680152</v>
      </c>
      <c r="F182" s="281">
        <f t="shared" si="9"/>
        <v>655372.96709778404</v>
      </c>
    </row>
    <row r="183" spans="1:6" ht="27.6">
      <c r="A183" s="285"/>
      <c r="B183" s="280" t="s">
        <v>493</v>
      </c>
      <c r="C183" s="361">
        <f>1*1.5</f>
        <v>1.5</v>
      </c>
      <c r="D183" s="280" t="s">
        <v>5</v>
      </c>
      <c r="E183" s="281">
        <f>'BQ MAPLE'!E183</f>
        <v>235903.84113680152</v>
      </c>
      <c r="F183" s="281">
        <f>+C183*E183</f>
        <v>353855.76170520228</v>
      </c>
    </row>
    <row r="184" spans="1:6" ht="27.6">
      <c r="A184" s="285"/>
      <c r="B184" s="280" t="s">
        <v>494</v>
      </c>
      <c r="C184" s="361">
        <f>6.9*2.7+0.9*1.2</f>
        <v>19.71</v>
      </c>
      <c r="D184" s="280" t="s">
        <v>5</v>
      </c>
      <c r="E184" s="281">
        <f>'BQ MAPLE'!E184</f>
        <v>220675</v>
      </c>
      <c r="F184" s="281">
        <f t="shared" ref="F184:F185" si="10">+C184*E184</f>
        <v>4349504.25</v>
      </c>
    </row>
    <row r="185" spans="1:6" ht="41.4">
      <c r="A185" s="285"/>
      <c r="B185" s="280" t="s">
        <v>495</v>
      </c>
      <c r="C185" s="361">
        <f>(2.85+0.6)*1.8-0.8*1.5</f>
        <v>5.0100000000000007</v>
      </c>
      <c r="D185" s="280" t="s">
        <v>5</v>
      </c>
      <c r="E185" s="281">
        <f>'BQ MAPLE'!E185</f>
        <v>240503.84113680152</v>
      </c>
      <c r="F185" s="281">
        <f t="shared" si="10"/>
        <v>1204924.2440953758</v>
      </c>
    </row>
    <row r="186" spans="1:6" ht="27.6">
      <c r="A186" s="285"/>
      <c r="B186" s="280" t="s">
        <v>496</v>
      </c>
      <c r="C186" s="361">
        <f>1*1.8</f>
        <v>1.8</v>
      </c>
      <c r="D186" s="280" t="s">
        <v>5</v>
      </c>
      <c r="E186" s="281">
        <f>'BQ MAPLE'!E186</f>
        <v>235903.84113680152</v>
      </c>
      <c r="F186" s="281">
        <f>+C186*E186</f>
        <v>424626.91404624277</v>
      </c>
    </row>
    <row r="187" spans="1:6" ht="27.6">
      <c r="A187" s="285"/>
      <c r="B187" s="280" t="s">
        <v>497</v>
      </c>
      <c r="C187" s="361">
        <f>0.9*3.3+3*2.7-0.6*2.5+1*3.2+2*2.75+1.6*0.2+1.6*2.75</f>
        <v>22.990000000000002</v>
      </c>
      <c r="D187" s="280" t="s">
        <v>5</v>
      </c>
      <c r="E187" s="281">
        <f>'BQ MAPLE'!E187</f>
        <v>220675</v>
      </c>
      <c r="F187" s="281">
        <f>+C187*E187</f>
        <v>5073318.25</v>
      </c>
    </row>
    <row r="188" spans="1:6" ht="27.6">
      <c r="A188" s="285"/>
      <c r="B188" s="280" t="s">
        <v>498</v>
      </c>
      <c r="C188" s="356">
        <v>0</v>
      </c>
      <c r="D188" s="280" t="s">
        <v>5</v>
      </c>
      <c r="E188" s="281">
        <f>'BQ MAPLE'!E188</f>
        <v>0</v>
      </c>
      <c r="F188" s="281">
        <f>+C188*E188</f>
        <v>0</v>
      </c>
    </row>
    <row r="189" spans="1:6">
      <c r="A189" s="285"/>
      <c r="B189" s="280" t="s">
        <v>499</v>
      </c>
      <c r="C189" s="356">
        <v>0</v>
      </c>
      <c r="D189" s="280" t="s">
        <v>297</v>
      </c>
      <c r="E189" s="281">
        <f>'BQ MAPLE'!E189</f>
        <v>106592.30685613358</v>
      </c>
      <c r="F189" s="281">
        <f t="shared" ref="F189:F204" si="11">+C189*E189</f>
        <v>0</v>
      </c>
    </row>
    <row r="190" spans="1:6" ht="27.6">
      <c r="A190" s="285"/>
      <c r="B190" s="280" t="s">
        <v>500</v>
      </c>
      <c r="C190" s="361">
        <f>3.75*1+1.7*1.05</f>
        <v>5.5350000000000001</v>
      </c>
      <c r="D190" s="280" t="s">
        <v>5</v>
      </c>
      <c r="E190" s="281">
        <f>'BQ MAPLE'!E190</f>
        <v>204953.84113680155</v>
      </c>
      <c r="F190" s="281">
        <f t="shared" si="11"/>
        <v>1134419.5106921967</v>
      </c>
    </row>
    <row r="191" spans="1:6" ht="27.6">
      <c r="A191" s="285"/>
      <c r="B191" s="280" t="s">
        <v>501</v>
      </c>
      <c r="C191" s="361">
        <v>2</v>
      </c>
      <c r="D191" s="280" t="s">
        <v>7</v>
      </c>
      <c r="E191" s="281">
        <f>'BQ MAPLE'!E191</f>
        <v>750000</v>
      </c>
      <c r="F191" s="281">
        <f t="shared" si="11"/>
        <v>1500000</v>
      </c>
    </row>
    <row r="192" spans="1:6">
      <c r="A192" s="285"/>
      <c r="B192" s="280" t="s">
        <v>502</v>
      </c>
      <c r="C192" s="361">
        <f>64.12</f>
        <v>64.12</v>
      </c>
      <c r="D192" s="280" t="s">
        <v>8</v>
      </c>
      <c r="E192" s="281">
        <f>'BQ MAPLE'!E192</f>
        <v>59215.384113680149</v>
      </c>
      <c r="F192" s="281">
        <f t="shared" si="11"/>
        <v>3796890.4293691716</v>
      </c>
    </row>
    <row r="193" spans="1:8" ht="27.6">
      <c r="A193" s="285"/>
      <c r="B193" s="280" t="s">
        <v>503</v>
      </c>
      <c r="C193" s="356">
        <f>(7.36*2.6*0+24.83)*0</f>
        <v>0</v>
      </c>
      <c r="D193" s="280" t="s">
        <v>5</v>
      </c>
      <c r="E193" s="281">
        <f>'BQ MAPLE'!E193</f>
        <v>13629458</v>
      </c>
      <c r="F193" s="281">
        <f t="shared" si="11"/>
        <v>0</v>
      </c>
    </row>
    <row r="194" spans="1:8" ht="27.6">
      <c r="A194" s="285"/>
      <c r="B194" s="280" t="s">
        <v>504</v>
      </c>
      <c r="C194" s="361">
        <v>30.65</v>
      </c>
      <c r="D194" s="280" t="s">
        <v>5</v>
      </c>
      <c r="E194" s="281">
        <f>'BQ MAPLE'!E194</f>
        <v>65000</v>
      </c>
      <c r="F194" s="281">
        <f t="shared" si="11"/>
        <v>1992250</v>
      </c>
    </row>
    <row r="195" spans="1:8" ht="41.4">
      <c r="A195" s="285"/>
      <c r="B195" s="280" t="s">
        <v>505</v>
      </c>
      <c r="C195" s="361">
        <f>0.9*2.7</f>
        <v>2.4300000000000002</v>
      </c>
      <c r="D195" s="280" t="s">
        <v>5</v>
      </c>
      <c r="E195" s="281">
        <f>'BQ MAPLE'!E195</f>
        <v>431653.84113680152</v>
      </c>
      <c r="F195" s="281">
        <f t="shared" si="11"/>
        <v>1048918.8339624277</v>
      </c>
    </row>
    <row r="196" spans="1:8" ht="41.4">
      <c r="A196" s="285"/>
      <c r="B196" s="280" t="s">
        <v>506</v>
      </c>
      <c r="C196" s="361">
        <f>0.9*2.7</f>
        <v>2.4300000000000002</v>
      </c>
      <c r="D196" s="280" t="s">
        <v>5</v>
      </c>
      <c r="E196" s="281">
        <f>'BQ MAPLE'!E196</f>
        <v>431653.84113680152</v>
      </c>
      <c r="F196" s="281">
        <f>+C196*E196</f>
        <v>1048918.8339624277</v>
      </c>
    </row>
    <row r="197" spans="1:8" ht="27.6">
      <c r="A197" s="285"/>
      <c r="B197" s="280" t="s">
        <v>507</v>
      </c>
      <c r="C197" s="361">
        <f>4.15*2.55</f>
        <v>10.5825</v>
      </c>
      <c r="D197" s="280" t="s">
        <v>5</v>
      </c>
      <c r="E197" s="281">
        <f>'BQ MAPLE'!E197</f>
        <v>175000</v>
      </c>
      <c r="F197" s="281">
        <f t="shared" si="11"/>
        <v>1851937.5</v>
      </c>
    </row>
    <row r="198" spans="1:8">
      <c r="A198" s="285"/>
      <c r="B198" s="285"/>
      <c r="C198" s="361"/>
      <c r="D198" s="285"/>
      <c r="E198" s="281"/>
      <c r="F198" s="281">
        <f t="shared" si="11"/>
        <v>0</v>
      </c>
    </row>
    <row r="199" spans="1:8">
      <c r="A199" s="285"/>
      <c r="B199" s="280" t="s">
        <v>508</v>
      </c>
      <c r="C199" s="361"/>
      <c r="D199" s="285"/>
      <c r="E199" s="281"/>
      <c r="F199" s="281">
        <f t="shared" si="11"/>
        <v>0</v>
      </c>
    </row>
    <row r="200" spans="1:8" ht="27.6">
      <c r="A200" s="285"/>
      <c r="B200" s="280" t="s">
        <v>854</v>
      </c>
      <c r="C200" s="356">
        <v>0</v>
      </c>
      <c r="D200" s="280" t="s">
        <v>5</v>
      </c>
      <c r="E200" s="281">
        <f>'BQ MAPLE'!E200</f>
        <v>0</v>
      </c>
      <c r="F200" s="281">
        <f t="shared" si="11"/>
        <v>0</v>
      </c>
    </row>
    <row r="201" spans="1:8" ht="27.6">
      <c r="A201" s="285"/>
      <c r="B201" s="280" t="s">
        <v>509</v>
      </c>
      <c r="C201" s="356">
        <v>0</v>
      </c>
      <c r="D201" s="280" t="s">
        <v>5</v>
      </c>
      <c r="E201" s="281">
        <f>'BQ MAPLE'!E201</f>
        <v>0</v>
      </c>
      <c r="F201" s="281">
        <f t="shared" si="11"/>
        <v>0</v>
      </c>
    </row>
    <row r="202" spans="1:8">
      <c r="A202" s="285"/>
      <c r="B202" s="280" t="s">
        <v>510</v>
      </c>
      <c r="C202" s="356">
        <v>0</v>
      </c>
      <c r="D202" s="280" t="s">
        <v>8</v>
      </c>
      <c r="E202" s="281">
        <f>'BQ MAPLE'!E202</f>
        <v>0</v>
      </c>
      <c r="F202" s="281">
        <f t="shared" si="11"/>
        <v>0</v>
      </c>
    </row>
    <row r="203" spans="1:8" ht="27.6">
      <c r="A203" s="285"/>
      <c r="B203" s="280" t="s">
        <v>511</v>
      </c>
      <c r="C203" s="361">
        <f>0.6*10*2+5.8+3.3*2.3+0.6*5.5+3.85*1.95+1.8*1-0.5*1</f>
        <v>37.497500000000002</v>
      </c>
      <c r="D203" s="280" t="s">
        <v>5</v>
      </c>
      <c r="E203" s="281">
        <f>'BQ MAPLE'!E203</f>
        <v>66147.193181818177</v>
      </c>
      <c r="F203" s="281">
        <f t="shared" si="11"/>
        <v>2480354.3763352274</v>
      </c>
    </row>
    <row r="204" spans="1:8">
      <c r="A204" s="285"/>
      <c r="B204" s="286" t="s">
        <v>397</v>
      </c>
      <c r="C204" s="361"/>
      <c r="D204" s="280"/>
      <c r="E204" s="281"/>
      <c r="F204" s="281">
        <f t="shared" si="11"/>
        <v>0</v>
      </c>
    </row>
    <row r="205" spans="1:8" ht="27.6">
      <c r="A205" s="285"/>
      <c r="B205" s="367" t="s">
        <v>790</v>
      </c>
      <c r="C205" s="361">
        <f>C203</f>
        <v>37.497500000000002</v>
      </c>
      <c r="D205" s="280" t="s">
        <v>5</v>
      </c>
      <c r="E205" s="281">
        <f>'BQ MAPLE'!E205</f>
        <v>115600</v>
      </c>
      <c r="F205" s="281">
        <f>+C205*E205</f>
        <v>4334711</v>
      </c>
    </row>
    <row r="206" spans="1:8">
      <c r="A206" s="285"/>
      <c r="B206" s="286" t="s">
        <v>399</v>
      </c>
      <c r="C206" s="361"/>
      <c r="D206" s="280"/>
      <c r="E206" s="281"/>
      <c r="F206" s="281">
        <f>+C206*E206</f>
        <v>0</v>
      </c>
    </row>
    <row r="207" spans="1:8">
      <c r="A207" s="285"/>
      <c r="B207" s="280"/>
      <c r="C207" s="361"/>
      <c r="D207" s="280"/>
      <c r="E207" s="281"/>
      <c r="F207" s="281"/>
    </row>
    <row r="208" spans="1:8">
      <c r="A208" s="282" t="s">
        <v>17</v>
      </c>
      <c r="B208" s="282" t="s">
        <v>18</v>
      </c>
      <c r="C208" s="375"/>
      <c r="D208" s="282" t="s">
        <v>5</v>
      </c>
      <c r="E208" s="283"/>
      <c r="F208" s="284">
        <f>SUM(F209:F216)</f>
        <v>7915033.7500000009</v>
      </c>
      <c r="H208" s="415"/>
    </row>
    <row r="209" spans="1:6">
      <c r="A209" s="285"/>
      <c r="B209" s="280" t="s">
        <v>209</v>
      </c>
      <c r="C209" s="361"/>
      <c r="D209" s="280" t="s">
        <v>5</v>
      </c>
      <c r="E209" s="281"/>
      <c r="F209" s="281">
        <f>+C209*E209</f>
        <v>0</v>
      </c>
    </row>
    <row r="210" spans="1:6" ht="27.6">
      <c r="A210" s="285"/>
      <c r="B210" s="280" t="s">
        <v>210</v>
      </c>
      <c r="C210" s="361">
        <f>4.5*9.8+3.85*2.3-1.12*2.85+3.5*7.8-0.7*2.6-1.6*1-1.35*2.4</f>
        <v>70.40300000000002</v>
      </c>
      <c r="D210" s="280" t="s">
        <v>5</v>
      </c>
      <c r="E210" s="281">
        <f>'BQ MAPLE'!E210</f>
        <v>67500</v>
      </c>
      <c r="F210" s="281">
        <f t="shared" ref="F210:F216" si="12">+C210*E210</f>
        <v>4752202.5000000009</v>
      </c>
    </row>
    <row r="211" spans="1:6" ht="41.4">
      <c r="A211" s="285"/>
      <c r="B211" s="280" t="s">
        <v>512</v>
      </c>
      <c r="C211" s="361">
        <f>7.55*0.975+2.4*1.35+1.7*1.05</f>
        <v>12.38625</v>
      </c>
      <c r="D211" s="280" t="s">
        <v>5</v>
      </c>
      <c r="E211" s="281">
        <f>'BQ MAPLE'!E211</f>
        <v>85000</v>
      </c>
      <c r="F211" s="281">
        <f t="shared" si="12"/>
        <v>1052831.25</v>
      </c>
    </row>
    <row r="212" spans="1:6">
      <c r="A212" s="285"/>
      <c r="B212" s="280" t="s">
        <v>211</v>
      </c>
      <c r="C212" s="361">
        <v>120</v>
      </c>
      <c r="D212" s="280" t="s">
        <v>8</v>
      </c>
      <c r="E212" s="281">
        <f>'BQ MAPLE'!E212</f>
        <v>15500</v>
      </c>
      <c r="F212" s="281">
        <f t="shared" si="12"/>
        <v>1860000</v>
      </c>
    </row>
    <row r="213" spans="1:6">
      <c r="A213" s="285"/>
      <c r="B213" s="280" t="s">
        <v>513</v>
      </c>
      <c r="C213" s="361">
        <v>1</v>
      </c>
      <c r="D213" s="280" t="s">
        <v>204</v>
      </c>
      <c r="E213" s="281">
        <f>'BQ MAPLE'!E213</f>
        <v>250000</v>
      </c>
      <c r="F213" s="281">
        <f t="shared" si="12"/>
        <v>250000</v>
      </c>
    </row>
    <row r="214" spans="1:6">
      <c r="A214" s="285"/>
      <c r="B214" s="286" t="s">
        <v>397</v>
      </c>
      <c r="C214" s="361"/>
      <c r="D214" s="280"/>
      <c r="E214" s="281"/>
      <c r="F214" s="281">
        <f t="shared" si="12"/>
        <v>0</v>
      </c>
    </row>
    <row r="215" spans="1:6">
      <c r="A215" s="285"/>
      <c r="B215" s="286" t="s">
        <v>398</v>
      </c>
      <c r="C215" s="361"/>
      <c r="D215" s="280"/>
      <c r="E215" s="281"/>
      <c r="F215" s="281">
        <f t="shared" si="12"/>
        <v>0</v>
      </c>
    </row>
    <row r="216" spans="1:6">
      <c r="A216" s="285"/>
      <c r="B216" s="286" t="s">
        <v>399</v>
      </c>
      <c r="C216" s="361"/>
      <c r="D216" s="280"/>
      <c r="E216" s="281"/>
      <c r="F216" s="281">
        <f t="shared" si="12"/>
        <v>0</v>
      </c>
    </row>
    <row r="217" spans="1:6">
      <c r="A217" s="285"/>
      <c r="B217" s="280"/>
      <c r="C217" s="361"/>
      <c r="D217" s="280"/>
      <c r="E217" s="281"/>
      <c r="F217" s="281"/>
    </row>
    <row r="218" spans="1:6">
      <c r="A218" s="282" t="s">
        <v>19</v>
      </c>
      <c r="B218" s="282" t="s">
        <v>20</v>
      </c>
      <c r="C218" s="375"/>
      <c r="D218" s="282" t="s">
        <v>5</v>
      </c>
      <c r="E218" s="283"/>
      <c r="F218" s="284">
        <f>SUM(F219:F233)</f>
        <v>8317475</v>
      </c>
    </row>
    <row r="219" spans="1:6">
      <c r="A219" s="285"/>
      <c r="B219" s="280" t="s">
        <v>212</v>
      </c>
      <c r="C219" s="361"/>
      <c r="D219" s="280" t="s">
        <v>5</v>
      </c>
      <c r="E219" s="281"/>
      <c r="F219" s="281">
        <f t="shared" ref="F219:F223" si="13">+C219*E219</f>
        <v>0</v>
      </c>
    </row>
    <row r="220" spans="1:6" ht="27.6">
      <c r="A220" s="285"/>
      <c r="B220" s="280" t="s">
        <v>210</v>
      </c>
      <c r="C220" s="361">
        <f>7.75*2.3+1.6*0.75+1.5*2.4+1.75*1.3+3.75*3.1+3.8*3+4.5*5.15+3*0.65+1*2.05</f>
        <v>75.099999999999994</v>
      </c>
      <c r="D220" s="280" t="s">
        <v>5</v>
      </c>
      <c r="E220" s="281">
        <f>'BQ MAPLE'!E220</f>
        <v>67500</v>
      </c>
      <c r="F220" s="281">
        <f t="shared" si="13"/>
        <v>5069250</v>
      </c>
    </row>
    <row r="221" spans="1:6" ht="41.4">
      <c r="A221" s="285"/>
      <c r="B221" s="280" t="s">
        <v>512</v>
      </c>
      <c r="C221" s="361">
        <f>1*3.75+3*1.75+1.75*1.9+1*0.6+1.7*1.1</f>
        <v>14.794999999999998</v>
      </c>
      <c r="D221" s="280" t="s">
        <v>5</v>
      </c>
      <c r="E221" s="281">
        <f>'BQ MAPLE'!E221</f>
        <v>85000</v>
      </c>
      <c r="F221" s="281">
        <f t="shared" si="13"/>
        <v>1257574.9999999998</v>
      </c>
    </row>
    <row r="222" spans="1:6">
      <c r="A222" s="285"/>
      <c r="B222" s="280" t="s">
        <v>211</v>
      </c>
      <c r="C222" s="361">
        <f>112.3</f>
        <v>112.3</v>
      </c>
      <c r="D222" s="280" t="s">
        <v>8</v>
      </c>
      <c r="E222" s="281">
        <f>'BQ MAPLE'!E222</f>
        <v>15500</v>
      </c>
      <c r="F222" s="281">
        <f t="shared" si="13"/>
        <v>1740650</v>
      </c>
    </row>
    <row r="223" spans="1:6">
      <c r="A223" s="285"/>
      <c r="B223" s="280" t="s">
        <v>513</v>
      </c>
      <c r="C223" s="361">
        <v>1</v>
      </c>
      <c r="D223" s="280" t="s">
        <v>204</v>
      </c>
      <c r="E223" s="281">
        <f>'BQ MAPLE'!E223</f>
        <v>250000</v>
      </c>
      <c r="F223" s="281">
        <f t="shared" si="13"/>
        <v>250000</v>
      </c>
    </row>
    <row r="224" spans="1:6">
      <c r="A224" s="285"/>
      <c r="B224" s="285"/>
      <c r="C224" s="361"/>
      <c r="D224" s="285"/>
      <c r="E224" s="281"/>
      <c r="F224" s="281"/>
    </row>
    <row r="225" spans="1:6">
      <c r="A225" s="285"/>
      <c r="B225" s="280" t="s">
        <v>514</v>
      </c>
      <c r="C225" s="361"/>
      <c r="D225" s="285"/>
      <c r="E225" s="281"/>
      <c r="F225" s="281"/>
    </row>
    <row r="226" spans="1:6" ht="27.6">
      <c r="A226" s="285"/>
      <c r="B226" s="280" t="s">
        <v>210</v>
      </c>
      <c r="C226" s="356">
        <v>0</v>
      </c>
      <c r="D226" s="280" t="s">
        <v>5</v>
      </c>
      <c r="E226" s="281">
        <v>0</v>
      </c>
      <c r="F226" s="281">
        <f t="shared" ref="F226:F233" si="14">+C226*E226</f>
        <v>0</v>
      </c>
    </row>
    <row r="227" spans="1:6" ht="41.4">
      <c r="A227" s="285"/>
      <c r="B227" s="280" t="s">
        <v>512</v>
      </c>
      <c r="C227" s="356">
        <v>0</v>
      </c>
      <c r="D227" s="280" t="s">
        <v>5</v>
      </c>
      <c r="E227" s="281">
        <v>0</v>
      </c>
      <c r="F227" s="281">
        <f t="shared" si="14"/>
        <v>0</v>
      </c>
    </row>
    <row r="228" spans="1:6">
      <c r="A228" s="285"/>
      <c r="B228" s="280" t="s">
        <v>211</v>
      </c>
      <c r="C228" s="356">
        <v>0</v>
      </c>
      <c r="D228" s="280" t="s">
        <v>8</v>
      </c>
      <c r="E228" s="281">
        <v>0</v>
      </c>
      <c r="F228" s="281">
        <f t="shared" si="14"/>
        <v>0</v>
      </c>
    </row>
    <row r="229" spans="1:6" ht="27.6">
      <c r="A229" s="285"/>
      <c r="B229" s="280" t="s">
        <v>515</v>
      </c>
      <c r="C229" s="356">
        <v>0</v>
      </c>
      <c r="D229" s="280" t="s">
        <v>5</v>
      </c>
      <c r="E229" s="281">
        <v>0</v>
      </c>
      <c r="F229" s="281">
        <f t="shared" si="14"/>
        <v>0</v>
      </c>
    </row>
    <row r="230" spans="1:6">
      <c r="A230" s="285"/>
      <c r="B230" s="280" t="s">
        <v>516</v>
      </c>
      <c r="C230" s="356">
        <v>0</v>
      </c>
      <c r="D230" s="280" t="s">
        <v>204</v>
      </c>
      <c r="E230" s="281">
        <v>0</v>
      </c>
      <c r="F230" s="281">
        <f>+C230*E230</f>
        <v>0</v>
      </c>
    </row>
    <row r="231" spans="1:6">
      <c r="A231" s="285"/>
      <c r="B231" s="286" t="s">
        <v>397</v>
      </c>
      <c r="C231" s="361"/>
      <c r="D231" s="280"/>
      <c r="E231" s="281"/>
      <c r="F231" s="281">
        <f t="shared" si="14"/>
        <v>0</v>
      </c>
    </row>
    <row r="232" spans="1:6">
      <c r="A232" s="285"/>
      <c r="B232" s="286" t="s">
        <v>398</v>
      </c>
      <c r="C232" s="361"/>
      <c r="D232" s="280"/>
      <c r="E232" s="281"/>
      <c r="F232" s="281">
        <f t="shared" si="14"/>
        <v>0</v>
      </c>
    </row>
    <row r="233" spans="1:6">
      <c r="A233" s="285"/>
      <c r="B233" s="286" t="s">
        <v>399</v>
      </c>
      <c r="C233" s="361"/>
      <c r="D233" s="280"/>
      <c r="E233" s="281"/>
      <c r="F233" s="281">
        <f t="shared" si="14"/>
        <v>0</v>
      </c>
    </row>
    <row r="234" spans="1:6">
      <c r="A234" s="285"/>
      <c r="B234" s="280"/>
      <c r="C234" s="361"/>
      <c r="D234" s="280"/>
      <c r="E234" s="281"/>
      <c r="F234" s="281"/>
    </row>
    <row r="235" spans="1:6" ht="27.6">
      <c r="A235" s="282" t="s">
        <v>21</v>
      </c>
      <c r="B235" s="282" t="s">
        <v>22</v>
      </c>
      <c r="C235" s="375"/>
      <c r="D235" s="282" t="s">
        <v>5</v>
      </c>
      <c r="E235" s="283"/>
      <c r="F235" s="284">
        <f>SUM(F236:F243)</f>
        <v>69947503.299999997</v>
      </c>
    </row>
    <row r="236" spans="1:6">
      <c r="A236" s="285"/>
      <c r="B236" s="280" t="s">
        <v>213</v>
      </c>
      <c r="C236" s="361"/>
      <c r="D236" s="280" t="s">
        <v>5</v>
      </c>
      <c r="E236" s="281"/>
      <c r="F236" s="281">
        <f t="shared" ref="F236:F243" si="15">+C236*E236</f>
        <v>0</v>
      </c>
    </row>
    <row r="237" spans="1:6" ht="27.6">
      <c r="A237" s="285"/>
      <c r="B237" s="280" t="s">
        <v>214</v>
      </c>
      <c r="C237" s="421">
        <f>(88.9*4.25-51.98)*0+300</f>
        <v>300</v>
      </c>
      <c r="D237" s="280" t="s">
        <v>5</v>
      </c>
      <c r="E237" s="281">
        <f>'BQ MAPLE'!E237</f>
        <v>106861.25</v>
      </c>
      <c r="F237" s="281">
        <f t="shared" si="15"/>
        <v>32058375</v>
      </c>
    </row>
    <row r="238" spans="1:6">
      <c r="A238" s="285"/>
      <c r="B238" s="280" t="s">
        <v>215</v>
      </c>
      <c r="C238" s="361">
        <f>C237*2-38.8*4.25-138*0.35+100-16</f>
        <v>470.8</v>
      </c>
      <c r="D238" s="280" t="s">
        <v>5</v>
      </c>
      <c r="E238" s="281">
        <f>'BQ MAPLE'!E238</f>
        <v>56880</v>
      </c>
      <c r="F238" s="281">
        <f t="shared" si="15"/>
        <v>26779104</v>
      </c>
    </row>
    <row r="239" spans="1:6">
      <c r="A239" s="285"/>
      <c r="B239" s="280" t="s">
        <v>216</v>
      </c>
      <c r="C239" s="361">
        <f>371</f>
        <v>371</v>
      </c>
      <c r="D239" s="280" t="s">
        <v>5</v>
      </c>
      <c r="E239" s="281">
        <f>'BQ MAPLE'!E239</f>
        <v>14391.2</v>
      </c>
      <c r="F239" s="281">
        <f t="shared" si="15"/>
        <v>5339135.2</v>
      </c>
    </row>
    <row r="240" spans="1:6">
      <c r="A240" s="285"/>
      <c r="B240" s="280" t="s">
        <v>217</v>
      </c>
      <c r="C240" s="361">
        <v>265</v>
      </c>
      <c r="D240" s="280" t="s">
        <v>8</v>
      </c>
      <c r="E240" s="281">
        <f>'BQ MAPLE'!E240</f>
        <v>21776.94</v>
      </c>
      <c r="F240" s="281">
        <f t="shared" si="15"/>
        <v>5770889.0999999996</v>
      </c>
    </row>
    <row r="241" spans="1:6">
      <c r="A241" s="285"/>
      <c r="B241" s="286" t="s">
        <v>397</v>
      </c>
      <c r="C241" s="361"/>
      <c r="D241" s="280"/>
      <c r="E241" s="281"/>
      <c r="F241" s="281">
        <f t="shared" si="15"/>
        <v>0</v>
      </c>
    </row>
    <row r="242" spans="1:6">
      <c r="A242" s="285"/>
      <c r="B242" s="286" t="s">
        <v>398</v>
      </c>
      <c r="C242" s="361"/>
      <c r="D242" s="280"/>
      <c r="E242" s="281"/>
      <c r="F242" s="281">
        <f t="shared" si="15"/>
        <v>0</v>
      </c>
    </row>
    <row r="243" spans="1:6">
      <c r="A243" s="285"/>
      <c r="B243" s="286" t="s">
        <v>399</v>
      </c>
      <c r="C243" s="361"/>
      <c r="D243" s="280"/>
      <c r="E243" s="281"/>
      <c r="F243" s="281">
        <f t="shared" si="15"/>
        <v>0</v>
      </c>
    </row>
    <row r="244" spans="1:6">
      <c r="A244" s="285"/>
      <c r="B244" s="280"/>
      <c r="C244" s="361"/>
      <c r="D244" s="280"/>
      <c r="E244" s="281"/>
      <c r="F244" s="281"/>
    </row>
    <row r="245" spans="1:6" ht="27.6">
      <c r="A245" s="282" t="s">
        <v>23</v>
      </c>
      <c r="B245" s="282" t="s">
        <v>24</v>
      </c>
      <c r="C245" s="375"/>
      <c r="D245" s="282" t="s">
        <v>5</v>
      </c>
      <c r="E245" s="283"/>
      <c r="F245" s="284">
        <f>SUM(F246:F254)</f>
        <v>70735143.219999999</v>
      </c>
    </row>
    <row r="246" spans="1:6">
      <c r="A246" s="285"/>
      <c r="B246" s="280" t="s">
        <v>218</v>
      </c>
      <c r="C246" s="361"/>
      <c r="D246" s="280" t="s">
        <v>5</v>
      </c>
      <c r="E246" s="281"/>
      <c r="F246" s="281">
        <f t="shared" ref="F246:F254" si="16">+C246*E246</f>
        <v>0</v>
      </c>
    </row>
    <row r="247" spans="1:6" ht="27.6">
      <c r="A247" s="285"/>
      <c r="B247" s="280" t="s">
        <v>517</v>
      </c>
      <c r="C247" s="421">
        <f>(87.25*3.8+7.7*1.9-49.39)*0+288</f>
        <v>288</v>
      </c>
      <c r="D247" s="280" t="s">
        <v>5</v>
      </c>
      <c r="E247" s="281">
        <f>'BQ MAPLE'!E247</f>
        <v>106861.25</v>
      </c>
      <c r="F247" s="281">
        <f t="shared" si="16"/>
        <v>30776040</v>
      </c>
    </row>
    <row r="248" spans="1:6">
      <c r="A248" s="285"/>
      <c r="B248" s="280" t="s">
        <v>215</v>
      </c>
      <c r="C248" s="421">
        <f>(C247*2-23.8*3.8-7.7*1.9+35)*0+490</f>
        <v>490</v>
      </c>
      <c r="D248" s="280" t="s">
        <v>5</v>
      </c>
      <c r="E248" s="281">
        <f>'BQ MAPLE'!E248</f>
        <v>56880</v>
      </c>
      <c r="F248" s="281">
        <f t="shared" si="16"/>
        <v>27871200</v>
      </c>
    </row>
    <row r="249" spans="1:6">
      <c r="A249" s="285"/>
      <c r="B249" s="280" t="s">
        <v>216</v>
      </c>
      <c r="C249" s="421">
        <f>C248-40</f>
        <v>450</v>
      </c>
      <c r="D249" s="280" t="s">
        <v>5</v>
      </c>
      <c r="E249" s="281">
        <f>'BQ MAPLE'!E249</f>
        <v>14391.2</v>
      </c>
      <c r="F249" s="281">
        <f t="shared" si="16"/>
        <v>6476040</v>
      </c>
    </row>
    <row r="250" spans="1:6">
      <c r="A250" s="285"/>
      <c r="B250" s="280" t="s">
        <v>217</v>
      </c>
      <c r="C250" s="361">
        <v>213</v>
      </c>
      <c r="D250" s="280" t="s">
        <v>8</v>
      </c>
      <c r="E250" s="281">
        <f>'BQ MAPLE'!E250</f>
        <v>21776.94</v>
      </c>
      <c r="F250" s="281">
        <f t="shared" si="16"/>
        <v>4638488.22</v>
      </c>
    </row>
    <row r="251" spans="1:6">
      <c r="A251" s="285"/>
      <c r="B251" s="280" t="s">
        <v>518</v>
      </c>
      <c r="C251" s="361">
        <f>3.75*1+1.75*4+1.9*1.75+1*0.9</f>
        <v>14.975</v>
      </c>
      <c r="D251" s="280" t="s">
        <v>5</v>
      </c>
      <c r="E251" s="281">
        <f>'BQ MAPLE'!E251</f>
        <v>65000</v>
      </c>
      <c r="F251" s="281">
        <f t="shared" si="16"/>
        <v>973375</v>
      </c>
    </row>
    <row r="252" spans="1:6">
      <c r="A252" s="285"/>
      <c r="B252" s="286" t="s">
        <v>397</v>
      </c>
      <c r="C252" s="361"/>
      <c r="D252" s="280"/>
      <c r="E252" s="281"/>
      <c r="F252" s="281">
        <f t="shared" si="16"/>
        <v>0</v>
      </c>
    </row>
    <row r="253" spans="1:6">
      <c r="A253" s="285"/>
      <c r="B253" s="286" t="s">
        <v>398</v>
      </c>
      <c r="C253" s="361"/>
      <c r="D253" s="280"/>
      <c r="E253" s="281"/>
      <c r="F253" s="281">
        <f t="shared" si="16"/>
        <v>0</v>
      </c>
    </row>
    <row r="254" spans="1:6">
      <c r="A254" s="285"/>
      <c r="B254" s="286" t="s">
        <v>399</v>
      </c>
      <c r="C254" s="361"/>
      <c r="D254" s="280"/>
      <c r="E254" s="281"/>
      <c r="F254" s="281">
        <f t="shared" si="16"/>
        <v>0</v>
      </c>
    </row>
    <row r="255" spans="1:6">
      <c r="A255" s="285"/>
      <c r="B255" s="280"/>
      <c r="C255" s="361"/>
      <c r="D255" s="280"/>
      <c r="E255" s="281"/>
      <c r="F255" s="281"/>
    </row>
    <row r="256" spans="1:6" ht="27.6">
      <c r="A256" s="282" t="s">
        <v>519</v>
      </c>
      <c r="B256" s="282" t="s">
        <v>520</v>
      </c>
      <c r="C256" s="375">
        <v>1</v>
      </c>
      <c r="D256" s="282" t="s">
        <v>8</v>
      </c>
      <c r="E256" s="283"/>
      <c r="F256" s="284">
        <f>SUM(F257:F264)</f>
        <v>8072332.7175000003</v>
      </c>
    </row>
    <row r="257" spans="1:6">
      <c r="A257" s="285"/>
      <c r="B257" s="280" t="s">
        <v>521</v>
      </c>
      <c r="C257" s="361">
        <v>1</v>
      </c>
      <c r="D257" s="280" t="s">
        <v>8</v>
      </c>
      <c r="E257" s="281"/>
      <c r="F257" s="281">
        <f>+C257*E257</f>
        <v>0</v>
      </c>
    </row>
    <row r="258" spans="1:6" ht="27.6">
      <c r="A258" s="285"/>
      <c r="B258" s="280" t="s">
        <v>517</v>
      </c>
      <c r="C258" s="361">
        <f>18.9*1.5</f>
        <v>28.349999999999998</v>
      </c>
      <c r="D258" s="280" t="s">
        <v>5</v>
      </c>
      <c r="E258" s="281">
        <f>'BQ MAPLE'!E258</f>
        <v>106861.25</v>
      </c>
      <c r="F258" s="281">
        <f t="shared" ref="F258:F264" si="17">+C258*E258</f>
        <v>3029516.4375</v>
      </c>
    </row>
    <row r="259" spans="1:6">
      <c r="A259" s="285"/>
      <c r="B259" s="280" t="s">
        <v>215</v>
      </c>
      <c r="C259" s="361">
        <f>C258*2</f>
        <v>56.699999999999996</v>
      </c>
      <c r="D259" s="280" t="s">
        <v>5</v>
      </c>
      <c r="E259" s="281">
        <f>'BQ MAPLE'!E259</f>
        <v>56880</v>
      </c>
      <c r="F259" s="281">
        <f t="shared" si="17"/>
        <v>3225095.9999999995</v>
      </c>
    </row>
    <row r="260" spans="1:6">
      <c r="A260" s="285"/>
      <c r="B260" s="280" t="s">
        <v>216</v>
      </c>
      <c r="C260" s="361">
        <f>C259</f>
        <v>56.699999999999996</v>
      </c>
      <c r="D260" s="280" t="s">
        <v>5</v>
      </c>
      <c r="E260" s="281">
        <f>'BQ MAPLE'!E260</f>
        <v>14391.2</v>
      </c>
      <c r="F260" s="281">
        <f t="shared" si="17"/>
        <v>815981.04</v>
      </c>
    </row>
    <row r="261" spans="1:6">
      <c r="A261" s="285"/>
      <c r="B261" s="280" t="s">
        <v>217</v>
      </c>
      <c r="C261" s="361">
        <v>46</v>
      </c>
      <c r="D261" s="280" t="s">
        <v>8</v>
      </c>
      <c r="E261" s="281">
        <f>'BQ MAPLE'!E261</f>
        <v>21776.94</v>
      </c>
      <c r="F261" s="281">
        <f t="shared" si="17"/>
        <v>1001739.24</v>
      </c>
    </row>
    <row r="262" spans="1:6">
      <c r="A262" s="285"/>
      <c r="B262" s="286" t="s">
        <v>397</v>
      </c>
      <c r="C262" s="361"/>
      <c r="D262" s="280"/>
      <c r="E262" s="281"/>
      <c r="F262" s="281">
        <f t="shared" si="17"/>
        <v>0</v>
      </c>
    </row>
    <row r="263" spans="1:6">
      <c r="A263" s="285"/>
      <c r="B263" s="286" t="s">
        <v>398</v>
      </c>
      <c r="C263" s="361"/>
      <c r="D263" s="280"/>
      <c r="E263" s="281"/>
      <c r="F263" s="281">
        <f t="shared" si="17"/>
        <v>0</v>
      </c>
    </row>
    <row r="264" spans="1:6">
      <c r="A264" s="285"/>
      <c r="B264" s="286" t="s">
        <v>399</v>
      </c>
      <c r="C264" s="361"/>
      <c r="D264" s="280"/>
      <c r="E264" s="281"/>
      <c r="F264" s="281">
        <f t="shared" si="17"/>
        <v>0</v>
      </c>
    </row>
    <row r="265" spans="1:6">
      <c r="A265" s="285"/>
      <c r="B265" s="280"/>
      <c r="C265" s="361"/>
      <c r="D265" s="280"/>
      <c r="E265" s="281"/>
      <c r="F265" s="281"/>
    </row>
    <row r="266" spans="1:6" ht="27.6">
      <c r="A266" s="282" t="s">
        <v>219</v>
      </c>
      <c r="B266" s="282" t="s">
        <v>220</v>
      </c>
      <c r="C266" s="375">
        <v>1</v>
      </c>
      <c r="D266" s="282" t="s">
        <v>6</v>
      </c>
      <c r="E266" s="283"/>
      <c r="F266" s="284">
        <f>SUM(F267:F277)</f>
        <v>8812080.7760000005</v>
      </c>
    </row>
    <row r="267" spans="1:6">
      <c r="A267" s="285"/>
      <c r="B267" s="280" t="s">
        <v>522</v>
      </c>
      <c r="C267" s="361"/>
      <c r="D267" s="280" t="s">
        <v>6</v>
      </c>
      <c r="E267" s="281"/>
      <c r="F267" s="281">
        <f>+C267*E267</f>
        <v>0</v>
      </c>
    </row>
    <row r="268" spans="1:6">
      <c r="A268" s="285"/>
      <c r="B268" s="280" t="s">
        <v>221</v>
      </c>
      <c r="C268" s="361">
        <f>20*2</f>
        <v>40</v>
      </c>
      <c r="D268" s="280" t="s">
        <v>6</v>
      </c>
      <c r="E268" s="360">
        <f>'BQ MAPLE'!E268</f>
        <v>21776.94</v>
      </c>
      <c r="F268" s="281">
        <f t="shared" ref="F268:F277" si="18">+C268*E268</f>
        <v>871077.6</v>
      </c>
    </row>
    <row r="269" spans="1:6" ht="27.6">
      <c r="A269" s="285"/>
      <c r="B269" s="280" t="s">
        <v>222</v>
      </c>
      <c r="C269" s="361">
        <v>20</v>
      </c>
      <c r="D269" s="280" t="s">
        <v>5</v>
      </c>
      <c r="E269" s="360">
        <f>'BQ MAPLE'!E269</f>
        <v>115600</v>
      </c>
      <c r="F269" s="281">
        <f t="shared" si="18"/>
        <v>2312000</v>
      </c>
    </row>
    <row r="270" spans="1:6" ht="27.6">
      <c r="A270" s="285"/>
      <c r="B270" s="280" t="s">
        <v>223</v>
      </c>
      <c r="C270" s="361">
        <v>20</v>
      </c>
      <c r="D270" s="280" t="s">
        <v>8</v>
      </c>
      <c r="E270" s="360">
        <f>'BQ MAPLE'!E270</f>
        <v>27150</v>
      </c>
      <c r="F270" s="281">
        <f t="shared" si="18"/>
        <v>543000</v>
      </c>
    </row>
    <row r="271" spans="1:6" ht="27.6">
      <c r="A271" s="285"/>
      <c r="B271" s="280" t="s">
        <v>224</v>
      </c>
      <c r="C271" s="361">
        <v>20</v>
      </c>
      <c r="D271" s="280" t="s">
        <v>5</v>
      </c>
      <c r="E271" s="360">
        <f>'BQ MAPLE'!E271</f>
        <v>24434.400000000001</v>
      </c>
      <c r="F271" s="281">
        <f t="shared" si="18"/>
        <v>488688</v>
      </c>
    </row>
    <row r="272" spans="1:6">
      <c r="A272" s="285"/>
      <c r="B272" s="280" t="s">
        <v>523</v>
      </c>
      <c r="C272" s="356">
        <v>0</v>
      </c>
      <c r="D272" s="280" t="s">
        <v>8</v>
      </c>
      <c r="E272" s="360">
        <f>'BQ MAPLE'!E272</f>
        <v>27150</v>
      </c>
      <c r="F272" s="281">
        <f t="shared" si="18"/>
        <v>0</v>
      </c>
    </row>
    <row r="273" spans="1:6">
      <c r="A273" s="285"/>
      <c r="B273" s="280" t="s">
        <v>524</v>
      </c>
      <c r="C273" s="361">
        <v>52.5</v>
      </c>
      <c r="D273" s="280" t="s">
        <v>8</v>
      </c>
      <c r="E273" s="360">
        <f>'BQ MAPLE'!E273</f>
        <v>33750</v>
      </c>
      <c r="F273" s="281">
        <f t="shared" si="18"/>
        <v>1771875</v>
      </c>
    </row>
    <row r="274" spans="1:6">
      <c r="A274" s="285"/>
      <c r="B274" s="280" t="s">
        <v>525</v>
      </c>
      <c r="C274" s="361">
        <f>8.6*1.4</f>
        <v>12.04</v>
      </c>
      <c r="D274" s="280" t="s">
        <v>5</v>
      </c>
      <c r="E274" s="360">
        <f>'BQ MAPLE'!E274</f>
        <v>24434.400000000001</v>
      </c>
      <c r="F274" s="281">
        <f t="shared" si="18"/>
        <v>294190.17599999998</v>
      </c>
    </row>
    <row r="275" spans="1:6">
      <c r="A275" s="285"/>
      <c r="B275" s="286" t="s">
        <v>397</v>
      </c>
      <c r="C275" s="361"/>
      <c r="D275" s="280"/>
      <c r="E275" s="281"/>
      <c r="F275" s="281">
        <f t="shared" si="18"/>
        <v>0</v>
      </c>
    </row>
    <row r="276" spans="1:6">
      <c r="A276" s="285"/>
      <c r="B276" s="286" t="s">
        <v>834</v>
      </c>
      <c r="C276" s="361">
        <v>75</v>
      </c>
      <c r="D276" s="280" t="s">
        <v>8</v>
      </c>
      <c r="E276" s="281">
        <f>E273</f>
        <v>33750</v>
      </c>
      <c r="F276" s="281">
        <f t="shared" si="18"/>
        <v>2531250</v>
      </c>
    </row>
    <row r="277" spans="1:6">
      <c r="A277" s="285"/>
      <c r="B277" s="286" t="s">
        <v>399</v>
      </c>
      <c r="C277" s="361"/>
      <c r="D277" s="280"/>
      <c r="E277" s="281"/>
      <c r="F277" s="281">
        <f t="shared" si="18"/>
        <v>0</v>
      </c>
    </row>
    <row r="278" spans="1:6">
      <c r="A278" s="285"/>
      <c r="B278" s="280"/>
      <c r="C278" s="361"/>
      <c r="D278" s="280"/>
      <c r="E278" s="281"/>
      <c r="F278" s="281"/>
    </row>
    <row r="279" spans="1:6">
      <c r="A279" s="282" t="s">
        <v>25</v>
      </c>
      <c r="B279" s="282" t="s">
        <v>26</v>
      </c>
      <c r="C279" s="375"/>
      <c r="D279" s="282" t="s">
        <v>5</v>
      </c>
      <c r="E279" s="283"/>
      <c r="F279" s="284">
        <f>SUM(F280:F297)</f>
        <v>29742367.590090089</v>
      </c>
    </row>
    <row r="280" spans="1:6">
      <c r="A280" s="285"/>
      <c r="B280" s="280" t="s">
        <v>225</v>
      </c>
      <c r="C280" s="361"/>
      <c r="D280" s="280" t="s">
        <v>5</v>
      </c>
      <c r="E280" s="281"/>
      <c r="F280" s="281">
        <f t="shared" ref="F280:F297" si="19">+C280*E280</f>
        <v>0</v>
      </c>
    </row>
    <row r="281" spans="1:6" ht="27.6">
      <c r="A281" s="285"/>
      <c r="B281" s="280" t="s">
        <v>526</v>
      </c>
      <c r="C281" s="361">
        <v>55</v>
      </c>
      <c r="D281" s="280" t="s">
        <v>5</v>
      </c>
      <c r="E281" s="360">
        <f>'BQ MAPLE'!E281</f>
        <v>115315.31531531531</v>
      </c>
      <c r="F281" s="281">
        <f t="shared" si="19"/>
        <v>6342342.3423423423</v>
      </c>
    </row>
    <row r="282" spans="1:6" ht="27.6">
      <c r="A282" s="285"/>
      <c r="B282" s="280" t="s">
        <v>527</v>
      </c>
      <c r="C282" s="361">
        <f>C281*1.05</f>
        <v>57.75</v>
      </c>
      <c r="D282" s="280" t="s">
        <v>5</v>
      </c>
      <c r="E282" s="360">
        <f>'BQ MAPLE'!E282</f>
        <v>116317.56756756756</v>
      </c>
      <c r="F282" s="281">
        <f t="shared" si="19"/>
        <v>6717339.5270270268</v>
      </c>
    </row>
    <row r="283" spans="1:6" ht="27.6">
      <c r="A283" s="285"/>
      <c r="B283" s="280" t="s">
        <v>226</v>
      </c>
      <c r="C283" s="361">
        <v>10</v>
      </c>
      <c r="D283" s="280" t="s">
        <v>8</v>
      </c>
      <c r="E283" s="360">
        <f>'BQ MAPLE'!E283</f>
        <v>237572.07207207207</v>
      </c>
      <c r="F283" s="281">
        <f t="shared" si="19"/>
        <v>2375720.7207207205</v>
      </c>
    </row>
    <row r="284" spans="1:6">
      <c r="A284" s="285"/>
      <c r="B284" s="280" t="s">
        <v>227</v>
      </c>
      <c r="C284" s="356">
        <v>0</v>
      </c>
      <c r="D284" s="280" t="s">
        <v>204</v>
      </c>
      <c r="E284" s="360">
        <f>'BQ MAPLE'!E284</f>
        <v>0</v>
      </c>
      <c r="F284" s="281">
        <f t="shared" si="19"/>
        <v>0</v>
      </c>
    </row>
    <row r="285" spans="1:6" ht="27.6">
      <c r="A285" s="285"/>
      <c r="B285" s="280" t="s">
        <v>528</v>
      </c>
      <c r="C285" s="356">
        <v>0</v>
      </c>
      <c r="D285" s="280" t="s">
        <v>204</v>
      </c>
      <c r="E285" s="360">
        <f>'BQ MAPLE'!E285</f>
        <v>0</v>
      </c>
      <c r="F285" s="281">
        <f t="shared" si="19"/>
        <v>0</v>
      </c>
    </row>
    <row r="286" spans="1:6">
      <c r="A286" s="285"/>
      <c r="B286" s="280" t="s">
        <v>529</v>
      </c>
      <c r="C286" s="356">
        <v>0</v>
      </c>
      <c r="D286" s="280" t="s">
        <v>8</v>
      </c>
      <c r="E286" s="360">
        <f>'BQ MAPLE'!E286</f>
        <v>56000</v>
      </c>
      <c r="F286" s="281">
        <f t="shared" si="19"/>
        <v>0</v>
      </c>
    </row>
    <row r="287" spans="1:6">
      <c r="A287" s="285"/>
      <c r="B287" s="280" t="s">
        <v>530</v>
      </c>
      <c r="C287" s="356">
        <v>0</v>
      </c>
      <c r="D287" s="280" t="s">
        <v>8</v>
      </c>
      <c r="E287" s="360">
        <f>'BQ MAPLE'!E287</f>
        <v>0</v>
      </c>
      <c r="F287" s="281">
        <f t="shared" si="19"/>
        <v>0</v>
      </c>
    </row>
    <row r="288" spans="1:6">
      <c r="A288" s="285"/>
      <c r="B288" s="280" t="s">
        <v>531</v>
      </c>
      <c r="C288" s="361">
        <v>17</v>
      </c>
      <c r="D288" s="280" t="s">
        <v>8</v>
      </c>
      <c r="E288" s="360">
        <f>'BQ MAPLE'!E288</f>
        <v>237125</v>
      </c>
      <c r="F288" s="281">
        <f t="shared" si="19"/>
        <v>4031125</v>
      </c>
    </row>
    <row r="289" spans="1:6" ht="27.6">
      <c r="A289" s="285"/>
      <c r="B289" s="280" t="s">
        <v>828</v>
      </c>
      <c r="C289" s="361">
        <f>0.75*2.75</f>
        <v>2.0625</v>
      </c>
      <c r="D289" s="280" t="s">
        <v>5</v>
      </c>
      <c r="E289" s="360">
        <f>'BQ MAPLE'!E289</f>
        <v>850000</v>
      </c>
      <c r="F289" s="281">
        <f t="shared" si="19"/>
        <v>1753125</v>
      </c>
    </row>
    <row r="290" spans="1:6" ht="27.6">
      <c r="A290" s="285"/>
      <c r="B290" s="280" t="s">
        <v>532</v>
      </c>
      <c r="C290" s="361">
        <f>0.5*1.1</f>
        <v>0.55000000000000004</v>
      </c>
      <c r="D290" s="280" t="s">
        <v>5</v>
      </c>
      <c r="E290" s="360">
        <f>'BQ MAPLE'!E290</f>
        <v>850000</v>
      </c>
      <c r="F290" s="281">
        <f t="shared" si="19"/>
        <v>467500.00000000006</v>
      </c>
    </row>
    <row r="291" spans="1:6" ht="27.6">
      <c r="A291" s="285"/>
      <c r="B291" s="280" t="s">
        <v>830</v>
      </c>
      <c r="C291" s="361">
        <f>1.73*0.95</f>
        <v>1.6435</v>
      </c>
      <c r="D291" s="280" t="s">
        <v>5</v>
      </c>
      <c r="E291" s="360">
        <f>'BQ MAPLE'!E291</f>
        <v>850000</v>
      </c>
      <c r="F291" s="281">
        <f t="shared" si="19"/>
        <v>1396975</v>
      </c>
    </row>
    <row r="292" spans="1:6" ht="27.6">
      <c r="A292" s="285"/>
      <c r="B292" s="280" t="s">
        <v>831</v>
      </c>
      <c r="C292" s="361">
        <f>2*2.25</f>
        <v>4.5</v>
      </c>
      <c r="D292" s="280" t="s">
        <v>5</v>
      </c>
      <c r="E292" s="360">
        <f>'BQ MAPLE'!E292</f>
        <v>1050000</v>
      </c>
      <c r="F292" s="281">
        <f t="shared" si="19"/>
        <v>4725000</v>
      </c>
    </row>
    <row r="293" spans="1:6" ht="27.6">
      <c r="A293" s="285"/>
      <c r="B293" s="280" t="s">
        <v>533</v>
      </c>
      <c r="C293" s="361">
        <f>0.6*2.3</f>
        <v>1.38</v>
      </c>
      <c r="D293" s="280" t="s">
        <v>5</v>
      </c>
      <c r="E293" s="360">
        <f>'BQ MAPLE'!E293</f>
        <v>850000</v>
      </c>
      <c r="F293" s="281">
        <f t="shared" si="19"/>
        <v>1173000</v>
      </c>
    </row>
    <row r="294" spans="1:6" ht="27.6">
      <c r="A294" s="285"/>
      <c r="B294" s="280" t="s">
        <v>534</v>
      </c>
      <c r="C294" s="361">
        <f>1.72*0.52</f>
        <v>0.89439999999999997</v>
      </c>
      <c r="D294" s="280" t="s">
        <v>5</v>
      </c>
      <c r="E294" s="360">
        <f>'BQ MAPLE'!E294</f>
        <v>850000</v>
      </c>
      <c r="F294" s="281">
        <f t="shared" si="19"/>
        <v>760240</v>
      </c>
    </row>
    <row r="295" spans="1:6">
      <c r="A295" s="285"/>
      <c r="B295" s="286" t="s">
        <v>397</v>
      </c>
      <c r="C295" s="280"/>
      <c r="D295" s="280"/>
      <c r="E295" s="281"/>
      <c r="F295" s="281">
        <f t="shared" si="19"/>
        <v>0</v>
      </c>
    </row>
    <row r="296" spans="1:6">
      <c r="A296" s="285"/>
      <c r="B296" s="286" t="s">
        <v>398</v>
      </c>
      <c r="C296" s="280"/>
      <c r="D296" s="280"/>
      <c r="E296" s="281"/>
      <c r="F296" s="281">
        <f t="shared" si="19"/>
        <v>0</v>
      </c>
    </row>
    <row r="297" spans="1:6">
      <c r="A297" s="285"/>
      <c r="B297" s="286" t="s">
        <v>399</v>
      </c>
      <c r="C297" s="280"/>
      <c r="D297" s="280"/>
      <c r="E297" s="281"/>
      <c r="F297" s="281">
        <f t="shared" si="19"/>
        <v>0</v>
      </c>
    </row>
    <row r="298" spans="1:6">
      <c r="A298" s="285"/>
      <c r="B298" s="286"/>
      <c r="C298" s="280"/>
      <c r="D298" s="280"/>
      <c r="E298" s="281"/>
      <c r="F298" s="281"/>
    </row>
    <row r="299" spans="1:6" ht="27.6">
      <c r="A299" s="282" t="s">
        <v>228</v>
      </c>
      <c r="B299" s="282" t="s">
        <v>229</v>
      </c>
      <c r="C299" s="282"/>
      <c r="D299" s="282" t="s">
        <v>7</v>
      </c>
      <c r="E299" s="283"/>
      <c r="F299" s="284">
        <f>SUM(F300:F339)+112500000</f>
        <v>173647733.52252251</v>
      </c>
    </row>
    <row r="300" spans="1:6" ht="27.6">
      <c r="A300" s="285"/>
      <c r="B300" s="280" t="s">
        <v>535</v>
      </c>
      <c r="C300" s="280"/>
      <c r="D300" s="280" t="s">
        <v>7</v>
      </c>
      <c r="E300" s="281"/>
      <c r="F300" s="281">
        <f t="shared" ref="F300:F339" si="20">+C300*E300</f>
        <v>0</v>
      </c>
    </row>
    <row r="301" spans="1:6">
      <c r="A301" s="285"/>
      <c r="B301" s="280" t="s">
        <v>536</v>
      </c>
      <c r="C301" s="280">
        <v>1</v>
      </c>
      <c r="D301" s="280" t="s">
        <v>204</v>
      </c>
      <c r="E301" s="281">
        <f>4664234*0</f>
        <v>0</v>
      </c>
      <c r="F301" s="281">
        <f t="shared" si="20"/>
        <v>0</v>
      </c>
    </row>
    <row r="302" spans="1:6">
      <c r="A302" s="285"/>
      <c r="B302" s="280" t="s">
        <v>537</v>
      </c>
      <c r="C302" s="280">
        <f>1</f>
        <v>1</v>
      </c>
      <c r="D302" s="280" t="s">
        <v>204</v>
      </c>
      <c r="E302" s="281">
        <f>28441018*0</f>
        <v>0</v>
      </c>
      <c r="F302" s="281">
        <f t="shared" si="20"/>
        <v>0</v>
      </c>
    </row>
    <row r="303" spans="1:6">
      <c r="A303" s="285"/>
      <c r="B303" s="280" t="s">
        <v>538</v>
      </c>
      <c r="C303" s="280">
        <f>1</f>
        <v>1</v>
      </c>
      <c r="D303" s="280" t="s">
        <v>204</v>
      </c>
      <c r="E303" s="281">
        <f>10681808*0</f>
        <v>0</v>
      </c>
      <c r="F303" s="281">
        <f t="shared" si="20"/>
        <v>0</v>
      </c>
    </row>
    <row r="304" spans="1:6">
      <c r="A304" s="285"/>
      <c r="B304" s="280" t="s">
        <v>539</v>
      </c>
      <c r="C304" s="356">
        <v>0</v>
      </c>
      <c r="D304" s="280" t="s">
        <v>204</v>
      </c>
      <c r="E304" s="360">
        <v>0</v>
      </c>
      <c r="F304" s="281">
        <f t="shared" si="20"/>
        <v>0</v>
      </c>
    </row>
    <row r="305" spans="1:6">
      <c r="A305" s="285"/>
      <c r="B305" s="280" t="s">
        <v>540</v>
      </c>
      <c r="C305" s="280">
        <f>0+1</f>
        <v>1</v>
      </c>
      <c r="D305" s="280" t="s">
        <v>204</v>
      </c>
      <c r="E305" s="281">
        <f>4795295*0</f>
        <v>0</v>
      </c>
      <c r="F305" s="281">
        <f t="shared" si="20"/>
        <v>0</v>
      </c>
    </row>
    <row r="306" spans="1:6">
      <c r="A306" s="285"/>
      <c r="B306" s="280" t="s">
        <v>541</v>
      </c>
      <c r="C306" s="280">
        <f>0+1</f>
        <v>1</v>
      </c>
      <c r="D306" s="280" t="s">
        <v>204</v>
      </c>
      <c r="E306" s="281">
        <f>4453907*0</f>
        <v>0</v>
      </c>
      <c r="F306" s="281">
        <f t="shared" si="20"/>
        <v>0</v>
      </c>
    </row>
    <row r="307" spans="1:6">
      <c r="A307" s="285"/>
      <c r="B307" s="280" t="s">
        <v>542</v>
      </c>
      <c r="C307" s="280">
        <f>0+1</f>
        <v>1</v>
      </c>
      <c r="D307" s="280" t="s">
        <v>204</v>
      </c>
      <c r="E307" s="281">
        <f>19094658*0</f>
        <v>0</v>
      </c>
      <c r="F307" s="281">
        <f t="shared" si="20"/>
        <v>0</v>
      </c>
    </row>
    <row r="308" spans="1:6">
      <c r="A308" s="285"/>
      <c r="B308" s="280" t="s">
        <v>543</v>
      </c>
      <c r="C308" s="356">
        <v>0</v>
      </c>
      <c r="D308" s="280" t="s">
        <v>204</v>
      </c>
      <c r="E308" s="281">
        <v>0</v>
      </c>
      <c r="F308" s="281">
        <f t="shared" si="20"/>
        <v>0</v>
      </c>
    </row>
    <row r="309" spans="1:6">
      <c r="A309" s="285"/>
      <c r="B309" s="280" t="s">
        <v>544</v>
      </c>
      <c r="C309" s="356">
        <v>1</v>
      </c>
      <c r="D309" s="280" t="s">
        <v>204</v>
      </c>
      <c r="E309" s="281">
        <f>6951325*0</f>
        <v>0</v>
      </c>
      <c r="F309" s="281">
        <f t="shared" si="20"/>
        <v>0</v>
      </c>
    </row>
    <row r="310" spans="1:6">
      <c r="A310" s="285"/>
      <c r="B310" s="280" t="s">
        <v>545</v>
      </c>
      <c r="C310" s="356">
        <v>0</v>
      </c>
      <c r="D310" s="280" t="s">
        <v>204</v>
      </c>
      <c r="E310" s="281">
        <v>0</v>
      </c>
      <c r="F310" s="281">
        <f t="shared" si="20"/>
        <v>0</v>
      </c>
    </row>
    <row r="311" spans="1:6">
      <c r="A311" s="285"/>
      <c r="B311" s="280" t="s">
        <v>546</v>
      </c>
      <c r="C311" s="356">
        <v>1</v>
      </c>
      <c r="D311" s="280" t="s">
        <v>204</v>
      </c>
      <c r="E311" s="281">
        <f>8411650*0</f>
        <v>0</v>
      </c>
      <c r="F311" s="281">
        <f t="shared" si="20"/>
        <v>0</v>
      </c>
    </row>
    <row r="312" spans="1:6">
      <c r="A312" s="285"/>
      <c r="B312" s="280" t="s">
        <v>547</v>
      </c>
      <c r="C312" s="356">
        <v>1</v>
      </c>
      <c r="D312" s="280" t="s">
        <v>204</v>
      </c>
      <c r="E312" s="281">
        <f>7043439*0</f>
        <v>0</v>
      </c>
      <c r="F312" s="281">
        <f t="shared" si="20"/>
        <v>0</v>
      </c>
    </row>
    <row r="313" spans="1:6">
      <c r="A313" s="285"/>
      <c r="B313" s="280" t="s">
        <v>548</v>
      </c>
      <c r="C313" s="356">
        <v>1</v>
      </c>
      <c r="D313" s="280" t="s">
        <v>204</v>
      </c>
      <c r="E313" s="281">
        <f>1060040*0</f>
        <v>0</v>
      </c>
      <c r="F313" s="281">
        <f t="shared" si="20"/>
        <v>0</v>
      </c>
    </row>
    <row r="314" spans="1:6">
      <c r="A314" s="285"/>
      <c r="B314" s="280" t="s">
        <v>549</v>
      </c>
      <c r="C314" s="356">
        <v>1</v>
      </c>
      <c r="D314" s="280" t="s">
        <v>204</v>
      </c>
      <c r="E314" s="281">
        <f>2872584*0</f>
        <v>0</v>
      </c>
      <c r="F314" s="281">
        <f t="shared" si="20"/>
        <v>0</v>
      </c>
    </row>
    <row r="315" spans="1:6">
      <c r="A315" s="285"/>
      <c r="B315" s="280" t="s">
        <v>550</v>
      </c>
      <c r="C315" s="356">
        <v>1</v>
      </c>
      <c r="D315" s="280" t="s">
        <v>204</v>
      </c>
      <c r="E315" s="281">
        <f>3353630*0</f>
        <v>0</v>
      </c>
      <c r="F315" s="281">
        <f t="shared" si="20"/>
        <v>0</v>
      </c>
    </row>
    <row r="316" spans="1:6">
      <c r="A316" s="285"/>
      <c r="B316" s="280" t="s">
        <v>551</v>
      </c>
      <c r="C316" s="356">
        <v>1</v>
      </c>
      <c r="D316" s="280" t="s">
        <v>204</v>
      </c>
      <c r="E316" s="281">
        <f>2877006*0</f>
        <v>0</v>
      </c>
      <c r="F316" s="281">
        <f t="shared" si="20"/>
        <v>0</v>
      </c>
    </row>
    <row r="317" spans="1:6">
      <c r="A317" s="285"/>
      <c r="B317" s="280" t="s">
        <v>552</v>
      </c>
      <c r="C317" s="356">
        <v>1</v>
      </c>
      <c r="D317" s="280" t="s">
        <v>204</v>
      </c>
      <c r="E317" s="281">
        <f>3374719*0</f>
        <v>0</v>
      </c>
      <c r="F317" s="281">
        <f t="shared" si="20"/>
        <v>0</v>
      </c>
    </row>
    <row r="318" spans="1:6">
      <c r="A318" s="285"/>
      <c r="B318" s="280" t="s">
        <v>553</v>
      </c>
      <c r="C318" s="356">
        <v>1</v>
      </c>
      <c r="D318" s="280" t="s">
        <v>204</v>
      </c>
      <c r="E318" s="281">
        <f>3401785*0</f>
        <v>0</v>
      </c>
      <c r="F318" s="281">
        <f t="shared" si="20"/>
        <v>0</v>
      </c>
    </row>
    <row r="319" spans="1:6">
      <c r="A319" s="285"/>
      <c r="B319" s="280" t="s">
        <v>554</v>
      </c>
      <c r="C319" s="356">
        <v>1</v>
      </c>
      <c r="D319" s="280" t="s">
        <v>204</v>
      </c>
      <c r="E319" s="281">
        <f>5528272*0</f>
        <v>0</v>
      </c>
      <c r="F319" s="281">
        <f t="shared" si="20"/>
        <v>0</v>
      </c>
    </row>
    <row r="320" spans="1:6">
      <c r="A320" s="285"/>
      <c r="B320" s="280" t="s">
        <v>555</v>
      </c>
      <c r="C320" s="356">
        <v>1</v>
      </c>
      <c r="D320" s="280" t="s">
        <v>204</v>
      </c>
      <c r="E320" s="281">
        <f>460334*0</f>
        <v>0</v>
      </c>
      <c r="F320" s="281">
        <f t="shared" si="20"/>
        <v>0</v>
      </c>
    </row>
    <row r="321" spans="1:6">
      <c r="A321" s="285"/>
      <c r="B321" s="280" t="s">
        <v>556</v>
      </c>
      <c r="C321" s="356">
        <v>0</v>
      </c>
      <c r="D321" s="280" t="s">
        <v>204</v>
      </c>
      <c r="E321" s="281">
        <v>0</v>
      </c>
      <c r="F321" s="281">
        <f t="shared" si="20"/>
        <v>0</v>
      </c>
    </row>
    <row r="322" spans="1:6">
      <c r="A322" s="285"/>
      <c r="B322" s="280" t="s">
        <v>557</v>
      </c>
      <c r="C322" s="356">
        <v>0</v>
      </c>
      <c r="D322" s="280" t="s">
        <v>204</v>
      </c>
      <c r="E322" s="281">
        <v>0</v>
      </c>
      <c r="F322" s="281">
        <f t="shared" si="20"/>
        <v>0</v>
      </c>
    </row>
    <row r="323" spans="1:6">
      <c r="A323" s="285"/>
      <c r="B323" s="285"/>
      <c r="C323" s="280"/>
      <c r="D323" s="285"/>
      <c r="E323" s="281"/>
      <c r="F323" s="281">
        <f t="shared" si="20"/>
        <v>0</v>
      </c>
    </row>
    <row r="324" spans="1:6">
      <c r="A324" s="285"/>
      <c r="B324" s="280" t="s">
        <v>558</v>
      </c>
      <c r="C324" s="280"/>
      <c r="D324" s="285"/>
      <c r="E324" s="281"/>
      <c r="F324" s="281">
        <f t="shared" si="20"/>
        <v>0</v>
      </c>
    </row>
    <row r="325" spans="1:6">
      <c r="A325" s="285"/>
      <c r="B325" s="280" t="s">
        <v>559</v>
      </c>
      <c r="C325" s="280"/>
      <c r="D325" s="285"/>
      <c r="E325" s="281"/>
      <c r="F325" s="281">
        <f t="shared" si="20"/>
        <v>0</v>
      </c>
    </row>
    <row r="326" spans="1:6">
      <c r="A326" s="285"/>
      <c r="B326" s="280" t="s">
        <v>560</v>
      </c>
      <c r="C326" s="280">
        <f>1</f>
        <v>1</v>
      </c>
      <c r="D326" s="280" t="s">
        <v>204</v>
      </c>
      <c r="E326" s="281">
        <f>'BQ MAPLE'!E326</f>
        <v>2802319.8198198196</v>
      </c>
      <c r="F326" s="281">
        <f t="shared" si="20"/>
        <v>2802319.8198198196</v>
      </c>
    </row>
    <row r="327" spans="1:6">
      <c r="A327" s="285"/>
      <c r="B327" s="280" t="s">
        <v>561</v>
      </c>
      <c r="C327" s="280">
        <f>2</f>
        <v>2</v>
      </c>
      <c r="D327" s="280" t="s">
        <v>204</v>
      </c>
      <c r="E327" s="281">
        <f>'BQ MAPLE'!E327</f>
        <v>4516261.261261262</v>
      </c>
      <c r="F327" s="281">
        <f t="shared" si="20"/>
        <v>9032522.522522524</v>
      </c>
    </row>
    <row r="328" spans="1:6">
      <c r="A328" s="285"/>
      <c r="B328" s="280" t="s">
        <v>562</v>
      </c>
      <c r="C328" s="280">
        <f>1</f>
        <v>1</v>
      </c>
      <c r="D328" s="280" t="s">
        <v>204</v>
      </c>
      <c r="E328" s="281">
        <f>'BQ MAPLE'!E328</f>
        <v>4705450.4504504511</v>
      </c>
      <c r="F328" s="281">
        <f t="shared" si="20"/>
        <v>4705450.4504504511</v>
      </c>
    </row>
    <row r="329" spans="1:6">
      <c r="A329" s="285"/>
      <c r="B329" s="280" t="s">
        <v>563</v>
      </c>
      <c r="C329" s="280">
        <f>1</f>
        <v>1</v>
      </c>
      <c r="D329" s="280" t="s">
        <v>204</v>
      </c>
      <c r="E329" s="281">
        <f>'BQ MAPLE'!E329</f>
        <v>4955450.4504504511</v>
      </c>
      <c r="F329" s="281">
        <f t="shared" si="20"/>
        <v>4955450.4504504511</v>
      </c>
    </row>
    <row r="330" spans="1:6">
      <c r="A330" s="285"/>
      <c r="B330" s="280" t="s">
        <v>564</v>
      </c>
      <c r="C330" s="280">
        <f>1</f>
        <v>1</v>
      </c>
      <c r="D330" s="280" t="s">
        <v>204</v>
      </c>
      <c r="E330" s="281">
        <f>'BQ MAPLE'!E330</f>
        <v>10837197.486486485</v>
      </c>
      <c r="F330" s="281">
        <f t="shared" si="20"/>
        <v>10837197.486486485</v>
      </c>
    </row>
    <row r="331" spans="1:6">
      <c r="A331" s="285"/>
      <c r="B331" s="280" t="s">
        <v>565</v>
      </c>
      <c r="C331" s="280">
        <f>1</f>
        <v>1</v>
      </c>
      <c r="D331" s="280" t="s">
        <v>204</v>
      </c>
      <c r="E331" s="281">
        <f>'BQ MAPLE'!E331</f>
        <v>4134819.8198198201</v>
      </c>
      <c r="F331" s="281">
        <f t="shared" si="20"/>
        <v>4134819.8198198201</v>
      </c>
    </row>
    <row r="332" spans="1:6">
      <c r="A332" s="285"/>
      <c r="B332" s="285"/>
      <c r="C332" s="280"/>
      <c r="D332" s="285"/>
      <c r="E332" s="281">
        <f>'BQ MAPLE'!E332</f>
        <v>0</v>
      </c>
      <c r="F332" s="281">
        <f t="shared" si="20"/>
        <v>0</v>
      </c>
    </row>
    <row r="333" spans="1:6">
      <c r="A333" s="285"/>
      <c r="B333" s="280" t="s">
        <v>566</v>
      </c>
      <c r="C333" s="280"/>
      <c r="D333" s="285"/>
      <c r="E333" s="281">
        <f>'BQ MAPLE'!E333</f>
        <v>0</v>
      </c>
      <c r="F333" s="281">
        <f t="shared" si="20"/>
        <v>0</v>
      </c>
    </row>
    <row r="334" spans="1:6">
      <c r="A334" s="285"/>
      <c r="B334" s="280" t="s">
        <v>567</v>
      </c>
      <c r="C334" s="280">
        <f>3</f>
        <v>3</v>
      </c>
      <c r="D334" s="280" t="s">
        <v>204</v>
      </c>
      <c r="E334" s="281">
        <f>'BQ MAPLE'!E334</f>
        <v>4955450.4504504511</v>
      </c>
      <c r="F334" s="281">
        <f t="shared" si="20"/>
        <v>14866351.351351354</v>
      </c>
    </row>
    <row r="335" spans="1:6">
      <c r="A335" s="285"/>
      <c r="B335" s="280" t="s">
        <v>568</v>
      </c>
      <c r="C335" s="280">
        <f>1</f>
        <v>1</v>
      </c>
      <c r="D335" s="280" t="s">
        <v>204</v>
      </c>
      <c r="E335" s="281">
        <f>'BQ MAPLE'!E335</f>
        <v>4705450.4504504511</v>
      </c>
      <c r="F335" s="281">
        <f t="shared" si="20"/>
        <v>4705450.4504504511</v>
      </c>
    </row>
    <row r="336" spans="1:6">
      <c r="A336" s="285"/>
      <c r="B336" s="280" t="s">
        <v>569</v>
      </c>
      <c r="C336" s="280">
        <f>1</f>
        <v>1</v>
      </c>
      <c r="D336" s="280" t="s">
        <v>204</v>
      </c>
      <c r="E336" s="281">
        <f>'BQ MAPLE'!E336</f>
        <v>5108171.1711711707</v>
      </c>
      <c r="F336" s="281">
        <f t="shared" si="20"/>
        <v>5108171.1711711707</v>
      </c>
    </row>
    <row r="337" spans="1:6">
      <c r="A337" s="285"/>
      <c r="B337" s="286" t="s">
        <v>397</v>
      </c>
      <c r="C337" s="280"/>
      <c r="D337" s="280"/>
      <c r="E337" s="281"/>
      <c r="F337" s="281">
        <f t="shared" si="20"/>
        <v>0</v>
      </c>
    </row>
    <row r="338" spans="1:6">
      <c r="A338" s="285"/>
      <c r="B338" s="286"/>
      <c r="C338" s="359"/>
      <c r="D338" s="280"/>
      <c r="E338" s="360"/>
      <c r="F338" s="281">
        <f t="shared" si="20"/>
        <v>0</v>
      </c>
    </row>
    <row r="339" spans="1:6">
      <c r="A339" s="285"/>
      <c r="B339" s="286"/>
      <c r="C339" s="280"/>
      <c r="D339" s="280"/>
      <c r="E339" s="360"/>
      <c r="F339" s="281">
        <f t="shared" si="20"/>
        <v>0</v>
      </c>
    </row>
    <row r="340" spans="1:6">
      <c r="A340" s="285"/>
      <c r="B340" s="280"/>
      <c r="C340" s="280"/>
      <c r="D340" s="280"/>
      <c r="E340" s="281"/>
      <c r="F340" s="281"/>
    </row>
    <row r="341" spans="1:6" ht="27.6">
      <c r="A341" s="282" t="s">
        <v>27</v>
      </c>
      <c r="B341" s="282" t="s">
        <v>28</v>
      </c>
      <c r="C341" s="282"/>
      <c r="D341" s="282" t="s">
        <v>5</v>
      </c>
      <c r="E341" s="283"/>
      <c r="F341" s="284">
        <f>SUM(F342:F349)</f>
        <v>13804241.77251984</v>
      </c>
    </row>
    <row r="342" spans="1:6">
      <c r="A342" s="285"/>
      <c r="B342" s="280" t="s">
        <v>230</v>
      </c>
      <c r="C342" s="280"/>
      <c r="D342" s="280" t="s">
        <v>5</v>
      </c>
      <c r="E342" s="281"/>
      <c r="F342" s="281">
        <f t="shared" ref="F342:F349" si="21">+C342*E342</f>
        <v>0</v>
      </c>
    </row>
    <row r="343" spans="1:6">
      <c r="A343" s="285"/>
      <c r="B343" s="280" t="s">
        <v>570</v>
      </c>
      <c r="C343" s="361">
        <f>107*0+54</f>
        <v>54</v>
      </c>
      <c r="D343" s="280" t="s">
        <v>5</v>
      </c>
      <c r="E343" s="281">
        <f>'BQ MAPLE'!E343</f>
        <v>41282.142857142855</v>
      </c>
      <c r="F343" s="281">
        <f t="shared" si="21"/>
        <v>2229235.7142857141</v>
      </c>
    </row>
    <row r="344" spans="1:6">
      <c r="A344" s="285"/>
      <c r="B344" s="280" t="s">
        <v>571</v>
      </c>
      <c r="C344" s="361">
        <f>(88.1*3.5-58.73-20.23)*0+330</f>
        <v>330</v>
      </c>
      <c r="D344" s="280" t="s">
        <v>5</v>
      </c>
      <c r="E344" s="281">
        <f>'BQ MAPLE'!E344</f>
        <v>27631.349206349205</v>
      </c>
      <c r="F344" s="281">
        <f t="shared" si="21"/>
        <v>9118345.2380952369</v>
      </c>
    </row>
    <row r="345" spans="1:6">
      <c r="A345" s="285"/>
      <c r="B345" s="280" t="s">
        <v>572</v>
      </c>
      <c r="C345" s="361">
        <f>C210</f>
        <v>70.40300000000002</v>
      </c>
      <c r="D345" s="280" t="s">
        <v>5</v>
      </c>
      <c r="E345" s="281">
        <f>'BQ MAPLE'!E345</f>
        <v>27631.349206349205</v>
      </c>
      <c r="F345" s="281">
        <f t="shared" si="21"/>
        <v>1945329.8781746037</v>
      </c>
    </row>
    <row r="346" spans="1:6">
      <c r="A346" s="285"/>
      <c r="B346" s="280" t="s">
        <v>573</v>
      </c>
      <c r="C346" s="361">
        <f>C211</f>
        <v>12.38625</v>
      </c>
      <c r="D346" s="280" t="s">
        <v>5</v>
      </c>
      <c r="E346" s="281">
        <f>'BQ MAPLE'!E346</f>
        <v>41282.142857142855</v>
      </c>
      <c r="F346" s="281">
        <f>+C346*E346</f>
        <v>511330.94196428568</v>
      </c>
    </row>
    <row r="347" spans="1:6">
      <c r="A347" s="285"/>
      <c r="B347" s="286" t="s">
        <v>397</v>
      </c>
      <c r="C347" s="361"/>
      <c r="D347" s="280"/>
      <c r="E347" s="281"/>
      <c r="F347" s="281">
        <f t="shared" si="21"/>
        <v>0</v>
      </c>
    </row>
    <row r="348" spans="1:6">
      <c r="A348" s="285"/>
      <c r="B348" s="286" t="s">
        <v>398</v>
      </c>
      <c r="C348" s="361"/>
      <c r="D348" s="280"/>
      <c r="E348" s="281"/>
      <c r="F348" s="281">
        <f t="shared" si="21"/>
        <v>0</v>
      </c>
    </row>
    <row r="349" spans="1:6">
      <c r="A349" s="285"/>
      <c r="B349" s="286" t="s">
        <v>399</v>
      </c>
      <c r="C349" s="361"/>
      <c r="D349" s="280"/>
      <c r="E349" s="281"/>
      <c r="F349" s="281">
        <f t="shared" si="21"/>
        <v>0</v>
      </c>
    </row>
    <row r="350" spans="1:6">
      <c r="A350" s="285"/>
      <c r="B350" s="280"/>
      <c r="C350" s="361"/>
      <c r="D350" s="280"/>
      <c r="E350" s="281"/>
      <c r="F350" s="281"/>
    </row>
    <row r="351" spans="1:6" ht="27.6">
      <c r="A351" s="282" t="s">
        <v>231</v>
      </c>
      <c r="B351" s="282" t="s">
        <v>232</v>
      </c>
      <c r="C351" s="375"/>
      <c r="D351" s="282" t="s">
        <v>5</v>
      </c>
      <c r="E351" s="283"/>
      <c r="F351" s="284">
        <f>SUM(F352:F359)</f>
        <v>16440490.375</v>
      </c>
    </row>
    <row r="352" spans="1:6">
      <c r="A352" s="285"/>
      <c r="B352" s="280" t="s">
        <v>233</v>
      </c>
      <c r="C352" s="361"/>
      <c r="D352" s="280" t="s">
        <v>5</v>
      </c>
      <c r="E352" s="281"/>
      <c r="F352" s="281">
        <f t="shared" ref="F352:F359" si="22">+C352*E352</f>
        <v>0</v>
      </c>
    </row>
    <row r="353" spans="1:6">
      <c r="A353" s="285"/>
      <c r="B353" s="280" t="s">
        <v>570</v>
      </c>
      <c r="C353" s="361">
        <f>141*0+119</f>
        <v>119</v>
      </c>
      <c r="D353" s="280" t="s">
        <v>5</v>
      </c>
      <c r="E353" s="281">
        <f>'BQ MAPLE'!E353</f>
        <v>41282.142857142855</v>
      </c>
      <c r="F353" s="281">
        <f t="shared" si="22"/>
        <v>4912575</v>
      </c>
    </row>
    <row r="354" spans="1:6">
      <c r="A354" s="285"/>
      <c r="B354" s="280" t="s">
        <v>571</v>
      </c>
      <c r="C354" s="361">
        <f>(105.95*3.2-57.75-19-22)*0+320</f>
        <v>320</v>
      </c>
      <c r="D354" s="280" t="s">
        <v>5</v>
      </c>
      <c r="E354" s="281">
        <f>'BQ MAPLE'!E354</f>
        <v>27631.349206349205</v>
      </c>
      <c r="F354" s="281">
        <f t="shared" si="22"/>
        <v>8842031.7460317463</v>
      </c>
    </row>
    <row r="355" spans="1:6">
      <c r="A355" s="285"/>
      <c r="B355" s="280" t="s">
        <v>572</v>
      </c>
      <c r="C355" s="361">
        <f>C220</f>
        <v>75.099999999999994</v>
      </c>
      <c r="D355" s="280" t="s">
        <v>5</v>
      </c>
      <c r="E355" s="281">
        <f>'BQ MAPLE'!E355</f>
        <v>27631.349206349205</v>
      </c>
      <c r="F355" s="281">
        <f t="shared" si="22"/>
        <v>2075114.3253968251</v>
      </c>
    </row>
    <row r="356" spans="1:6">
      <c r="A356" s="285"/>
      <c r="B356" s="280" t="s">
        <v>573</v>
      </c>
      <c r="C356" s="361">
        <f>C221</f>
        <v>14.794999999999998</v>
      </c>
      <c r="D356" s="280" t="s">
        <v>5</v>
      </c>
      <c r="E356" s="281">
        <f>'BQ MAPLE'!E356</f>
        <v>41282.142857142855</v>
      </c>
      <c r="F356" s="281">
        <f t="shared" si="22"/>
        <v>610769.30357142852</v>
      </c>
    </row>
    <row r="357" spans="1:6">
      <c r="A357" s="285"/>
      <c r="B357" s="286" t="s">
        <v>397</v>
      </c>
      <c r="C357" s="361"/>
      <c r="D357" s="280"/>
      <c r="E357" s="281"/>
      <c r="F357" s="281">
        <f t="shared" si="22"/>
        <v>0</v>
      </c>
    </row>
    <row r="358" spans="1:6">
      <c r="A358" s="285"/>
      <c r="B358" s="286" t="s">
        <v>398</v>
      </c>
      <c r="C358" s="361"/>
      <c r="D358" s="280"/>
      <c r="E358" s="281"/>
      <c r="F358" s="281">
        <f t="shared" si="22"/>
        <v>0</v>
      </c>
    </row>
    <row r="359" spans="1:6">
      <c r="A359" s="285"/>
      <c r="B359" s="286" t="s">
        <v>399</v>
      </c>
      <c r="C359" s="361"/>
      <c r="D359" s="280"/>
      <c r="E359" s="281"/>
      <c r="F359" s="281">
        <f t="shared" si="22"/>
        <v>0</v>
      </c>
    </row>
    <row r="360" spans="1:6">
      <c r="A360" s="285"/>
      <c r="B360" s="280"/>
      <c r="C360" s="361"/>
      <c r="D360" s="280"/>
      <c r="E360" s="281"/>
      <c r="F360" s="281"/>
    </row>
    <row r="361" spans="1:6" ht="27.6">
      <c r="A361" s="282" t="s">
        <v>574</v>
      </c>
      <c r="B361" s="282" t="s">
        <v>575</v>
      </c>
      <c r="C361" s="375">
        <v>1</v>
      </c>
      <c r="D361" s="282" t="s">
        <v>8</v>
      </c>
      <c r="E361" s="283"/>
      <c r="F361" s="284">
        <f>SUM(F362:F369)</f>
        <v>2311800</v>
      </c>
    </row>
    <row r="362" spans="1:6">
      <c r="A362" s="285"/>
      <c r="B362" s="280" t="s">
        <v>576</v>
      </c>
      <c r="C362" s="361">
        <v>1</v>
      </c>
      <c r="D362" s="280" t="s">
        <v>8</v>
      </c>
      <c r="E362" s="281"/>
      <c r="F362" s="281">
        <f t="shared" ref="F362:F369" si="23">+C362*E362</f>
        <v>0</v>
      </c>
    </row>
    <row r="363" spans="1:6">
      <c r="A363" s="285"/>
      <c r="B363" s="280" t="s">
        <v>570</v>
      </c>
      <c r="C363" s="361">
        <f>56</f>
        <v>56</v>
      </c>
      <c r="D363" s="280" t="s">
        <v>5</v>
      </c>
      <c r="E363" s="281">
        <f>'BQ MAPLE'!E363</f>
        <v>41282.142857142855</v>
      </c>
      <c r="F363" s="281">
        <f t="shared" si="23"/>
        <v>2311800</v>
      </c>
    </row>
    <row r="364" spans="1:6">
      <c r="A364" s="285"/>
      <c r="B364" s="280" t="s">
        <v>571</v>
      </c>
      <c r="C364" s="356">
        <v>0</v>
      </c>
      <c r="D364" s="280" t="s">
        <v>5</v>
      </c>
      <c r="E364" s="281">
        <f>'BQ MAPLE'!E364</f>
        <v>27631.349206349205</v>
      </c>
      <c r="F364" s="281">
        <f t="shared" si="23"/>
        <v>0</v>
      </c>
    </row>
    <row r="365" spans="1:6">
      <c r="A365" s="285"/>
      <c r="B365" s="280" t="s">
        <v>572</v>
      </c>
      <c r="C365" s="356">
        <v>0</v>
      </c>
      <c r="D365" s="280" t="s">
        <v>5</v>
      </c>
      <c r="E365" s="281">
        <f>'BQ MAPLE'!E365</f>
        <v>27631.349206349205</v>
      </c>
      <c r="F365" s="281">
        <f t="shared" si="23"/>
        <v>0</v>
      </c>
    </row>
    <row r="366" spans="1:6">
      <c r="A366" s="285"/>
      <c r="B366" s="280" t="s">
        <v>573</v>
      </c>
      <c r="C366" s="356">
        <v>0</v>
      </c>
      <c r="D366" s="280" t="s">
        <v>5</v>
      </c>
      <c r="E366" s="281">
        <f>'BQ MAPLE'!E366</f>
        <v>41282.142857142855</v>
      </c>
      <c r="F366" s="281">
        <f t="shared" si="23"/>
        <v>0</v>
      </c>
    </row>
    <row r="367" spans="1:6">
      <c r="A367" s="285"/>
      <c r="B367" s="286" t="s">
        <v>397</v>
      </c>
      <c r="C367" s="361"/>
      <c r="D367" s="280"/>
      <c r="E367" s="281"/>
      <c r="F367" s="281">
        <f t="shared" si="23"/>
        <v>0</v>
      </c>
    </row>
    <row r="368" spans="1:6">
      <c r="A368" s="285"/>
      <c r="B368" s="286" t="s">
        <v>398</v>
      </c>
      <c r="C368" s="361"/>
      <c r="D368" s="280"/>
      <c r="E368" s="281"/>
      <c r="F368" s="281">
        <f t="shared" si="23"/>
        <v>0</v>
      </c>
    </row>
    <row r="369" spans="1:6">
      <c r="A369" s="285"/>
      <c r="B369" s="286" t="s">
        <v>399</v>
      </c>
      <c r="C369" s="361"/>
      <c r="D369" s="280"/>
      <c r="E369" s="281"/>
      <c r="F369" s="281">
        <f t="shared" si="23"/>
        <v>0</v>
      </c>
    </row>
    <row r="370" spans="1:6">
      <c r="A370" s="285"/>
      <c r="B370" s="280"/>
      <c r="C370" s="361"/>
      <c r="D370" s="280"/>
      <c r="E370" s="281"/>
      <c r="F370" s="281"/>
    </row>
    <row r="371" spans="1:6">
      <c r="A371" s="282" t="s">
        <v>234</v>
      </c>
      <c r="B371" s="282" t="s">
        <v>235</v>
      </c>
      <c r="C371" s="375"/>
      <c r="D371" s="282" t="s">
        <v>6</v>
      </c>
      <c r="E371" s="283"/>
      <c r="F371" s="284">
        <f>SUM(F372:F380)</f>
        <v>3087758.4285714282</v>
      </c>
    </row>
    <row r="372" spans="1:6">
      <c r="A372" s="285"/>
      <c r="B372" s="280" t="s">
        <v>577</v>
      </c>
      <c r="C372" s="361"/>
      <c r="D372" s="280" t="s">
        <v>6</v>
      </c>
      <c r="E372" s="281"/>
      <c r="F372" s="281">
        <f t="shared" ref="F372:F380" si="24">+C372*E372</f>
        <v>0</v>
      </c>
    </row>
    <row r="373" spans="1:6">
      <c r="A373" s="285"/>
      <c r="B373" s="280" t="s">
        <v>236</v>
      </c>
      <c r="C373" s="356">
        <v>0</v>
      </c>
      <c r="D373" s="280" t="s">
        <v>5</v>
      </c>
      <c r="E373" s="281">
        <f>'BQ MAPLE'!E373</f>
        <v>30953.571428571428</v>
      </c>
      <c r="F373" s="281">
        <f t="shared" si="24"/>
        <v>0</v>
      </c>
    </row>
    <row r="374" spans="1:6">
      <c r="A374" s="285"/>
      <c r="B374" s="280" t="s">
        <v>237</v>
      </c>
      <c r="C374" s="361">
        <f>C271+C274</f>
        <v>32.04</v>
      </c>
      <c r="D374" s="280" t="s">
        <v>5</v>
      </c>
      <c r="E374" s="281">
        <f>'BQ MAPLE'!E374</f>
        <v>41282.142857142855</v>
      </c>
      <c r="F374" s="281">
        <f t="shared" si="24"/>
        <v>1322679.857142857</v>
      </c>
    </row>
    <row r="375" spans="1:6">
      <c r="A375" s="285"/>
      <c r="B375" s="280" t="s">
        <v>238</v>
      </c>
      <c r="C375" s="361">
        <v>7</v>
      </c>
      <c r="D375" s="280" t="s">
        <v>8</v>
      </c>
      <c r="E375" s="281">
        <f>'BQ MAPLE'!E375</f>
        <v>55000</v>
      </c>
      <c r="F375" s="281">
        <f t="shared" si="24"/>
        <v>385000</v>
      </c>
    </row>
    <row r="376" spans="1:6">
      <c r="A376" s="285"/>
      <c r="B376" s="280" t="s">
        <v>578</v>
      </c>
      <c r="C376" s="361">
        <v>18</v>
      </c>
      <c r="D376" s="280" t="s">
        <v>8</v>
      </c>
      <c r="E376" s="281">
        <f>'BQ MAPLE'!E376</f>
        <v>41282.142857142855</v>
      </c>
      <c r="F376" s="281">
        <f t="shared" si="24"/>
        <v>743078.57142857136</v>
      </c>
    </row>
    <row r="377" spans="1:6">
      <c r="A377" s="285"/>
      <c r="B377" s="280" t="s">
        <v>579</v>
      </c>
      <c r="C377" s="356">
        <v>0</v>
      </c>
      <c r="D377" s="280" t="s">
        <v>8</v>
      </c>
      <c r="E377" s="281">
        <f>'BQ MAPLE'!E377</f>
        <v>0</v>
      </c>
      <c r="F377" s="281">
        <f t="shared" si="24"/>
        <v>0</v>
      </c>
    </row>
    <row r="378" spans="1:6">
      <c r="A378" s="285"/>
      <c r="B378" s="286" t="s">
        <v>397</v>
      </c>
      <c r="C378" s="361"/>
      <c r="D378" s="280"/>
      <c r="E378" s="281"/>
      <c r="F378" s="281">
        <f t="shared" si="24"/>
        <v>0</v>
      </c>
    </row>
    <row r="379" spans="1:6">
      <c r="A379" s="285"/>
      <c r="B379" s="367" t="s">
        <v>835</v>
      </c>
      <c r="C379" s="280">
        <f>C169*2</f>
        <v>9.8000000000000007</v>
      </c>
      <c r="D379" s="280" t="s">
        <v>5</v>
      </c>
      <c r="E379" s="360">
        <f>'BQ MAPLE'!E379</f>
        <v>65000</v>
      </c>
      <c r="F379" s="281">
        <f t="shared" si="24"/>
        <v>637000</v>
      </c>
    </row>
    <row r="380" spans="1:6">
      <c r="A380" s="285"/>
      <c r="B380" s="286" t="s">
        <v>399</v>
      </c>
      <c r="C380" s="361"/>
      <c r="D380" s="280"/>
      <c r="E380" s="281"/>
      <c r="F380" s="281">
        <f t="shared" si="24"/>
        <v>0</v>
      </c>
    </row>
    <row r="381" spans="1:6">
      <c r="A381" s="285"/>
      <c r="B381" s="280"/>
      <c r="C381" s="280"/>
      <c r="D381" s="280"/>
      <c r="E381" s="281"/>
      <c r="F381" s="281"/>
    </row>
    <row r="382" spans="1:6" ht="27.6">
      <c r="A382" s="282" t="s">
        <v>29</v>
      </c>
      <c r="B382" s="282" t="s">
        <v>30</v>
      </c>
      <c r="C382" s="282"/>
      <c r="D382" s="282" t="s">
        <v>7</v>
      </c>
      <c r="E382" s="283"/>
      <c r="F382" s="284">
        <f>SUM(F383:F415)</f>
        <v>48170350</v>
      </c>
    </row>
    <row r="383" spans="1:6">
      <c r="A383" s="285"/>
      <c r="B383" s="280" t="s">
        <v>580</v>
      </c>
      <c r="C383" s="280"/>
      <c r="D383" s="280" t="s">
        <v>7</v>
      </c>
      <c r="E383" s="281"/>
      <c r="F383" s="281">
        <f t="shared" ref="F383:F391" si="25">+C383*E383</f>
        <v>0</v>
      </c>
    </row>
    <row r="384" spans="1:6">
      <c r="A384" s="285"/>
      <c r="B384" s="280" t="s">
        <v>239</v>
      </c>
      <c r="C384" s="280"/>
      <c r="D384" s="285"/>
      <c r="E384" s="281"/>
      <c r="F384" s="281">
        <f t="shared" si="25"/>
        <v>0</v>
      </c>
    </row>
    <row r="385" spans="1:6">
      <c r="A385" s="285"/>
      <c r="B385" s="280" t="s">
        <v>581</v>
      </c>
      <c r="C385" s="280">
        <f>1+1</f>
        <v>2</v>
      </c>
      <c r="D385" s="280" t="s">
        <v>7</v>
      </c>
      <c r="E385" s="281">
        <f>'BQ MAPLE'!E385</f>
        <v>1244000</v>
      </c>
      <c r="F385" s="281">
        <f t="shared" si="25"/>
        <v>2488000</v>
      </c>
    </row>
    <row r="386" spans="1:6">
      <c r="A386" s="285"/>
      <c r="B386" s="280" t="s">
        <v>582</v>
      </c>
      <c r="C386" s="280">
        <f>1+1</f>
        <v>2</v>
      </c>
      <c r="D386" s="280" t="s">
        <v>7</v>
      </c>
      <c r="E386" s="281">
        <f>'BQ MAPLE'!E386</f>
        <v>2317000</v>
      </c>
      <c r="F386" s="281">
        <f t="shared" si="25"/>
        <v>4634000</v>
      </c>
    </row>
    <row r="387" spans="1:6">
      <c r="A387" s="285"/>
      <c r="B387" s="280" t="s">
        <v>240</v>
      </c>
      <c r="C387" s="280">
        <v>1</v>
      </c>
      <c r="D387" s="280" t="s">
        <v>7</v>
      </c>
      <c r="E387" s="281">
        <f>'BQ MAPLE'!E387</f>
        <v>1619600.0000000002</v>
      </c>
      <c r="F387" s="281">
        <f t="shared" si="25"/>
        <v>1619600.0000000002</v>
      </c>
    </row>
    <row r="388" spans="1:6">
      <c r="A388" s="285"/>
      <c r="B388" s="280" t="s">
        <v>241</v>
      </c>
      <c r="C388" s="280">
        <f>1+1</f>
        <v>2</v>
      </c>
      <c r="D388" s="280" t="s">
        <v>7</v>
      </c>
      <c r="E388" s="281">
        <f>'BQ MAPLE'!E388</f>
        <v>513400.00000000006</v>
      </c>
      <c r="F388" s="281">
        <f t="shared" si="25"/>
        <v>1026800.0000000001</v>
      </c>
    </row>
    <row r="389" spans="1:6">
      <c r="A389" s="285"/>
      <c r="B389" s="280" t="s">
        <v>242</v>
      </c>
      <c r="C389" s="280">
        <f>1+1</f>
        <v>2</v>
      </c>
      <c r="D389" s="280" t="s">
        <v>7</v>
      </c>
      <c r="E389" s="281">
        <f>'BQ MAPLE'!E389</f>
        <v>205950.00000000003</v>
      </c>
      <c r="F389" s="281">
        <f t="shared" si="25"/>
        <v>411900.00000000006</v>
      </c>
    </row>
    <row r="390" spans="1:6">
      <c r="A390" s="285"/>
      <c r="B390" s="280" t="s">
        <v>583</v>
      </c>
      <c r="C390" s="280">
        <v>4</v>
      </c>
      <c r="D390" s="280" t="s">
        <v>7</v>
      </c>
      <c r="E390" s="281">
        <f>'BQ MAPLE'!E390</f>
        <v>297950</v>
      </c>
      <c r="F390" s="281">
        <f t="shared" si="25"/>
        <v>1191800</v>
      </c>
    </row>
    <row r="391" spans="1:6">
      <c r="A391" s="285"/>
      <c r="B391" s="280" t="s">
        <v>243</v>
      </c>
      <c r="C391" s="280">
        <f>1+1</f>
        <v>2</v>
      </c>
      <c r="D391" s="280" t="s">
        <v>7</v>
      </c>
      <c r="E391" s="281">
        <f>'BQ MAPLE'!E391</f>
        <v>250000</v>
      </c>
      <c r="F391" s="281">
        <f t="shared" si="25"/>
        <v>500000</v>
      </c>
    </row>
    <row r="392" spans="1:6" ht="27.6">
      <c r="A392" s="285"/>
      <c r="B392" s="280" t="s">
        <v>584</v>
      </c>
      <c r="C392" s="280">
        <v>1</v>
      </c>
      <c r="D392" s="280" t="s">
        <v>7</v>
      </c>
      <c r="E392" s="281">
        <f>'BQ MAPLE'!E392</f>
        <v>1569600</v>
      </c>
      <c r="F392" s="281">
        <f>+C392*E392</f>
        <v>1569600</v>
      </c>
    </row>
    <row r="393" spans="1:6" ht="27.6">
      <c r="A393" s="285"/>
      <c r="B393" s="280" t="s">
        <v>585</v>
      </c>
      <c r="C393" s="280">
        <v>1</v>
      </c>
      <c r="D393" s="280" t="s">
        <v>7</v>
      </c>
      <c r="E393" s="281">
        <f>'BQ MAPLE'!E393</f>
        <v>5598400</v>
      </c>
      <c r="F393" s="281">
        <f>+C393*E393</f>
        <v>5598400</v>
      </c>
    </row>
    <row r="394" spans="1:6">
      <c r="A394" s="285"/>
      <c r="B394" s="285"/>
      <c r="C394" s="280"/>
      <c r="D394" s="285"/>
      <c r="E394" s="281"/>
      <c r="F394" s="281"/>
    </row>
    <row r="395" spans="1:6">
      <c r="A395" s="285"/>
      <c r="B395" s="280" t="s">
        <v>586</v>
      </c>
      <c r="C395" s="280"/>
      <c r="D395" s="285"/>
      <c r="E395" s="281"/>
      <c r="F395" s="281"/>
    </row>
    <row r="396" spans="1:6">
      <c r="A396" s="285"/>
      <c r="B396" s="280" t="s">
        <v>305</v>
      </c>
      <c r="C396" s="280">
        <v>1</v>
      </c>
      <c r="D396" s="280" t="s">
        <v>7</v>
      </c>
      <c r="E396" s="281">
        <f>'BQ MAPLE'!E396</f>
        <v>4247000</v>
      </c>
      <c r="F396" s="281">
        <f>+C396*E396</f>
        <v>4247000</v>
      </c>
    </row>
    <row r="397" spans="1:6">
      <c r="A397" s="285"/>
      <c r="B397" s="280" t="s">
        <v>244</v>
      </c>
      <c r="C397" s="280">
        <v>1</v>
      </c>
      <c r="D397" s="280" t="s">
        <v>7</v>
      </c>
      <c r="E397" s="281">
        <f>'BQ MAPLE'!E397</f>
        <v>205950.00000000003</v>
      </c>
      <c r="F397" s="281">
        <f t="shared" ref="F397:F412" si="26">+C397*E397</f>
        <v>205950.00000000003</v>
      </c>
    </row>
    <row r="398" spans="1:6">
      <c r="A398" s="285"/>
      <c r="B398" s="280" t="s">
        <v>587</v>
      </c>
      <c r="C398" s="280">
        <v>1</v>
      </c>
      <c r="D398" s="280" t="s">
        <v>7</v>
      </c>
      <c r="E398" s="281">
        <f>'BQ MAPLE'!E398</f>
        <v>5925000.0000000009</v>
      </c>
      <c r="F398" s="281">
        <f t="shared" si="26"/>
        <v>5925000.0000000009</v>
      </c>
    </row>
    <row r="399" spans="1:6">
      <c r="A399" s="285"/>
      <c r="B399" s="280" t="s">
        <v>306</v>
      </c>
      <c r="C399" s="280">
        <v>1</v>
      </c>
      <c r="D399" s="280" t="s">
        <v>7</v>
      </c>
      <c r="E399" s="281">
        <f>'BQ MAPLE'!E399</f>
        <v>1608600.0000000002</v>
      </c>
      <c r="F399" s="281">
        <f t="shared" si="26"/>
        <v>1608600.0000000002</v>
      </c>
    </row>
    <row r="400" spans="1:6">
      <c r="A400" s="285"/>
      <c r="B400" s="280" t="s">
        <v>588</v>
      </c>
      <c r="C400" s="280">
        <v>1</v>
      </c>
      <c r="D400" s="280" t="s">
        <v>7</v>
      </c>
      <c r="E400" s="281">
        <f>'BQ MAPLE'!E400</f>
        <v>1262500</v>
      </c>
      <c r="F400" s="281">
        <f t="shared" si="26"/>
        <v>1262500</v>
      </c>
    </row>
    <row r="401" spans="1:6">
      <c r="A401" s="285"/>
      <c r="B401" s="280" t="s">
        <v>583</v>
      </c>
      <c r="C401" s="280">
        <v>2</v>
      </c>
      <c r="D401" s="280" t="s">
        <v>7</v>
      </c>
      <c r="E401" s="281">
        <f>'BQ MAPLE'!E401</f>
        <v>297950</v>
      </c>
      <c r="F401" s="281">
        <f t="shared" si="26"/>
        <v>595900</v>
      </c>
    </row>
    <row r="402" spans="1:6">
      <c r="A402" s="285"/>
      <c r="B402" s="280" t="s">
        <v>243</v>
      </c>
      <c r="C402" s="280">
        <v>1</v>
      </c>
      <c r="D402" s="280" t="s">
        <v>7</v>
      </c>
      <c r="E402" s="281">
        <f>'BQ MAPLE'!E402</f>
        <v>250000</v>
      </c>
      <c r="F402" s="281">
        <f t="shared" si="26"/>
        <v>250000</v>
      </c>
    </row>
    <row r="403" spans="1:6">
      <c r="A403" s="285"/>
      <c r="B403" s="280" t="s">
        <v>589</v>
      </c>
      <c r="C403" s="280">
        <v>1</v>
      </c>
      <c r="D403" s="280" t="s">
        <v>7</v>
      </c>
      <c r="E403" s="281">
        <f>'BQ MAPLE'!E403</f>
        <v>6007600</v>
      </c>
      <c r="F403" s="281">
        <f t="shared" si="26"/>
        <v>6007600</v>
      </c>
    </row>
    <row r="404" spans="1:6">
      <c r="A404" s="285"/>
      <c r="B404" s="280" t="s">
        <v>590</v>
      </c>
      <c r="C404" s="280">
        <v>1</v>
      </c>
      <c r="D404" s="280" t="s">
        <v>7</v>
      </c>
      <c r="E404" s="281">
        <f>'BQ MAPLE'!E404</f>
        <v>3302500.0000000005</v>
      </c>
      <c r="F404" s="281">
        <f t="shared" si="26"/>
        <v>3302500.0000000005</v>
      </c>
    </row>
    <row r="405" spans="1:6">
      <c r="A405" s="285"/>
      <c r="B405" s="280" t="s">
        <v>591</v>
      </c>
      <c r="C405" s="280">
        <v>1</v>
      </c>
      <c r="D405" s="280" t="s">
        <v>7</v>
      </c>
      <c r="E405" s="281">
        <f>'BQ MAPLE'!E405</f>
        <v>1482500.0000000002</v>
      </c>
      <c r="F405" s="281">
        <f t="shared" si="26"/>
        <v>1482500.0000000002</v>
      </c>
    </row>
    <row r="406" spans="1:6" ht="27.6">
      <c r="A406" s="285"/>
      <c r="B406" s="280" t="s">
        <v>592</v>
      </c>
      <c r="C406" s="280">
        <v>1</v>
      </c>
      <c r="D406" s="280" t="s">
        <v>6</v>
      </c>
      <c r="E406" s="281">
        <f>'BQ MAPLE'!E406</f>
        <v>1200000</v>
      </c>
      <c r="F406" s="281">
        <f t="shared" si="26"/>
        <v>1200000</v>
      </c>
    </row>
    <row r="407" spans="1:6">
      <c r="A407" s="285"/>
      <c r="B407" s="285"/>
      <c r="C407" s="280"/>
      <c r="D407" s="285"/>
      <c r="E407" s="281"/>
      <c r="F407" s="281">
        <f t="shared" si="26"/>
        <v>0</v>
      </c>
    </row>
    <row r="408" spans="1:6">
      <c r="A408" s="285"/>
      <c r="B408" s="280" t="s">
        <v>245</v>
      </c>
      <c r="C408" s="280"/>
      <c r="D408" s="285"/>
      <c r="E408" s="281"/>
      <c r="F408" s="281">
        <f t="shared" si="26"/>
        <v>0</v>
      </c>
    </row>
    <row r="409" spans="1:6">
      <c r="A409" s="285"/>
      <c r="B409" s="280" t="s">
        <v>593</v>
      </c>
      <c r="C409" s="280">
        <v>1</v>
      </c>
      <c r="D409" s="280" t="s">
        <v>7</v>
      </c>
      <c r="E409" s="281">
        <f>'BQ MAPLE'!E409</f>
        <v>550400</v>
      </c>
      <c r="F409" s="281">
        <f t="shared" si="26"/>
        <v>550400</v>
      </c>
    </row>
    <row r="410" spans="1:6">
      <c r="A410" s="285"/>
      <c r="B410" s="280" t="s">
        <v>246</v>
      </c>
      <c r="C410" s="280">
        <v>1</v>
      </c>
      <c r="D410" s="280" t="s">
        <v>7</v>
      </c>
      <c r="E410" s="281">
        <f>'BQ MAPLE'!E410</f>
        <v>246000</v>
      </c>
      <c r="F410" s="281">
        <f t="shared" si="26"/>
        <v>246000</v>
      </c>
    </row>
    <row r="411" spans="1:6">
      <c r="A411" s="285"/>
      <c r="B411" s="280" t="s">
        <v>247</v>
      </c>
      <c r="C411" s="280">
        <v>1</v>
      </c>
      <c r="D411" s="280" t="s">
        <v>7</v>
      </c>
      <c r="E411" s="281">
        <f>'BQ MAPLE'!E411</f>
        <v>327200</v>
      </c>
      <c r="F411" s="281">
        <f t="shared" si="26"/>
        <v>327200</v>
      </c>
    </row>
    <row r="412" spans="1:6">
      <c r="A412" s="285"/>
      <c r="B412" s="280" t="s">
        <v>248</v>
      </c>
      <c r="C412" s="280">
        <v>1</v>
      </c>
      <c r="D412" s="280" t="s">
        <v>7</v>
      </c>
      <c r="E412" s="281">
        <f>'BQ MAPLE'!E412</f>
        <v>250000</v>
      </c>
      <c r="F412" s="281">
        <f t="shared" si="26"/>
        <v>250000</v>
      </c>
    </row>
    <row r="413" spans="1:6">
      <c r="A413" s="285"/>
      <c r="B413" s="286" t="s">
        <v>397</v>
      </c>
      <c r="C413" s="280"/>
      <c r="D413" s="280"/>
      <c r="E413" s="281"/>
      <c r="F413" s="281">
        <f t="shared" ref="F413:F415" si="27">+C413*E413</f>
        <v>0</v>
      </c>
    </row>
    <row r="414" spans="1:6">
      <c r="A414" s="285"/>
      <c r="B414" s="286" t="s">
        <v>789</v>
      </c>
      <c r="C414" s="280">
        <v>1</v>
      </c>
      <c r="D414" s="280" t="s">
        <v>7</v>
      </c>
      <c r="E414" s="281">
        <f>'BQ MAPLE'!E414</f>
        <v>1669100.0000000002</v>
      </c>
      <c r="F414" s="281">
        <f t="shared" si="27"/>
        <v>1669100.0000000002</v>
      </c>
    </row>
    <row r="415" spans="1:6">
      <c r="A415" s="285"/>
      <c r="B415" s="286" t="s">
        <v>399</v>
      </c>
      <c r="C415" s="280"/>
      <c r="D415" s="280"/>
      <c r="E415" s="281"/>
      <c r="F415" s="281">
        <f t="shared" si="27"/>
        <v>0</v>
      </c>
    </row>
    <row r="416" spans="1:6">
      <c r="A416" s="285"/>
      <c r="B416" s="280"/>
      <c r="C416" s="280"/>
      <c r="D416" s="280"/>
      <c r="E416" s="281"/>
      <c r="F416" s="281"/>
    </row>
    <row r="417" spans="1:6">
      <c r="A417" s="282" t="s">
        <v>594</v>
      </c>
      <c r="B417" s="282" t="s">
        <v>595</v>
      </c>
      <c r="C417" s="282"/>
      <c r="D417" s="282" t="s">
        <v>7</v>
      </c>
      <c r="E417" s="283"/>
      <c r="F417" s="284">
        <f>SUM(F418:F426)</f>
        <v>1719600</v>
      </c>
    </row>
    <row r="418" spans="1:6">
      <c r="A418" s="285"/>
      <c r="B418" s="280" t="s">
        <v>249</v>
      </c>
      <c r="C418" s="280"/>
      <c r="D418" s="280" t="s">
        <v>7</v>
      </c>
      <c r="E418" s="281"/>
      <c r="F418" s="281">
        <f t="shared" ref="F418:F426" si="28">+C418*E418</f>
        <v>0</v>
      </c>
    </row>
    <row r="419" spans="1:6">
      <c r="A419" s="285"/>
      <c r="B419" s="280" t="s">
        <v>250</v>
      </c>
      <c r="C419" s="280"/>
      <c r="D419" s="285"/>
      <c r="E419" s="281"/>
      <c r="F419" s="281">
        <f t="shared" si="28"/>
        <v>0</v>
      </c>
    </row>
    <row r="420" spans="1:6">
      <c r="A420" s="285"/>
      <c r="B420" s="280" t="s">
        <v>251</v>
      </c>
      <c r="C420" s="280">
        <v>3</v>
      </c>
      <c r="D420" s="280" t="s">
        <v>7</v>
      </c>
      <c r="E420" s="281">
        <f>'BQ MAPLE'!E420</f>
        <v>246000</v>
      </c>
      <c r="F420" s="281">
        <f t="shared" si="28"/>
        <v>738000</v>
      </c>
    </row>
    <row r="421" spans="1:6">
      <c r="A421" s="285"/>
      <c r="B421" s="285"/>
      <c r="C421" s="280"/>
      <c r="D421" s="285"/>
      <c r="E421" s="281">
        <f>'BQ MAPLE'!E421</f>
        <v>0</v>
      </c>
      <c r="F421" s="281">
        <f t="shared" si="28"/>
        <v>0</v>
      </c>
    </row>
    <row r="422" spans="1:6">
      <c r="A422" s="285"/>
      <c r="B422" s="280" t="s">
        <v>596</v>
      </c>
      <c r="C422" s="280"/>
      <c r="D422" s="285"/>
      <c r="E422" s="281">
        <f>'BQ MAPLE'!E422</f>
        <v>0</v>
      </c>
      <c r="F422" s="281">
        <f t="shared" si="28"/>
        <v>0</v>
      </c>
    </row>
    <row r="423" spans="1:6">
      <c r="A423" s="285"/>
      <c r="B423" s="280" t="s">
        <v>597</v>
      </c>
      <c r="C423" s="280">
        <v>3</v>
      </c>
      <c r="D423" s="280" t="s">
        <v>7</v>
      </c>
      <c r="E423" s="281">
        <f>'BQ MAPLE'!E423</f>
        <v>327200</v>
      </c>
      <c r="F423" s="281">
        <f t="shared" si="28"/>
        <v>981600</v>
      </c>
    </row>
    <row r="424" spans="1:6">
      <c r="A424" s="285"/>
      <c r="B424" s="286" t="s">
        <v>397</v>
      </c>
      <c r="C424" s="280"/>
      <c r="D424" s="280"/>
      <c r="E424" s="281"/>
      <c r="F424" s="281">
        <f t="shared" si="28"/>
        <v>0</v>
      </c>
    </row>
    <row r="425" spans="1:6">
      <c r="A425" s="285"/>
      <c r="B425" s="286" t="s">
        <v>398</v>
      </c>
      <c r="C425" s="280"/>
      <c r="D425" s="280"/>
      <c r="E425" s="281"/>
      <c r="F425" s="281">
        <f t="shared" si="28"/>
        <v>0</v>
      </c>
    </row>
    <row r="426" spans="1:6">
      <c r="A426" s="285"/>
      <c r="B426" s="286" t="s">
        <v>399</v>
      </c>
      <c r="C426" s="280"/>
      <c r="D426" s="280"/>
      <c r="E426" s="281"/>
      <c r="F426" s="281">
        <f t="shared" si="28"/>
        <v>0</v>
      </c>
    </row>
    <row r="427" spans="1:6">
      <c r="A427" s="285"/>
      <c r="B427" s="280"/>
      <c r="C427" s="280"/>
      <c r="D427" s="280"/>
      <c r="E427" s="281"/>
      <c r="F427" s="281"/>
    </row>
    <row r="428" spans="1:6" ht="27.6">
      <c r="A428" s="282" t="s">
        <v>31</v>
      </c>
      <c r="B428" s="282" t="s">
        <v>32</v>
      </c>
      <c r="C428" s="282"/>
      <c r="D428" s="282" t="s">
        <v>7</v>
      </c>
      <c r="E428" s="283"/>
      <c r="F428" s="284">
        <f>SUM(F429:F436)</f>
        <v>2684201.3513513515</v>
      </c>
    </row>
    <row r="429" spans="1:6">
      <c r="A429" s="285"/>
      <c r="B429" s="280" t="s">
        <v>32</v>
      </c>
      <c r="C429" s="280"/>
      <c r="D429" s="280" t="s">
        <v>7</v>
      </c>
      <c r="E429" s="281"/>
      <c r="F429" s="281">
        <f t="shared" ref="F429:F436" si="29">+C429*E429</f>
        <v>0</v>
      </c>
    </row>
    <row r="430" spans="1:6">
      <c r="A430" s="285"/>
      <c r="B430" s="280" t="s">
        <v>252</v>
      </c>
      <c r="C430" s="280"/>
      <c r="D430" s="285"/>
      <c r="E430" s="281"/>
      <c r="F430" s="281">
        <f t="shared" si="29"/>
        <v>0</v>
      </c>
    </row>
    <row r="431" spans="1:6">
      <c r="A431" s="285"/>
      <c r="B431" s="280" t="s">
        <v>598</v>
      </c>
      <c r="C431" s="280">
        <v>1</v>
      </c>
      <c r="D431" s="280" t="s">
        <v>7</v>
      </c>
      <c r="E431" s="281">
        <f>'BQ MAPLE'!E431</f>
        <v>1501351.3513513512</v>
      </c>
      <c r="F431" s="281">
        <f t="shared" si="29"/>
        <v>1501351.3513513512</v>
      </c>
    </row>
    <row r="432" spans="1:6">
      <c r="A432" s="285"/>
      <c r="B432" s="280" t="s">
        <v>599</v>
      </c>
      <c r="C432" s="280">
        <v>1</v>
      </c>
      <c r="D432" s="280" t="s">
        <v>204</v>
      </c>
      <c r="E432" s="281">
        <f>'BQ MAPLE'!E432</f>
        <v>457850.00000000006</v>
      </c>
      <c r="F432" s="281">
        <f t="shared" si="29"/>
        <v>457850.00000000006</v>
      </c>
    </row>
    <row r="433" spans="1:6">
      <c r="A433" s="285"/>
      <c r="B433" s="280" t="s">
        <v>253</v>
      </c>
      <c r="C433" s="280">
        <v>1</v>
      </c>
      <c r="D433" s="280" t="s">
        <v>204</v>
      </c>
      <c r="E433" s="281">
        <f>'BQ MAPLE'!E433</f>
        <v>725000</v>
      </c>
      <c r="F433" s="281">
        <f t="shared" si="29"/>
        <v>725000</v>
      </c>
    </row>
    <row r="434" spans="1:6">
      <c r="A434" s="285"/>
      <c r="B434" s="286" t="s">
        <v>397</v>
      </c>
      <c r="C434" s="280"/>
      <c r="D434" s="280"/>
      <c r="E434" s="281"/>
      <c r="F434" s="281">
        <f t="shared" si="29"/>
        <v>0</v>
      </c>
    </row>
    <row r="435" spans="1:6">
      <c r="A435" s="285"/>
      <c r="B435" s="286" t="s">
        <v>398</v>
      </c>
      <c r="C435" s="280"/>
      <c r="D435" s="280"/>
      <c r="E435" s="281"/>
      <c r="F435" s="281">
        <f t="shared" si="29"/>
        <v>0</v>
      </c>
    </row>
    <row r="436" spans="1:6">
      <c r="A436" s="285"/>
      <c r="B436" s="286" t="s">
        <v>399</v>
      </c>
      <c r="C436" s="280"/>
      <c r="D436" s="280"/>
      <c r="E436" s="281"/>
      <c r="F436" s="281">
        <f t="shared" si="29"/>
        <v>0</v>
      </c>
    </row>
    <row r="437" spans="1:6">
      <c r="A437" s="285"/>
      <c r="B437" s="280"/>
      <c r="C437" s="280"/>
      <c r="D437" s="280"/>
      <c r="E437" s="281"/>
      <c r="F437" s="281"/>
    </row>
    <row r="438" spans="1:6">
      <c r="A438" s="282" t="s">
        <v>33</v>
      </c>
      <c r="B438" s="282" t="s">
        <v>34</v>
      </c>
      <c r="C438" s="282"/>
      <c r="D438" s="282" t="s">
        <v>8</v>
      </c>
      <c r="E438" s="283"/>
      <c r="F438" s="284">
        <f>SUM(F439:F446)</f>
        <v>12770000</v>
      </c>
    </row>
    <row r="439" spans="1:6">
      <c r="A439" s="285"/>
      <c r="B439" s="280" t="s">
        <v>254</v>
      </c>
      <c r="C439" s="280"/>
      <c r="D439" s="280" t="s">
        <v>8</v>
      </c>
      <c r="E439" s="281"/>
      <c r="F439" s="281">
        <f t="shared" ref="F439:F446" si="30">+C439*E439</f>
        <v>0</v>
      </c>
    </row>
    <row r="440" spans="1:6">
      <c r="A440" s="285"/>
      <c r="B440" s="280" t="s">
        <v>255</v>
      </c>
      <c r="C440" s="280">
        <v>62</v>
      </c>
      <c r="D440" s="280" t="s">
        <v>8</v>
      </c>
      <c r="E440" s="281">
        <f>'BQ MAPLE'!E440</f>
        <v>45000</v>
      </c>
      <c r="F440" s="281">
        <f t="shared" si="30"/>
        <v>2790000</v>
      </c>
    </row>
    <row r="441" spans="1:6">
      <c r="A441" s="285"/>
      <c r="B441" s="280" t="s">
        <v>256</v>
      </c>
      <c r="C441" s="280">
        <v>152</v>
      </c>
      <c r="D441" s="280" t="s">
        <v>8</v>
      </c>
      <c r="E441" s="281">
        <f>'BQ MAPLE'!E441</f>
        <v>40000</v>
      </c>
      <c r="F441" s="281">
        <f t="shared" si="30"/>
        <v>6080000</v>
      </c>
    </row>
    <row r="442" spans="1:6">
      <c r="A442" s="285"/>
      <c r="B442" s="280" t="s">
        <v>600</v>
      </c>
      <c r="C442" s="359">
        <v>24</v>
      </c>
      <c r="D442" s="280" t="s">
        <v>8</v>
      </c>
      <c r="E442" s="281">
        <f>'BQ MAPLE'!E442</f>
        <v>60000</v>
      </c>
      <c r="F442" s="281">
        <f t="shared" si="30"/>
        <v>1440000</v>
      </c>
    </row>
    <row r="443" spans="1:6">
      <c r="A443" s="285"/>
      <c r="B443" s="280" t="s">
        <v>601</v>
      </c>
      <c r="C443" s="280">
        <v>28</v>
      </c>
      <c r="D443" s="280" t="s">
        <v>8</v>
      </c>
      <c r="E443" s="281">
        <f>'BQ MAPLE'!E443</f>
        <v>55000</v>
      </c>
      <c r="F443" s="281">
        <f t="shared" si="30"/>
        <v>1540000</v>
      </c>
    </row>
    <row r="444" spans="1:6">
      <c r="A444" s="285"/>
      <c r="B444" s="286" t="s">
        <v>397</v>
      </c>
      <c r="C444" s="280"/>
      <c r="D444" s="280"/>
      <c r="E444" s="281"/>
      <c r="F444" s="281">
        <f t="shared" si="30"/>
        <v>0</v>
      </c>
    </row>
    <row r="445" spans="1:6">
      <c r="A445" s="285"/>
      <c r="B445" s="367" t="s">
        <v>803</v>
      </c>
      <c r="C445" s="280">
        <v>23</v>
      </c>
      <c r="D445" s="280" t="s">
        <v>49</v>
      </c>
      <c r="E445" s="281">
        <f>'BQ MAPLE'!E445</f>
        <v>40000</v>
      </c>
      <c r="F445" s="281">
        <f t="shared" si="30"/>
        <v>920000</v>
      </c>
    </row>
    <row r="446" spans="1:6">
      <c r="A446" s="285"/>
      <c r="B446" s="286" t="s">
        <v>399</v>
      </c>
      <c r="C446" s="280"/>
      <c r="D446" s="280"/>
      <c r="E446" s="281"/>
      <c r="F446" s="281">
        <f t="shared" si="30"/>
        <v>0</v>
      </c>
    </row>
    <row r="447" spans="1:6">
      <c r="A447" s="285"/>
      <c r="B447" s="280"/>
      <c r="C447" s="280"/>
      <c r="D447" s="280"/>
      <c r="E447" s="281"/>
      <c r="F447" s="281"/>
    </row>
    <row r="448" spans="1:6">
      <c r="A448" s="282" t="s">
        <v>35</v>
      </c>
      <c r="B448" s="282" t="s">
        <v>36</v>
      </c>
      <c r="C448" s="282"/>
      <c r="D448" s="282" t="s">
        <v>8</v>
      </c>
      <c r="E448" s="283"/>
      <c r="F448" s="284">
        <f>SUM(F449:F461)</f>
        <v>20476141.981981982</v>
      </c>
    </row>
    <row r="449" spans="1:6">
      <c r="A449" s="285"/>
      <c r="B449" s="280" t="s">
        <v>257</v>
      </c>
      <c r="C449" s="280"/>
      <c r="D449" s="280" t="s">
        <v>8</v>
      </c>
      <c r="E449" s="281"/>
      <c r="F449" s="281">
        <f>+C449*E449</f>
        <v>0</v>
      </c>
    </row>
    <row r="450" spans="1:6">
      <c r="A450" s="285"/>
      <c r="B450" s="280" t="s">
        <v>258</v>
      </c>
      <c r="C450" s="361">
        <v>8</v>
      </c>
      <c r="D450" s="280" t="s">
        <v>8</v>
      </c>
      <c r="E450" s="281">
        <f>'BQ MAPLE'!E450</f>
        <v>33145</v>
      </c>
      <c r="F450" s="281">
        <f>+C450*E450</f>
        <v>265160</v>
      </c>
    </row>
    <row r="451" spans="1:6">
      <c r="A451" s="285"/>
      <c r="B451" s="280" t="s">
        <v>259</v>
      </c>
      <c r="C451" s="356">
        <v>0</v>
      </c>
      <c r="D451" s="280" t="s">
        <v>8</v>
      </c>
      <c r="E451" s="281">
        <f>'BQ MAPLE'!E451</f>
        <v>45500</v>
      </c>
      <c r="F451" s="281">
        <f>+C451*E451</f>
        <v>0</v>
      </c>
    </row>
    <row r="452" spans="1:6">
      <c r="A452" s="285"/>
      <c r="B452" s="280" t="s">
        <v>260</v>
      </c>
      <c r="C452" s="361">
        <f>115*0+72</f>
        <v>72</v>
      </c>
      <c r="D452" s="280" t="s">
        <v>8</v>
      </c>
      <c r="E452" s="281">
        <f>'BQ MAPLE'!E452</f>
        <v>52540.54054054054</v>
      </c>
      <c r="F452" s="281">
        <f>+C452*E452</f>
        <v>3782918.9189189188</v>
      </c>
    </row>
    <row r="453" spans="1:6">
      <c r="A453" s="285"/>
      <c r="B453" s="280" t="s">
        <v>261</v>
      </c>
      <c r="C453" s="361">
        <v>53</v>
      </c>
      <c r="D453" s="280" t="s">
        <v>8</v>
      </c>
      <c r="E453" s="281">
        <f>'BQ MAPLE'!E453</f>
        <v>64752.252252252249</v>
      </c>
      <c r="F453" s="281">
        <f>+'BQ MAPLE ROOFTOP'!C454*E453</f>
        <v>3755630.6306306305</v>
      </c>
    </row>
    <row r="454" spans="1:6">
      <c r="A454" s="285"/>
      <c r="B454" s="280" t="s">
        <v>262</v>
      </c>
      <c r="C454" s="361">
        <f>102*0+90</f>
        <v>90</v>
      </c>
      <c r="D454" s="280" t="s">
        <v>8</v>
      </c>
      <c r="E454" s="281">
        <f>'BQ MAPLE'!E454</f>
        <v>82860.360360360355</v>
      </c>
      <c r="F454" s="281">
        <f t="shared" ref="F454:F461" si="31">+C454*E454</f>
        <v>7457432.4324324317</v>
      </c>
    </row>
    <row r="455" spans="1:6">
      <c r="A455" s="285"/>
      <c r="B455" s="280" t="s">
        <v>263</v>
      </c>
      <c r="C455" s="361">
        <v>1</v>
      </c>
      <c r="D455" s="280" t="s">
        <v>7</v>
      </c>
      <c r="E455" s="281">
        <f>'BQ MAPLE'!E455</f>
        <v>2420000</v>
      </c>
      <c r="F455" s="281">
        <f t="shared" si="31"/>
        <v>2420000</v>
      </c>
    </row>
    <row r="456" spans="1:6">
      <c r="A456" s="285"/>
      <c r="B456" s="280" t="s">
        <v>264</v>
      </c>
      <c r="C456" s="361">
        <v>2</v>
      </c>
      <c r="D456" s="280" t="s">
        <v>204</v>
      </c>
      <c r="E456" s="281">
        <f>'BQ MAPLE'!E456</f>
        <v>300000</v>
      </c>
      <c r="F456" s="281">
        <f t="shared" si="31"/>
        <v>600000</v>
      </c>
    </row>
    <row r="457" spans="1:6">
      <c r="A457" s="285"/>
      <c r="B457" s="280" t="s">
        <v>265</v>
      </c>
      <c r="C457" s="361">
        <v>2</v>
      </c>
      <c r="D457" s="280" t="s">
        <v>204</v>
      </c>
      <c r="E457" s="281">
        <f>'BQ MAPLE'!E457</f>
        <v>242499.99999999997</v>
      </c>
      <c r="F457" s="281">
        <f t="shared" si="31"/>
        <v>484999.99999999994</v>
      </c>
    </row>
    <row r="458" spans="1:6">
      <c r="A458" s="285"/>
      <c r="B458" s="280" t="s">
        <v>266</v>
      </c>
      <c r="C458" s="361">
        <v>18</v>
      </c>
      <c r="D458" s="280" t="s">
        <v>7</v>
      </c>
      <c r="E458" s="281">
        <f>'BQ MAPLE'!E458</f>
        <v>95000</v>
      </c>
      <c r="F458" s="281">
        <f t="shared" si="31"/>
        <v>1710000</v>
      </c>
    </row>
    <row r="459" spans="1:6">
      <c r="A459" s="285"/>
      <c r="B459" s="286" t="s">
        <v>397</v>
      </c>
      <c r="C459" s="280"/>
      <c r="D459" s="280"/>
      <c r="E459" s="281"/>
      <c r="F459" s="281">
        <f t="shared" si="31"/>
        <v>0</v>
      </c>
    </row>
    <row r="460" spans="1:6">
      <c r="A460" s="285"/>
      <c r="B460" s="286" t="s">
        <v>398</v>
      </c>
      <c r="C460" s="280"/>
      <c r="D460" s="280"/>
      <c r="E460" s="281"/>
      <c r="F460" s="281">
        <f t="shared" si="31"/>
        <v>0</v>
      </c>
    </row>
    <row r="461" spans="1:6">
      <c r="A461" s="285"/>
      <c r="B461" s="286" t="s">
        <v>399</v>
      </c>
      <c r="C461" s="280"/>
      <c r="D461" s="280"/>
      <c r="E461" s="281"/>
      <c r="F461" s="281">
        <f t="shared" si="31"/>
        <v>0</v>
      </c>
    </row>
    <row r="462" spans="1:6">
      <c r="A462" s="285"/>
      <c r="B462" s="280"/>
      <c r="C462" s="280"/>
      <c r="D462" s="280"/>
      <c r="E462" s="281"/>
      <c r="F462" s="281"/>
    </row>
    <row r="463" spans="1:6">
      <c r="A463" s="282" t="s">
        <v>37</v>
      </c>
      <c r="B463" s="282" t="s">
        <v>267</v>
      </c>
      <c r="C463" s="282"/>
      <c r="D463" s="282" t="s">
        <v>6</v>
      </c>
      <c r="E463" s="283"/>
      <c r="F463" s="284">
        <f>SUM(F464:F472)</f>
        <v>1140000</v>
      </c>
    </row>
    <row r="464" spans="1:6">
      <c r="A464" s="285"/>
      <c r="B464" s="280" t="s">
        <v>268</v>
      </c>
      <c r="C464" s="280"/>
      <c r="D464" s="280" t="s">
        <v>6</v>
      </c>
      <c r="E464" s="281"/>
      <c r="F464" s="281">
        <f>+C464*E464</f>
        <v>0</v>
      </c>
    </row>
    <row r="465" spans="1:8">
      <c r="A465" s="285"/>
      <c r="B465" s="280" t="s">
        <v>602</v>
      </c>
      <c r="C465" s="280">
        <v>2</v>
      </c>
      <c r="D465" s="280" t="s">
        <v>204</v>
      </c>
      <c r="E465" s="281">
        <f>'BQ MAPLE'!E465</f>
        <v>150000</v>
      </c>
      <c r="F465" s="281">
        <f t="shared" ref="F465:F472" si="32">+C465*E465</f>
        <v>300000</v>
      </c>
    </row>
    <row r="466" spans="1:8">
      <c r="A466" s="285"/>
      <c r="B466" s="280" t="s">
        <v>603</v>
      </c>
      <c r="C466" s="359">
        <v>1</v>
      </c>
      <c r="D466" s="280" t="s">
        <v>6</v>
      </c>
      <c r="E466" s="281">
        <f>'BQ MAPLE'!E466</f>
        <v>300000</v>
      </c>
      <c r="F466" s="281">
        <f t="shared" si="32"/>
        <v>300000</v>
      </c>
    </row>
    <row r="467" spans="1:8">
      <c r="A467" s="285"/>
      <c r="B467" s="280" t="s">
        <v>604</v>
      </c>
      <c r="C467" s="280">
        <v>1</v>
      </c>
      <c r="D467" s="280" t="s">
        <v>6</v>
      </c>
      <c r="E467" s="281">
        <f>'BQ MAPLE'!E467</f>
        <v>150000</v>
      </c>
      <c r="F467" s="281">
        <f t="shared" si="32"/>
        <v>150000</v>
      </c>
    </row>
    <row r="468" spans="1:8">
      <c r="A468" s="285"/>
      <c r="B468" s="280" t="s">
        <v>605</v>
      </c>
      <c r="C468" s="280">
        <v>1</v>
      </c>
      <c r="D468" s="280" t="s">
        <v>6</v>
      </c>
      <c r="E468" s="281">
        <f>'BQ MAPLE'!E468</f>
        <v>150000</v>
      </c>
      <c r="F468" s="281">
        <f t="shared" si="32"/>
        <v>150000</v>
      </c>
    </row>
    <row r="469" spans="1:8">
      <c r="A469" s="285"/>
      <c r="B469" s="280" t="s">
        <v>606</v>
      </c>
      <c r="C469" s="280">
        <v>3</v>
      </c>
      <c r="D469" s="280" t="s">
        <v>204</v>
      </c>
      <c r="E469" s="281">
        <f>'BQ MAPLE'!E469</f>
        <v>80000</v>
      </c>
      <c r="F469" s="281">
        <f t="shared" si="32"/>
        <v>240000</v>
      </c>
    </row>
    <row r="470" spans="1:8">
      <c r="A470" s="285"/>
      <c r="B470" s="286" t="s">
        <v>397</v>
      </c>
      <c r="C470" s="280"/>
      <c r="D470" s="280"/>
      <c r="E470" s="281"/>
      <c r="F470" s="281">
        <f t="shared" si="32"/>
        <v>0</v>
      </c>
    </row>
    <row r="471" spans="1:8">
      <c r="A471" s="285"/>
      <c r="B471" s="286" t="s">
        <v>398</v>
      </c>
      <c r="C471" s="280"/>
      <c r="D471" s="280"/>
      <c r="E471" s="281"/>
      <c r="F471" s="281">
        <f t="shared" si="32"/>
        <v>0</v>
      </c>
    </row>
    <row r="472" spans="1:8">
      <c r="A472" s="285"/>
      <c r="B472" s="286" t="s">
        <v>399</v>
      </c>
      <c r="C472" s="280"/>
      <c r="D472" s="280"/>
      <c r="E472" s="281"/>
      <c r="F472" s="281">
        <f t="shared" si="32"/>
        <v>0</v>
      </c>
    </row>
    <row r="473" spans="1:8">
      <c r="A473" s="285"/>
      <c r="B473" s="280"/>
      <c r="C473" s="280"/>
      <c r="D473" s="280"/>
      <c r="E473" s="281"/>
      <c r="F473" s="281"/>
    </row>
    <row r="474" spans="1:8" ht="27.6">
      <c r="A474" s="282" t="s">
        <v>38</v>
      </c>
      <c r="B474" s="282" t="s">
        <v>39</v>
      </c>
      <c r="C474" s="282"/>
      <c r="D474" s="282" t="s">
        <v>10</v>
      </c>
      <c r="E474" s="283"/>
      <c r="F474" s="284">
        <f>SUM(F475:F498)</f>
        <v>19887000</v>
      </c>
      <c r="H474" s="414">
        <v>21528500</v>
      </c>
    </row>
    <row r="475" spans="1:8">
      <c r="A475" s="285"/>
      <c r="B475" s="280" t="s">
        <v>269</v>
      </c>
      <c r="C475" s="280"/>
      <c r="D475" s="280" t="s">
        <v>10</v>
      </c>
      <c r="E475" s="281"/>
      <c r="F475" s="281">
        <f>+C475*E475</f>
        <v>0</v>
      </c>
    </row>
    <row r="476" spans="1:8">
      <c r="A476" s="285"/>
      <c r="B476" s="280" t="s">
        <v>270</v>
      </c>
      <c r="C476" s="422">
        <f>31*0+23</f>
        <v>23</v>
      </c>
      <c r="D476" s="280" t="s">
        <v>10</v>
      </c>
      <c r="E476" s="281">
        <f>'BQ MAPLE'!E476</f>
        <v>177500</v>
      </c>
      <c r="F476" s="281">
        <f t="shared" ref="F476:F498" si="33">+C476*E476</f>
        <v>4082500</v>
      </c>
    </row>
    <row r="477" spans="1:8">
      <c r="A477" s="285"/>
      <c r="B477" s="280" t="s">
        <v>271</v>
      </c>
      <c r="C477" s="422">
        <f>18*0+5</f>
        <v>5</v>
      </c>
      <c r="D477" s="280" t="s">
        <v>10</v>
      </c>
      <c r="E477" s="281">
        <f>'BQ MAPLE'!E477</f>
        <v>177500</v>
      </c>
      <c r="F477" s="281">
        <f t="shared" si="33"/>
        <v>887500</v>
      </c>
    </row>
    <row r="478" spans="1:8">
      <c r="A478" s="285"/>
      <c r="B478" s="280" t="s">
        <v>607</v>
      </c>
      <c r="C478" s="356">
        <v>0</v>
      </c>
      <c r="D478" s="280" t="s">
        <v>10</v>
      </c>
      <c r="E478" s="281">
        <f>'BQ MAPLE'!E478</f>
        <v>0</v>
      </c>
      <c r="F478" s="281">
        <f t="shared" si="33"/>
        <v>0</v>
      </c>
    </row>
    <row r="479" spans="1:8">
      <c r="A479" s="285"/>
      <c r="B479" s="280" t="s">
        <v>272</v>
      </c>
      <c r="C479" s="280">
        <v>34</v>
      </c>
      <c r="D479" s="280" t="s">
        <v>10</v>
      </c>
      <c r="E479" s="281">
        <f>'BQ MAPLE'!E479</f>
        <v>177500</v>
      </c>
      <c r="F479" s="281">
        <f t="shared" si="33"/>
        <v>6035000</v>
      </c>
    </row>
    <row r="480" spans="1:8">
      <c r="A480" s="285"/>
      <c r="B480" s="280" t="s">
        <v>608</v>
      </c>
      <c r="C480" s="280">
        <v>17</v>
      </c>
      <c r="D480" s="280" t="s">
        <v>8</v>
      </c>
      <c r="E480" s="281">
        <f>'BQ MAPLE'!E480</f>
        <v>61500</v>
      </c>
      <c r="F480" s="281">
        <f t="shared" si="33"/>
        <v>1045500</v>
      </c>
    </row>
    <row r="481" spans="1:6">
      <c r="A481" s="285"/>
      <c r="B481" s="280" t="s">
        <v>609</v>
      </c>
      <c r="C481" s="280">
        <v>16</v>
      </c>
      <c r="D481" s="280" t="s">
        <v>8</v>
      </c>
      <c r="E481" s="281">
        <f>'BQ MAPLE'!E481</f>
        <v>75500</v>
      </c>
      <c r="F481" s="281">
        <f t="shared" si="33"/>
        <v>1208000</v>
      </c>
    </row>
    <row r="482" spans="1:6">
      <c r="A482" s="285"/>
      <c r="B482" s="280" t="s">
        <v>610</v>
      </c>
      <c r="C482" s="356">
        <v>0</v>
      </c>
      <c r="D482" s="280" t="s">
        <v>6</v>
      </c>
      <c r="E482" s="281">
        <f>'BQ MAPLE'!E482</f>
        <v>0</v>
      </c>
      <c r="F482" s="281">
        <f t="shared" si="33"/>
        <v>0</v>
      </c>
    </row>
    <row r="483" spans="1:6">
      <c r="A483" s="285"/>
      <c r="B483" s="280" t="s">
        <v>611</v>
      </c>
      <c r="C483" s="280">
        <v>78</v>
      </c>
      <c r="D483" s="280" t="s">
        <v>10</v>
      </c>
      <c r="E483" s="281">
        <f>'BQ MAPLE'!E483</f>
        <v>16000</v>
      </c>
      <c r="F483" s="281">
        <f t="shared" si="33"/>
        <v>1248000</v>
      </c>
    </row>
    <row r="484" spans="1:6">
      <c r="A484" s="285"/>
      <c r="B484" s="280" t="s">
        <v>612</v>
      </c>
      <c r="C484" s="422">
        <f>6*0+5</f>
        <v>5</v>
      </c>
      <c r="D484" s="280" t="s">
        <v>10</v>
      </c>
      <c r="E484" s="281">
        <f>'BQ MAPLE'!E484</f>
        <v>35000</v>
      </c>
      <c r="F484" s="281">
        <f t="shared" si="33"/>
        <v>175000</v>
      </c>
    </row>
    <row r="485" spans="1:6">
      <c r="A485" s="285"/>
      <c r="B485" s="280" t="s">
        <v>613</v>
      </c>
      <c r="C485" s="422">
        <f>6*0+5</f>
        <v>5</v>
      </c>
      <c r="D485" s="280" t="s">
        <v>204</v>
      </c>
      <c r="E485" s="281">
        <f>'BQ MAPLE'!E485</f>
        <v>504500</v>
      </c>
      <c r="F485" s="281">
        <f t="shared" si="33"/>
        <v>2522500</v>
      </c>
    </row>
    <row r="486" spans="1:6">
      <c r="A486" s="285"/>
      <c r="B486" s="280" t="s">
        <v>614</v>
      </c>
      <c r="C486" s="280">
        <v>1</v>
      </c>
      <c r="D486" s="280" t="s">
        <v>10</v>
      </c>
      <c r="E486" s="281">
        <f>'BQ MAPLE'!E486</f>
        <v>310000</v>
      </c>
      <c r="F486" s="281">
        <f t="shared" si="33"/>
        <v>310000</v>
      </c>
    </row>
    <row r="487" spans="1:6">
      <c r="A487" s="285"/>
      <c r="B487" s="280" t="s">
        <v>615</v>
      </c>
      <c r="C487" s="280">
        <v>3</v>
      </c>
      <c r="D487" s="280" t="s">
        <v>10</v>
      </c>
      <c r="E487" s="281">
        <f>'BQ MAPLE'!E487</f>
        <v>225000</v>
      </c>
      <c r="F487" s="281">
        <f t="shared" si="33"/>
        <v>675000</v>
      </c>
    </row>
    <row r="488" spans="1:6" ht="27.6">
      <c r="A488" s="285"/>
      <c r="B488" s="280" t="s">
        <v>616</v>
      </c>
      <c r="C488" s="356">
        <v>0</v>
      </c>
      <c r="D488" s="280" t="s">
        <v>10</v>
      </c>
      <c r="E488" s="281">
        <f>'BQ MAPLE'!E488</f>
        <v>0</v>
      </c>
      <c r="F488" s="281">
        <f t="shared" si="33"/>
        <v>0</v>
      </c>
    </row>
    <row r="489" spans="1:6">
      <c r="A489" s="285"/>
      <c r="B489" s="280" t="s">
        <v>617</v>
      </c>
      <c r="C489" s="280">
        <v>1</v>
      </c>
      <c r="D489" s="280" t="s">
        <v>6</v>
      </c>
      <c r="E489" s="281">
        <f>'BQ MAPLE'!E489</f>
        <v>200000</v>
      </c>
      <c r="F489" s="281">
        <f t="shared" si="33"/>
        <v>200000</v>
      </c>
    </row>
    <row r="490" spans="1:6">
      <c r="A490" s="285"/>
      <c r="B490" s="280" t="s">
        <v>618</v>
      </c>
      <c r="C490" s="356">
        <v>0</v>
      </c>
      <c r="D490" s="280" t="s">
        <v>6</v>
      </c>
      <c r="E490" s="281">
        <f>'BQ MAPLE'!E490</f>
        <v>0</v>
      </c>
      <c r="F490" s="281">
        <f t="shared" si="33"/>
        <v>0</v>
      </c>
    </row>
    <row r="491" spans="1:6">
      <c r="A491" s="285"/>
      <c r="B491" s="280" t="s">
        <v>619</v>
      </c>
      <c r="C491" s="280">
        <v>1</v>
      </c>
      <c r="D491" s="280" t="s">
        <v>6</v>
      </c>
      <c r="E491" s="281">
        <f>'BQ MAPLE'!E491</f>
        <v>150000</v>
      </c>
      <c r="F491" s="281">
        <f t="shared" si="33"/>
        <v>150000</v>
      </c>
    </row>
    <row r="492" spans="1:6">
      <c r="A492" s="285"/>
      <c r="B492" s="280" t="s">
        <v>620</v>
      </c>
      <c r="C492" s="280">
        <v>1</v>
      </c>
      <c r="D492" s="280" t="s">
        <v>6</v>
      </c>
      <c r="E492" s="281">
        <f>'BQ MAPLE'!E492</f>
        <v>400000</v>
      </c>
      <c r="F492" s="281">
        <f t="shared" si="33"/>
        <v>400000</v>
      </c>
    </row>
    <row r="493" spans="1:6">
      <c r="A493" s="285"/>
      <c r="B493" s="280" t="s">
        <v>621</v>
      </c>
      <c r="C493" s="280">
        <v>1</v>
      </c>
      <c r="D493" s="280" t="s">
        <v>6</v>
      </c>
      <c r="E493" s="281">
        <f>'BQ MAPLE'!E493</f>
        <v>300000</v>
      </c>
      <c r="F493" s="281">
        <f t="shared" si="33"/>
        <v>300000</v>
      </c>
    </row>
    <row r="494" spans="1:6">
      <c r="A494" s="285"/>
      <c r="B494" s="280" t="s">
        <v>622</v>
      </c>
      <c r="C494" s="280">
        <v>2</v>
      </c>
      <c r="D494" s="280" t="s">
        <v>10</v>
      </c>
      <c r="E494" s="281">
        <f>'BQ MAPLE'!E494</f>
        <v>180000</v>
      </c>
      <c r="F494" s="281">
        <f t="shared" si="33"/>
        <v>360000</v>
      </c>
    </row>
    <row r="495" spans="1:6">
      <c r="A495" s="285"/>
      <c r="B495" s="280" t="s">
        <v>623</v>
      </c>
      <c r="C495" s="280">
        <v>16</v>
      </c>
      <c r="D495" s="280" t="s">
        <v>10</v>
      </c>
      <c r="E495" s="281">
        <f>'BQ MAPLE'!E495</f>
        <v>18000</v>
      </c>
      <c r="F495" s="281">
        <f t="shared" si="33"/>
        <v>288000</v>
      </c>
    </row>
    <row r="496" spans="1:6">
      <c r="A496" s="285"/>
      <c r="B496" s="286" t="s">
        <v>397</v>
      </c>
      <c r="C496" s="280"/>
      <c r="D496" s="280"/>
      <c r="E496" s="281"/>
      <c r="F496" s="281">
        <f t="shared" si="33"/>
        <v>0</v>
      </c>
    </row>
    <row r="497" spans="1:8">
      <c r="A497" s="285"/>
      <c r="B497" s="286" t="s">
        <v>398</v>
      </c>
      <c r="C497" s="280"/>
      <c r="D497" s="280"/>
      <c r="E497" s="281"/>
      <c r="F497" s="281">
        <f t="shared" si="33"/>
        <v>0</v>
      </c>
    </row>
    <row r="498" spans="1:8">
      <c r="A498" s="285"/>
      <c r="B498" s="286" t="s">
        <v>399</v>
      </c>
      <c r="C498" s="280"/>
      <c r="D498" s="280"/>
      <c r="E498" s="281"/>
      <c r="F498" s="281">
        <f t="shared" si="33"/>
        <v>0</v>
      </c>
    </row>
    <row r="499" spans="1:8">
      <c r="A499" s="285"/>
      <c r="B499" s="280"/>
      <c r="C499" s="280"/>
      <c r="D499" s="280"/>
      <c r="E499" s="281"/>
      <c r="F499" s="281"/>
    </row>
    <row r="500" spans="1:8">
      <c r="A500" s="282" t="s">
        <v>273</v>
      </c>
      <c r="B500" s="282" t="s">
        <v>274</v>
      </c>
      <c r="C500" s="282"/>
      <c r="D500" s="282" t="s">
        <v>6</v>
      </c>
      <c r="E500" s="283"/>
      <c r="F500" s="284">
        <f>SUM(F501:F531)</f>
        <v>21309000</v>
      </c>
      <c r="H500" s="414">
        <v>22385000</v>
      </c>
    </row>
    <row r="501" spans="1:8">
      <c r="A501" s="285"/>
      <c r="B501" s="280" t="s">
        <v>275</v>
      </c>
      <c r="C501" s="280"/>
      <c r="D501" s="280" t="s">
        <v>6</v>
      </c>
      <c r="E501" s="281"/>
      <c r="F501" s="281">
        <f t="shared" ref="F501:F520" si="34">+C501*E501</f>
        <v>0</v>
      </c>
    </row>
    <row r="502" spans="1:8">
      <c r="A502" s="285"/>
      <c r="B502" s="280" t="s">
        <v>276</v>
      </c>
      <c r="C502" s="422">
        <f>31*0+23</f>
        <v>23</v>
      </c>
      <c r="D502" s="280" t="s">
        <v>10</v>
      </c>
      <c r="E502" s="281">
        <f>'BQ MAPLE'!E502</f>
        <v>85000</v>
      </c>
      <c r="F502" s="281">
        <f t="shared" si="34"/>
        <v>1955000</v>
      </c>
    </row>
    <row r="503" spans="1:8">
      <c r="A503" s="285"/>
      <c r="B503" s="280" t="s">
        <v>277</v>
      </c>
      <c r="C503" s="422">
        <f>18*0+5</f>
        <v>5</v>
      </c>
      <c r="D503" s="280" t="s">
        <v>10</v>
      </c>
      <c r="E503" s="281">
        <f>'BQ MAPLE'!E503</f>
        <v>105000</v>
      </c>
      <c r="F503" s="281">
        <f t="shared" si="34"/>
        <v>525000</v>
      </c>
    </row>
    <row r="504" spans="1:8">
      <c r="A504" s="285"/>
      <c r="B504" s="280" t="s">
        <v>278</v>
      </c>
      <c r="C504" s="356">
        <v>0</v>
      </c>
      <c r="D504" s="280" t="s">
        <v>10</v>
      </c>
      <c r="E504" s="281">
        <f>'BQ MAPLE'!E504</f>
        <v>0</v>
      </c>
      <c r="F504" s="281">
        <f t="shared" si="34"/>
        <v>0</v>
      </c>
    </row>
    <row r="505" spans="1:8">
      <c r="A505" s="285"/>
      <c r="B505" s="280" t="s">
        <v>279</v>
      </c>
      <c r="C505" s="280">
        <v>49</v>
      </c>
      <c r="D505" s="280" t="s">
        <v>7</v>
      </c>
      <c r="E505" s="281">
        <f>'BQ MAPLE'!E505</f>
        <v>41000</v>
      </c>
      <c r="F505" s="281">
        <f t="shared" si="34"/>
        <v>2009000</v>
      </c>
    </row>
    <row r="506" spans="1:8">
      <c r="A506" s="285"/>
      <c r="B506" s="280" t="s">
        <v>280</v>
      </c>
      <c r="C506" s="280">
        <v>2</v>
      </c>
      <c r="D506" s="280" t="s">
        <v>10</v>
      </c>
      <c r="E506" s="281">
        <f>'BQ MAPLE'!E506</f>
        <v>350000</v>
      </c>
      <c r="F506" s="281">
        <f t="shared" si="34"/>
        <v>700000</v>
      </c>
    </row>
    <row r="507" spans="1:8">
      <c r="A507" s="285"/>
      <c r="B507" s="280" t="s">
        <v>281</v>
      </c>
      <c r="C507" s="280">
        <v>2</v>
      </c>
      <c r="D507" s="280" t="s">
        <v>10</v>
      </c>
      <c r="E507" s="281">
        <f>'BQ MAPLE'!E507</f>
        <v>190000</v>
      </c>
      <c r="F507" s="281">
        <f t="shared" si="34"/>
        <v>380000</v>
      </c>
    </row>
    <row r="508" spans="1:8" ht="27.6">
      <c r="A508" s="285"/>
      <c r="B508" s="280" t="s">
        <v>624</v>
      </c>
      <c r="C508" s="280">
        <v>17</v>
      </c>
      <c r="D508" s="280" t="s">
        <v>204</v>
      </c>
      <c r="E508" s="281">
        <f>'BQ MAPLE'!E508</f>
        <v>166500</v>
      </c>
      <c r="F508" s="281">
        <f t="shared" si="34"/>
        <v>2830500</v>
      </c>
    </row>
    <row r="509" spans="1:8" ht="27.6">
      <c r="A509" s="285"/>
      <c r="B509" s="280" t="s">
        <v>625</v>
      </c>
      <c r="C509" s="280">
        <v>8</v>
      </c>
      <c r="D509" s="280" t="s">
        <v>204</v>
      </c>
      <c r="E509" s="281">
        <f>'BQ MAPLE'!E509</f>
        <v>137500</v>
      </c>
      <c r="F509" s="281">
        <f t="shared" si="34"/>
        <v>1100000</v>
      </c>
    </row>
    <row r="510" spans="1:8" ht="27.6">
      <c r="A510" s="285"/>
      <c r="B510" s="280" t="s">
        <v>626</v>
      </c>
      <c r="C510" s="280">
        <v>2</v>
      </c>
      <c r="D510" s="280" t="s">
        <v>204</v>
      </c>
      <c r="E510" s="281">
        <f>'BQ MAPLE'!E510</f>
        <v>162500</v>
      </c>
      <c r="F510" s="281">
        <f t="shared" si="34"/>
        <v>325000</v>
      </c>
    </row>
    <row r="511" spans="1:8" ht="27.6">
      <c r="A511" s="285"/>
      <c r="B511" s="280" t="s">
        <v>627</v>
      </c>
      <c r="C511" s="280">
        <v>36</v>
      </c>
      <c r="D511" s="280" t="s">
        <v>204</v>
      </c>
      <c r="E511" s="281">
        <f>'BQ MAPLE'!E511</f>
        <v>155000</v>
      </c>
      <c r="F511" s="281">
        <f t="shared" si="34"/>
        <v>5580000</v>
      </c>
    </row>
    <row r="512" spans="1:8">
      <c r="A512" s="285"/>
      <c r="B512" s="280" t="s">
        <v>628</v>
      </c>
      <c r="C512" s="280">
        <v>17</v>
      </c>
      <c r="D512" s="280" t="s">
        <v>204</v>
      </c>
      <c r="E512" s="281">
        <f>'BQ MAPLE'!E512</f>
        <v>65000</v>
      </c>
      <c r="F512" s="281">
        <f t="shared" si="34"/>
        <v>1105000</v>
      </c>
    </row>
    <row r="513" spans="1:10">
      <c r="A513" s="285"/>
      <c r="B513" s="280" t="s">
        <v>629</v>
      </c>
      <c r="C513" s="356">
        <v>0</v>
      </c>
      <c r="D513" s="280" t="s">
        <v>204</v>
      </c>
      <c r="E513" s="281">
        <f>'BQ MAPLE'!E513</f>
        <v>0</v>
      </c>
      <c r="F513" s="281">
        <f t="shared" si="34"/>
        <v>0</v>
      </c>
    </row>
    <row r="514" spans="1:10">
      <c r="A514" s="285"/>
      <c r="B514" s="280" t="s">
        <v>282</v>
      </c>
      <c r="C514" s="356">
        <v>0</v>
      </c>
      <c r="D514" s="280" t="s">
        <v>204</v>
      </c>
      <c r="E514" s="281">
        <f>'BQ MAPLE'!E514</f>
        <v>0</v>
      </c>
      <c r="F514" s="281">
        <f t="shared" si="34"/>
        <v>0</v>
      </c>
    </row>
    <row r="515" spans="1:10">
      <c r="A515" s="285"/>
      <c r="B515" s="280" t="s">
        <v>630</v>
      </c>
      <c r="C515" s="356">
        <v>0</v>
      </c>
      <c r="D515" s="280" t="s">
        <v>204</v>
      </c>
      <c r="E515" s="281">
        <f>'BQ MAPLE'!E515</f>
        <v>0</v>
      </c>
      <c r="F515" s="281">
        <f t="shared" si="34"/>
        <v>0</v>
      </c>
    </row>
    <row r="516" spans="1:10">
      <c r="A516" s="285"/>
      <c r="B516" s="280" t="s">
        <v>631</v>
      </c>
      <c r="C516" s="280">
        <v>1</v>
      </c>
      <c r="D516" s="280" t="s">
        <v>204</v>
      </c>
      <c r="E516" s="281">
        <f>'BQ MAPLE'!E516</f>
        <v>450000</v>
      </c>
      <c r="F516" s="281">
        <f t="shared" si="34"/>
        <v>450000</v>
      </c>
    </row>
    <row r="517" spans="1:10" ht="27.6">
      <c r="A517" s="285"/>
      <c r="B517" s="280" t="s">
        <v>632</v>
      </c>
      <c r="C517" s="280">
        <v>2</v>
      </c>
      <c r="D517" s="280" t="s">
        <v>204</v>
      </c>
      <c r="E517" s="281">
        <f>'BQ MAPLE'!E517</f>
        <v>175500</v>
      </c>
      <c r="F517" s="281">
        <f t="shared" si="34"/>
        <v>351000</v>
      </c>
    </row>
    <row r="518" spans="1:10" ht="27.6">
      <c r="A518" s="285"/>
      <c r="B518" s="280" t="s">
        <v>633</v>
      </c>
      <c r="C518" s="280">
        <v>3</v>
      </c>
      <c r="D518" s="280" t="s">
        <v>204</v>
      </c>
      <c r="E518" s="281">
        <f>'BQ MAPLE'!E518</f>
        <v>178500</v>
      </c>
      <c r="F518" s="281">
        <f t="shared" si="34"/>
        <v>535500</v>
      </c>
    </row>
    <row r="519" spans="1:10" ht="27.6">
      <c r="A519" s="285"/>
      <c r="B519" s="280" t="s">
        <v>634</v>
      </c>
      <c r="C519" s="356">
        <v>0</v>
      </c>
      <c r="D519" s="280" t="s">
        <v>204</v>
      </c>
      <c r="E519" s="281">
        <f>'BQ MAPLE'!E519</f>
        <v>0</v>
      </c>
      <c r="F519" s="281">
        <f t="shared" si="34"/>
        <v>0</v>
      </c>
      <c r="H519" s="416"/>
    </row>
    <row r="520" spans="1:10">
      <c r="A520" s="285"/>
      <c r="B520" s="286" t="s">
        <v>397</v>
      </c>
      <c r="C520" s="280"/>
      <c r="D520" s="280"/>
      <c r="E520" s="281"/>
      <c r="F520" s="281">
        <f t="shared" si="34"/>
        <v>0</v>
      </c>
      <c r="H520" s="416"/>
      <c r="I520" s="412"/>
      <c r="J520" s="412"/>
    </row>
    <row r="521" spans="1:10" s="370" customFormat="1" ht="14.25" customHeight="1">
      <c r="B521" s="367" t="s">
        <v>791</v>
      </c>
      <c r="C521" s="371">
        <v>3</v>
      </c>
      <c r="D521" s="370" t="s">
        <v>204</v>
      </c>
      <c r="E521" s="281">
        <f>'BQ MAPLE'!E521</f>
        <v>85000</v>
      </c>
      <c r="F521" s="360">
        <f t="shared" ref="F521:F531" si="35">C521*E521</f>
        <v>255000</v>
      </c>
      <c r="H521" s="416"/>
      <c r="I521" s="412"/>
      <c r="J521" s="412"/>
    </row>
    <row r="522" spans="1:10" s="370" customFormat="1" ht="14.25" customHeight="1">
      <c r="B522" s="367" t="s">
        <v>792</v>
      </c>
      <c r="C522" s="371">
        <v>12</v>
      </c>
      <c r="D522" s="370" t="s">
        <v>8</v>
      </c>
      <c r="E522" s="281">
        <f>'BQ MAPLE'!E522</f>
        <v>34000</v>
      </c>
      <c r="F522" s="360">
        <f t="shared" si="35"/>
        <v>408000</v>
      </c>
      <c r="H522" s="416"/>
      <c r="I522" s="412"/>
      <c r="J522" s="412"/>
    </row>
    <row r="523" spans="1:10" s="370" customFormat="1" ht="14.25" customHeight="1">
      <c r="B523" s="367" t="s">
        <v>793</v>
      </c>
      <c r="C523" s="371">
        <v>1</v>
      </c>
      <c r="D523" s="370" t="s">
        <v>204</v>
      </c>
      <c r="E523" s="281">
        <f>'BQ MAPLE'!E523</f>
        <v>225000</v>
      </c>
      <c r="F523" s="360">
        <f t="shared" si="35"/>
        <v>225000</v>
      </c>
      <c r="H523" s="416"/>
      <c r="I523" s="412"/>
      <c r="J523" s="412"/>
    </row>
    <row r="524" spans="1:10" s="370" customFormat="1" ht="14.25" customHeight="1">
      <c r="B524" s="367" t="s">
        <v>794</v>
      </c>
      <c r="C524" s="371">
        <v>4</v>
      </c>
      <c r="D524" s="370" t="s">
        <v>204</v>
      </c>
      <c r="E524" s="281">
        <f>'BQ MAPLE'!E524</f>
        <v>35000</v>
      </c>
      <c r="F524" s="360">
        <f t="shared" si="35"/>
        <v>140000</v>
      </c>
      <c r="H524" s="416"/>
      <c r="I524" s="412"/>
      <c r="J524" s="412"/>
    </row>
    <row r="525" spans="1:10" s="370" customFormat="1" ht="27.6">
      <c r="B525" s="367" t="s">
        <v>795</v>
      </c>
      <c r="C525" s="371">
        <v>2</v>
      </c>
      <c r="D525" s="370" t="s">
        <v>10</v>
      </c>
      <c r="E525" s="281">
        <f>'BQ MAPLE'!E525</f>
        <v>190000</v>
      </c>
      <c r="F525" s="360">
        <f t="shared" si="35"/>
        <v>380000</v>
      </c>
      <c r="H525" s="416"/>
      <c r="I525" s="412"/>
      <c r="J525" s="412"/>
    </row>
    <row r="526" spans="1:10" s="370" customFormat="1" ht="14.25" customHeight="1">
      <c r="B526" s="367" t="s">
        <v>796</v>
      </c>
      <c r="C526" s="371">
        <v>2</v>
      </c>
      <c r="D526" s="370" t="s">
        <v>10</v>
      </c>
      <c r="E526" s="281">
        <f>'BQ MAPLE'!E526</f>
        <v>190000</v>
      </c>
      <c r="F526" s="360">
        <f t="shared" si="35"/>
        <v>380000</v>
      </c>
      <c r="H526" s="416"/>
      <c r="I526" s="412"/>
      <c r="J526" s="412"/>
    </row>
    <row r="527" spans="1:10" s="370" customFormat="1" ht="14.25" customHeight="1">
      <c r="B527" s="367" t="s">
        <v>841</v>
      </c>
      <c r="C527" s="371">
        <v>1</v>
      </c>
      <c r="D527" s="370" t="s">
        <v>10</v>
      </c>
      <c r="E527" s="281">
        <f>'BQ MAPLE'!E527</f>
        <v>310000</v>
      </c>
      <c r="F527" s="360">
        <f t="shared" si="35"/>
        <v>310000</v>
      </c>
      <c r="H527" s="416"/>
      <c r="I527" s="412"/>
      <c r="J527" s="412"/>
    </row>
    <row r="528" spans="1:10" s="370" customFormat="1" ht="14.25" customHeight="1">
      <c r="B528" s="367" t="s">
        <v>842</v>
      </c>
      <c r="C528" s="371">
        <v>1</v>
      </c>
      <c r="D528" s="370" t="s">
        <v>10</v>
      </c>
      <c r="E528" s="281">
        <f>'BQ MAPLE'!E528</f>
        <v>177500</v>
      </c>
      <c r="F528" s="360">
        <f t="shared" si="35"/>
        <v>177500</v>
      </c>
      <c r="H528" s="416"/>
      <c r="I528" s="412"/>
      <c r="J528" s="412"/>
    </row>
    <row r="529" spans="1:10" s="370" customFormat="1" ht="14.25" customHeight="1">
      <c r="B529" s="367" t="s">
        <v>843</v>
      </c>
      <c r="C529" s="371">
        <v>1</v>
      </c>
      <c r="D529" s="370" t="s">
        <v>797</v>
      </c>
      <c r="E529" s="281">
        <f>'BQ MAPLE'!E529</f>
        <v>225000</v>
      </c>
      <c r="F529" s="360">
        <f t="shared" si="35"/>
        <v>225000</v>
      </c>
      <c r="H529" s="416"/>
      <c r="I529" s="412"/>
      <c r="J529" s="412"/>
    </row>
    <row r="530" spans="1:10" s="370" customFormat="1" ht="14.25" customHeight="1">
      <c r="B530" s="367" t="s">
        <v>844</v>
      </c>
      <c r="C530" s="371">
        <v>1</v>
      </c>
      <c r="D530" s="370" t="s">
        <v>797</v>
      </c>
      <c r="E530" s="281">
        <f>'BQ MAPLE'!E530</f>
        <v>190000</v>
      </c>
      <c r="F530" s="360">
        <f t="shared" si="35"/>
        <v>190000</v>
      </c>
      <c r="H530" s="414"/>
      <c r="I530" s="412"/>
      <c r="J530" s="412"/>
    </row>
    <row r="531" spans="1:10" s="370" customFormat="1" ht="14.25" customHeight="1">
      <c r="B531" s="367" t="s">
        <v>862</v>
      </c>
      <c r="C531" s="424">
        <v>3</v>
      </c>
      <c r="D531" s="370" t="s">
        <v>204</v>
      </c>
      <c r="E531" s="360">
        <f>E476+80000</f>
        <v>257500</v>
      </c>
      <c r="F531" s="360">
        <f t="shared" si="35"/>
        <v>772500</v>
      </c>
    </row>
    <row r="532" spans="1:10">
      <c r="A532" s="285"/>
      <c r="B532" s="280"/>
      <c r="C532" s="280"/>
      <c r="D532" s="280"/>
      <c r="E532" s="281"/>
      <c r="F532" s="281"/>
    </row>
    <row r="533" spans="1:10" ht="27.6">
      <c r="A533" s="282" t="s">
        <v>635</v>
      </c>
      <c r="B533" s="282" t="s">
        <v>636</v>
      </c>
      <c r="C533" s="282">
        <v>1</v>
      </c>
      <c r="D533" s="282" t="s">
        <v>6</v>
      </c>
      <c r="E533" s="283"/>
      <c r="F533" s="284">
        <f>SUM(F534:F552)</f>
        <v>11909700</v>
      </c>
    </row>
    <row r="534" spans="1:10">
      <c r="A534" s="285"/>
      <c r="B534" s="280" t="s">
        <v>283</v>
      </c>
      <c r="C534" s="280"/>
      <c r="D534" s="280" t="s">
        <v>6</v>
      </c>
      <c r="E534" s="281"/>
      <c r="F534" s="281">
        <f t="shared" ref="F534:F552" si="36">+C534*E534</f>
        <v>0</v>
      </c>
    </row>
    <row r="535" spans="1:10">
      <c r="A535" s="285"/>
      <c r="B535" s="280" t="s">
        <v>284</v>
      </c>
      <c r="C535" s="361">
        <v>1</v>
      </c>
      <c r="D535" s="280" t="s">
        <v>7</v>
      </c>
      <c r="E535" s="281">
        <f>'BQ MAPLE'!E535</f>
        <v>500000</v>
      </c>
      <c r="F535" s="281">
        <f t="shared" si="36"/>
        <v>500000</v>
      </c>
    </row>
    <row r="536" spans="1:10">
      <c r="A536" s="285"/>
      <c r="B536" s="280" t="s">
        <v>285</v>
      </c>
      <c r="C536" s="361">
        <v>1</v>
      </c>
      <c r="D536" s="280" t="s">
        <v>204</v>
      </c>
      <c r="E536" s="281">
        <f>'BQ MAPLE'!E536</f>
        <v>500000</v>
      </c>
      <c r="F536" s="281">
        <f t="shared" si="36"/>
        <v>500000</v>
      </c>
    </row>
    <row r="537" spans="1:10">
      <c r="A537" s="285"/>
      <c r="B537" s="280" t="s">
        <v>637</v>
      </c>
      <c r="C537" s="361">
        <f>7</f>
        <v>7</v>
      </c>
      <c r="D537" s="280" t="s">
        <v>8</v>
      </c>
      <c r="E537" s="281">
        <f>'BQ MAPLE'!E537</f>
        <v>115000</v>
      </c>
      <c r="F537" s="281">
        <f t="shared" si="36"/>
        <v>805000</v>
      </c>
    </row>
    <row r="538" spans="1:10">
      <c r="A538" s="285"/>
      <c r="B538" s="280" t="s">
        <v>638</v>
      </c>
      <c r="C538" s="361">
        <f>7</f>
        <v>7</v>
      </c>
      <c r="D538" s="280" t="s">
        <v>8</v>
      </c>
      <c r="E538" s="281">
        <f>'BQ MAPLE'!E538</f>
        <v>300000</v>
      </c>
      <c r="F538" s="281">
        <f t="shared" si="36"/>
        <v>2100000</v>
      </c>
    </row>
    <row r="539" spans="1:10">
      <c r="A539" s="285"/>
      <c r="B539" s="280" t="s">
        <v>639</v>
      </c>
      <c r="C539" s="356">
        <v>0</v>
      </c>
      <c r="D539" s="280" t="s">
        <v>8</v>
      </c>
      <c r="E539" s="281">
        <f>'BQ MAPLE'!E539</f>
        <v>0</v>
      </c>
      <c r="F539" s="281">
        <f t="shared" si="36"/>
        <v>0</v>
      </c>
    </row>
    <row r="540" spans="1:10">
      <c r="A540" s="285"/>
      <c r="B540" s="280" t="s">
        <v>640</v>
      </c>
      <c r="C540" s="356">
        <v>0</v>
      </c>
      <c r="D540" s="280" t="s">
        <v>8</v>
      </c>
      <c r="E540" s="281">
        <f>'BQ MAPLE'!E540</f>
        <v>0</v>
      </c>
      <c r="F540" s="281">
        <f t="shared" si="36"/>
        <v>0</v>
      </c>
    </row>
    <row r="541" spans="1:10" ht="27.6">
      <c r="A541" s="285"/>
      <c r="B541" s="280" t="s">
        <v>641</v>
      </c>
      <c r="C541" s="361">
        <f>2.5*1.1</f>
        <v>2.75</v>
      </c>
      <c r="D541" s="280" t="s">
        <v>5</v>
      </c>
      <c r="E541" s="281">
        <f>'BQ MAPLE'!E541</f>
        <v>850000</v>
      </c>
      <c r="F541" s="281">
        <f t="shared" si="36"/>
        <v>2337500</v>
      </c>
    </row>
    <row r="542" spans="1:10" ht="27.6">
      <c r="A542" s="285"/>
      <c r="B542" s="280" t="s">
        <v>642</v>
      </c>
      <c r="C542" s="361">
        <f>3.6*1</f>
        <v>3.6</v>
      </c>
      <c r="D542" s="280" t="s">
        <v>5</v>
      </c>
      <c r="E542" s="281">
        <f>'BQ MAPLE'!E542</f>
        <v>850000</v>
      </c>
      <c r="F542" s="281">
        <f t="shared" si="36"/>
        <v>3060000</v>
      </c>
    </row>
    <row r="543" spans="1:10" ht="27.6">
      <c r="A543" s="285"/>
      <c r="B543" s="280" t="s">
        <v>643</v>
      </c>
      <c r="C543" s="359">
        <v>0</v>
      </c>
      <c r="D543" s="280" t="s">
        <v>5</v>
      </c>
      <c r="E543" s="281">
        <f>'BQ MAPLE'!E543</f>
        <v>850000</v>
      </c>
      <c r="F543" s="281">
        <f t="shared" si="36"/>
        <v>0</v>
      </c>
    </row>
    <row r="544" spans="1:10">
      <c r="A544" s="285"/>
      <c r="B544" s="280" t="s">
        <v>644</v>
      </c>
      <c r="C544" s="359">
        <v>0</v>
      </c>
      <c r="D544" s="280" t="s">
        <v>5</v>
      </c>
      <c r="E544" s="281">
        <f>'BQ MAPLE'!E544</f>
        <v>0</v>
      </c>
      <c r="F544" s="281">
        <f t="shared" si="36"/>
        <v>0</v>
      </c>
    </row>
    <row r="545" spans="1:10">
      <c r="A545" s="285"/>
      <c r="B545" s="280" t="s">
        <v>645</v>
      </c>
      <c r="C545" s="361">
        <v>1</v>
      </c>
      <c r="D545" s="280" t="s">
        <v>6</v>
      </c>
      <c r="E545" s="281">
        <f>'BQ MAPLE'!E545</f>
        <v>500000</v>
      </c>
      <c r="F545" s="281">
        <f t="shared" si="36"/>
        <v>500000</v>
      </c>
    </row>
    <row r="546" spans="1:10" ht="27.6">
      <c r="A546" s="285"/>
      <c r="B546" s="280" t="s">
        <v>646</v>
      </c>
      <c r="C546" s="361">
        <v>2</v>
      </c>
      <c r="D546" s="280" t="s">
        <v>647</v>
      </c>
      <c r="E546" s="281">
        <f>'BQ MAPLE'!E546</f>
        <v>297600</v>
      </c>
      <c r="F546" s="281">
        <f t="shared" si="36"/>
        <v>595200</v>
      </c>
    </row>
    <row r="547" spans="1:10" ht="27.6">
      <c r="A547" s="285"/>
      <c r="B547" s="280" t="s">
        <v>648</v>
      </c>
      <c r="C547" s="361">
        <v>2</v>
      </c>
      <c r="D547" s="280" t="s">
        <v>647</v>
      </c>
      <c r="E547" s="281">
        <f>'BQ MAPLE'!E547</f>
        <v>195000</v>
      </c>
      <c r="F547" s="281">
        <f t="shared" si="36"/>
        <v>390000</v>
      </c>
    </row>
    <row r="548" spans="1:10">
      <c r="A548" s="285"/>
      <c r="B548" s="280" t="s">
        <v>836</v>
      </c>
      <c r="C548" s="374">
        <f>1.2*1.1</f>
        <v>1.32</v>
      </c>
      <c r="D548" s="280" t="s">
        <v>5</v>
      </c>
      <c r="E548" s="281">
        <f>'BQ MAPLE'!E548</f>
        <v>850000</v>
      </c>
      <c r="F548" s="281">
        <f t="shared" si="36"/>
        <v>1122000</v>
      </c>
    </row>
    <row r="549" spans="1:10">
      <c r="A549" s="285"/>
      <c r="B549" s="280" t="s">
        <v>649</v>
      </c>
      <c r="C549" s="356">
        <v>0</v>
      </c>
      <c r="D549" s="280" t="s">
        <v>6</v>
      </c>
      <c r="E549" s="281">
        <f>'BQ MAPLE'!E549</f>
        <v>0</v>
      </c>
      <c r="F549" s="281">
        <f t="shared" si="36"/>
        <v>0</v>
      </c>
    </row>
    <row r="550" spans="1:10">
      <c r="B550" s="286" t="s">
        <v>397</v>
      </c>
      <c r="C550" s="280"/>
      <c r="D550" s="280"/>
      <c r="E550" s="281"/>
      <c r="F550" s="281">
        <f t="shared" si="36"/>
        <v>0</v>
      </c>
    </row>
    <row r="551" spans="1:10">
      <c r="B551" s="286" t="s">
        <v>398</v>
      </c>
      <c r="C551" s="280"/>
      <c r="D551" s="280"/>
      <c r="E551" s="281"/>
      <c r="F551" s="281">
        <f t="shared" si="36"/>
        <v>0</v>
      </c>
    </row>
    <row r="552" spans="1:10">
      <c r="B552" s="286" t="s">
        <v>399</v>
      </c>
      <c r="C552" s="280"/>
      <c r="D552" s="280"/>
      <c r="E552" s="281"/>
      <c r="F552" s="281">
        <f t="shared" si="36"/>
        <v>0</v>
      </c>
    </row>
    <row r="553" spans="1:10">
      <c r="E553" s="287" t="s">
        <v>650</v>
      </c>
      <c r="F553" s="287">
        <f>SUM(F2:F552)/2</f>
        <v>911185388.2855351</v>
      </c>
    </row>
    <row r="556" spans="1:10" s="391" customFormat="1" ht="13.8">
      <c r="A556" s="371"/>
      <c r="B556" s="390" t="s">
        <v>804</v>
      </c>
      <c r="C556" s="371"/>
      <c r="D556" s="371"/>
      <c r="E556" s="371"/>
      <c r="F556" s="371"/>
      <c r="G556" s="371"/>
      <c r="H556" s="417"/>
      <c r="I556" s="413"/>
      <c r="J556" s="413"/>
    </row>
    <row r="557" spans="1:10" s="391" customFormat="1">
      <c r="A557" s="392">
        <f>1+A545</f>
        <v>1</v>
      </c>
      <c r="B557" s="393" t="s">
        <v>820</v>
      </c>
      <c r="C557" s="371">
        <f>6.2*5+2*1.5</f>
        <v>34</v>
      </c>
      <c r="D557" s="371" t="s">
        <v>5</v>
      </c>
      <c r="E557" s="360">
        <f>'BQ MAPLE'!E557</f>
        <v>1225000</v>
      </c>
      <c r="F557" s="360">
        <f>C557*E557</f>
        <v>41650000</v>
      </c>
      <c r="G557" s="369">
        <f>F557</f>
        <v>41650000</v>
      </c>
      <c r="H557" s="417"/>
      <c r="I557" s="413"/>
      <c r="J557" s="413"/>
    </row>
    <row r="558" spans="1:10" s="391" customFormat="1" ht="27.6">
      <c r="A558" s="392"/>
      <c r="B558" s="394" t="s">
        <v>805</v>
      </c>
      <c r="D558" s="371"/>
      <c r="E558" s="360"/>
      <c r="F558" s="360"/>
      <c r="G558" s="371"/>
      <c r="H558" s="417"/>
      <c r="I558" s="413"/>
      <c r="J558" s="413"/>
    </row>
    <row r="559" spans="1:10" s="391" customFormat="1">
      <c r="A559" s="392"/>
      <c r="B559" s="394" t="s">
        <v>806</v>
      </c>
      <c r="D559" s="371"/>
      <c r="E559" s="360"/>
      <c r="F559" s="360"/>
      <c r="G559" s="371"/>
      <c r="H559" s="417"/>
      <c r="I559" s="413"/>
      <c r="J559" s="413"/>
    </row>
    <row r="560" spans="1:10" s="391" customFormat="1">
      <c r="A560" s="392"/>
      <c r="B560" s="394" t="s">
        <v>807</v>
      </c>
      <c r="D560" s="371"/>
      <c r="E560" s="360"/>
      <c r="F560" s="360"/>
      <c r="G560" s="371"/>
      <c r="H560" s="417"/>
      <c r="I560" s="413"/>
      <c r="J560" s="413"/>
    </row>
    <row r="561" spans="1:10" s="391" customFormat="1">
      <c r="A561" s="392"/>
      <c r="B561" s="393" t="s">
        <v>808</v>
      </c>
      <c r="D561" s="371"/>
      <c r="E561" s="360"/>
      <c r="F561" s="360"/>
      <c r="G561" s="371"/>
      <c r="H561" s="417"/>
      <c r="I561" s="413"/>
      <c r="J561" s="413"/>
    </row>
    <row r="562" spans="1:10" s="391" customFormat="1">
      <c r="A562" s="392"/>
      <c r="B562" s="394" t="s">
        <v>809</v>
      </c>
      <c r="D562" s="371"/>
      <c r="E562" s="360"/>
      <c r="F562" s="360"/>
      <c r="G562" s="371"/>
      <c r="H562" s="417"/>
      <c r="I562" s="413"/>
      <c r="J562" s="413"/>
    </row>
    <row r="563" spans="1:10" s="391" customFormat="1">
      <c r="A563" s="392"/>
      <c r="B563" s="393" t="s">
        <v>810</v>
      </c>
      <c r="D563" s="371"/>
      <c r="E563" s="360"/>
      <c r="F563" s="360"/>
      <c r="G563" s="371"/>
      <c r="H563" s="417"/>
      <c r="I563" s="413"/>
      <c r="J563" s="413"/>
    </row>
    <row r="564" spans="1:10" s="391" customFormat="1">
      <c r="A564" s="392">
        <f>A557+1</f>
        <v>2</v>
      </c>
      <c r="B564" s="393" t="s">
        <v>811</v>
      </c>
      <c r="C564" s="371">
        <v>2</v>
      </c>
      <c r="D564" s="371" t="s">
        <v>302</v>
      </c>
      <c r="E564" s="360">
        <f>'BQ MAPLE'!E564</f>
        <v>980000</v>
      </c>
      <c r="F564" s="360">
        <f>C564*E564</f>
        <v>1960000</v>
      </c>
      <c r="H564" s="417"/>
      <c r="I564" s="413"/>
      <c r="J564" s="413"/>
    </row>
    <row r="565" spans="1:10" s="391" customFormat="1">
      <c r="A565" s="392">
        <f>A564+1</f>
        <v>3</v>
      </c>
      <c r="B565" s="393" t="s">
        <v>812</v>
      </c>
      <c r="C565" s="371">
        <v>1</v>
      </c>
      <c r="D565" s="371" t="s">
        <v>302</v>
      </c>
      <c r="E565" s="360">
        <f>'BQ MAPLE'!E565</f>
        <v>312000</v>
      </c>
      <c r="F565" s="360">
        <f>C565*E565</f>
        <v>312000</v>
      </c>
      <c r="G565" s="371"/>
      <c r="H565" s="417"/>
      <c r="I565" s="413"/>
      <c r="J565" s="413"/>
    </row>
    <row r="566" spans="1:10" s="391" customFormat="1">
      <c r="A566" s="371"/>
      <c r="B566" s="393" t="s">
        <v>813</v>
      </c>
      <c r="C566" s="371"/>
      <c r="D566" s="371"/>
      <c r="E566" s="360"/>
      <c r="F566" s="360"/>
      <c r="G566" s="371"/>
      <c r="H566" s="417"/>
      <c r="I566" s="413"/>
      <c r="J566" s="413"/>
    </row>
    <row r="567" spans="1:10" s="391" customFormat="1">
      <c r="A567" s="371"/>
      <c r="B567" s="393" t="s">
        <v>814</v>
      </c>
      <c r="C567" s="371">
        <f>1.2*6.2*0.5</f>
        <v>3.7199999999999998</v>
      </c>
      <c r="D567" s="371" t="s">
        <v>51</v>
      </c>
      <c r="E567" s="360">
        <f>'BQ MAPLE'!E567</f>
        <v>75000</v>
      </c>
      <c r="F567" s="360">
        <f>C567*E567</f>
        <v>279000</v>
      </c>
      <c r="G567" s="371"/>
      <c r="H567" s="417"/>
      <c r="I567" s="413"/>
      <c r="J567" s="413"/>
    </row>
    <row r="568" spans="1:10" s="391" customFormat="1">
      <c r="A568" s="371"/>
      <c r="B568" s="393" t="s">
        <v>815</v>
      </c>
      <c r="C568" s="371">
        <f>1.2*6.2*0.5</f>
        <v>3.7199999999999998</v>
      </c>
      <c r="D568" s="371" t="s">
        <v>51</v>
      </c>
      <c r="E568" s="360">
        <f>'BQ MAPLE'!E568</f>
        <v>150000</v>
      </c>
      <c r="F568" s="360">
        <f>C568*E568</f>
        <v>558000</v>
      </c>
      <c r="G568" s="371"/>
      <c r="H568" s="417"/>
      <c r="I568" s="413"/>
      <c r="J568" s="413"/>
    </row>
    <row r="569" spans="1:10" s="391" customFormat="1">
      <c r="A569" s="371"/>
      <c r="B569" s="393" t="s">
        <v>816</v>
      </c>
      <c r="C569" s="371">
        <f>1.2*6.2*0.05</f>
        <v>0.372</v>
      </c>
      <c r="D569" s="371" t="s">
        <v>51</v>
      </c>
      <c r="E569" s="360">
        <f>'BQ MAPLE'!E569</f>
        <v>804190.63636363635</v>
      </c>
      <c r="F569" s="360">
        <f>C569*E569</f>
        <v>299158.91672727274</v>
      </c>
      <c r="G569" s="371"/>
      <c r="H569" s="417"/>
      <c r="I569" s="413"/>
      <c r="J569" s="413"/>
    </row>
    <row r="570" spans="1:10" s="391" customFormat="1">
      <c r="A570" s="371"/>
      <c r="B570" s="393" t="s">
        <v>817</v>
      </c>
      <c r="C570" s="371">
        <f>1.2*6.2*0.1</f>
        <v>0.74399999999999999</v>
      </c>
      <c r="D570" s="371" t="s">
        <v>51</v>
      </c>
      <c r="E570" s="360">
        <f>'BQ MAPLE'!E570</f>
        <v>1378456.7901234569</v>
      </c>
      <c r="F570" s="360">
        <f>C570*E570</f>
        <v>1025571.8518518519</v>
      </c>
      <c r="G570" s="371"/>
      <c r="H570" s="417"/>
      <c r="I570" s="413"/>
      <c r="J570" s="413"/>
    </row>
    <row r="571" spans="1:10" s="391" customFormat="1">
      <c r="A571" s="371"/>
      <c r="B571" s="394" t="s">
        <v>818</v>
      </c>
      <c r="C571" s="371">
        <f>1.2*6.2</f>
        <v>7.4399999999999995</v>
      </c>
      <c r="D571" s="371" t="s">
        <v>5</v>
      </c>
      <c r="E571" s="360">
        <f>'BQ MAPLE'!E571</f>
        <v>239262.5</v>
      </c>
      <c r="F571" s="360">
        <f>C571*E571</f>
        <v>1780112.9999999998</v>
      </c>
      <c r="G571" s="371"/>
      <c r="H571" s="417"/>
      <c r="I571" s="413"/>
      <c r="J571" s="413"/>
    </row>
    <row r="572" spans="1:10" s="391" customFormat="1">
      <c r="A572" s="371"/>
      <c r="B572" s="395"/>
      <c r="D572" s="371"/>
      <c r="E572" s="360"/>
      <c r="F572" s="360">
        <f>SUM(F564:F571)</f>
        <v>6213843.7685791245</v>
      </c>
      <c r="G572" s="371"/>
      <c r="H572" s="417"/>
      <c r="I572" s="413"/>
      <c r="J572" s="413"/>
    </row>
    <row r="573" spans="1:10" s="391" customFormat="1">
      <c r="A573" s="371"/>
      <c r="B573" s="395"/>
      <c r="D573" s="371"/>
      <c r="E573" s="371"/>
      <c r="F573" s="369">
        <v>6300000</v>
      </c>
      <c r="G573" s="371"/>
      <c r="H573" s="417"/>
      <c r="I573" s="413"/>
      <c r="J573" s="413"/>
    </row>
  </sheetData>
  <pageMargins left="0.25" right="0.25" top="0.75" bottom="0.75" header="0.3" footer="0.3"/>
  <pageSetup paperSize="9" scale="90" orientation="portrait" horizontalDpi="12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78"/>
  <sheetViews>
    <sheetView zoomScaleNormal="100" workbookViewId="0">
      <pane ySplit="1" topLeftCell="A141" activePane="bottomLeft" state="frozen"/>
      <selection pane="bottomLeft" activeCell="C155" sqref="C155"/>
    </sheetView>
  </sheetViews>
  <sheetFormatPr defaultRowHeight="14.4"/>
  <cols>
    <col min="1" max="1" width="11.33203125" bestFit="1" customWidth="1"/>
    <col min="2" max="2" width="39.6640625" customWidth="1"/>
    <col min="3" max="3" width="8.44140625" bestFit="1" customWidth="1"/>
    <col min="4" max="4" width="6.44140625" bestFit="1" customWidth="1"/>
    <col min="5" max="6" width="14.21875" style="288" bestFit="1" customWidth="1"/>
    <col min="7" max="7" width="12" customWidth="1"/>
    <col min="8" max="8" width="14.88671875" bestFit="1" customWidth="1"/>
    <col min="9" max="9" width="63.88671875" customWidth="1"/>
    <col min="10" max="10" width="9.33203125" bestFit="1" customWidth="1"/>
    <col min="12" max="12" width="14.44140625" bestFit="1" customWidth="1"/>
    <col min="13" max="13" width="16.77734375" bestFit="1" customWidth="1"/>
  </cols>
  <sheetData>
    <row r="1" spans="1:13">
      <c r="A1" s="280" t="s">
        <v>0</v>
      </c>
      <c r="B1" s="280" t="s">
        <v>1</v>
      </c>
      <c r="C1" s="280" t="s">
        <v>2</v>
      </c>
      <c r="D1" s="280" t="s">
        <v>177</v>
      </c>
      <c r="E1" s="281" t="s">
        <v>3</v>
      </c>
      <c r="F1" s="281" t="s">
        <v>4</v>
      </c>
    </row>
    <row r="2" spans="1:13">
      <c r="A2" s="282" t="s">
        <v>178</v>
      </c>
      <c r="B2" s="282" t="s">
        <v>179</v>
      </c>
      <c r="C2" s="282"/>
      <c r="D2" s="282" t="s">
        <v>6</v>
      </c>
      <c r="E2" s="283"/>
      <c r="F2" s="284">
        <f>SUM(F3:F11)</f>
        <v>4433680</v>
      </c>
      <c r="G2" s="397" t="s">
        <v>825</v>
      </c>
      <c r="I2" s="429" t="s">
        <v>179</v>
      </c>
      <c r="J2" s="429"/>
      <c r="K2" s="429" t="s">
        <v>6</v>
      </c>
      <c r="L2" s="429"/>
      <c r="M2" s="429">
        <v>5485520</v>
      </c>
    </row>
    <row r="3" spans="1:13">
      <c r="A3" s="285"/>
      <c r="B3" s="280" t="s">
        <v>180</v>
      </c>
      <c r="C3" s="280"/>
      <c r="D3" s="280" t="s">
        <v>6</v>
      </c>
      <c r="E3" s="281"/>
      <c r="F3" s="281">
        <f>+C3*E3</f>
        <v>0</v>
      </c>
      <c r="H3" s="358"/>
      <c r="I3" s="430" t="s">
        <v>180</v>
      </c>
      <c r="J3" s="430"/>
      <c r="K3" s="429" t="s">
        <v>6</v>
      </c>
      <c r="L3" s="429"/>
      <c r="M3" s="429">
        <v>0</v>
      </c>
    </row>
    <row r="4" spans="1:13">
      <c r="A4" s="285"/>
      <c r="B4" s="280" t="s">
        <v>181</v>
      </c>
      <c r="C4" s="280">
        <v>1</v>
      </c>
      <c r="D4" s="280" t="s">
        <v>6</v>
      </c>
      <c r="E4" s="281">
        <f>'BQ MAPLE POOL'!E4</f>
        <v>500000</v>
      </c>
      <c r="F4" s="281">
        <f>+C4*E4</f>
        <v>500000</v>
      </c>
      <c r="I4" s="429" t="s">
        <v>181</v>
      </c>
      <c r="J4" s="429">
        <v>1</v>
      </c>
      <c r="K4" s="429" t="s">
        <v>6</v>
      </c>
      <c r="L4" s="429">
        <v>500000</v>
      </c>
      <c r="M4" s="429">
        <v>500000</v>
      </c>
    </row>
    <row r="5" spans="1:13">
      <c r="A5" s="285"/>
      <c r="B5" s="280" t="s">
        <v>182</v>
      </c>
      <c r="C5" s="280">
        <v>1</v>
      </c>
      <c r="D5" s="280" t="s">
        <v>6</v>
      </c>
      <c r="E5" s="281">
        <f>'BQ MAPLE POOL'!E5</f>
        <v>1000000</v>
      </c>
      <c r="F5" s="281">
        <f t="shared" ref="F5:F11" si="0">+C5*E5</f>
        <v>1000000</v>
      </c>
      <c r="I5" s="429" t="s">
        <v>182</v>
      </c>
      <c r="J5" s="429">
        <v>1</v>
      </c>
      <c r="K5" s="429" t="s">
        <v>6</v>
      </c>
      <c r="L5" s="429">
        <v>2000000</v>
      </c>
      <c r="M5" s="429">
        <v>2000000</v>
      </c>
    </row>
    <row r="6" spans="1:13">
      <c r="A6" s="285"/>
      <c r="B6" s="280" t="s">
        <v>183</v>
      </c>
      <c r="C6" s="396">
        <v>54</v>
      </c>
      <c r="D6" s="280" t="s">
        <v>8</v>
      </c>
      <c r="E6" s="281">
        <f>'BQ MAPLE POOL'!E6</f>
        <v>21920</v>
      </c>
      <c r="F6" s="281">
        <f t="shared" si="0"/>
        <v>1183680</v>
      </c>
      <c r="I6" s="429" t="s">
        <v>183</v>
      </c>
      <c r="J6" s="429">
        <v>54</v>
      </c>
      <c r="K6" s="429" t="s">
        <v>8</v>
      </c>
      <c r="L6" s="429">
        <v>22880</v>
      </c>
      <c r="M6" s="429">
        <v>1235520</v>
      </c>
    </row>
    <row r="7" spans="1:13">
      <c r="A7" s="285"/>
      <c r="B7" s="280" t="s">
        <v>184</v>
      </c>
      <c r="C7" s="280">
        <v>1</v>
      </c>
      <c r="D7" s="280" t="s">
        <v>6</v>
      </c>
      <c r="E7" s="281">
        <f>'BQ MAPLE POOL'!E7</f>
        <v>750000</v>
      </c>
      <c r="F7" s="281">
        <f t="shared" si="0"/>
        <v>750000</v>
      </c>
      <c r="I7" s="429" t="s">
        <v>184</v>
      </c>
      <c r="J7" s="429">
        <v>1</v>
      </c>
      <c r="K7" s="429" t="s">
        <v>6</v>
      </c>
      <c r="L7" s="429">
        <v>750000</v>
      </c>
      <c r="M7" s="429">
        <v>750000</v>
      </c>
    </row>
    <row r="8" spans="1:13">
      <c r="A8" s="285"/>
      <c r="B8" s="280" t="s">
        <v>185</v>
      </c>
      <c r="C8" s="280">
        <v>1</v>
      </c>
      <c r="D8" s="280" t="s">
        <v>6</v>
      </c>
      <c r="E8" s="281">
        <f>'BQ MAPLE POOL'!E8</f>
        <v>1000000</v>
      </c>
      <c r="F8" s="281">
        <f t="shared" si="0"/>
        <v>1000000</v>
      </c>
      <c r="I8" s="429" t="s">
        <v>185</v>
      </c>
      <c r="J8" s="429">
        <v>1</v>
      </c>
      <c r="K8" s="429" t="s">
        <v>6</v>
      </c>
      <c r="L8" s="429">
        <v>1000000</v>
      </c>
      <c r="M8" s="429">
        <v>1000000</v>
      </c>
    </row>
    <row r="9" spans="1:13">
      <c r="A9" s="285"/>
      <c r="B9" s="286" t="s">
        <v>397</v>
      </c>
      <c r="C9" s="280"/>
      <c r="D9" s="280"/>
      <c r="E9" s="281"/>
      <c r="F9" s="281">
        <f t="shared" si="0"/>
        <v>0</v>
      </c>
      <c r="I9" s="429" t="s">
        <v>397</v>
      </c>
      <c r="J9" s="429"/>
      <c r="K9" s="429"/>
      <c r="L9" s="429"/>
      <c r="M9" s="429">
        <v>0</v>
      </c>
    </row>
    <row r="10" spans="1:13">
      <c r="A10" s="285"/>
      <c r="B10" s="286" t="s">
        <v>398</v>
      </c>
      <c r="C10" s="280"/>
      <c r="D10" s="280"/>
      <c r="E10" s="281"/>
      <c r="F10" s="281">
        <f t="shared" si="0"/>
        <v>0</v>
      </c>
      <c r="I10" s="429" t="s">
        <v>398</v>
      </c>
      <c r="J10" s="429"/>
      <c r="K10" s="429"/>
      <c r="L10" s="429"/>
      <c r="M10" s="429">
        <v>0</v>
      </c>
    </row>
    <row r="11" spans="1:13">
      <c r="A11" s="285"/>
      <c r="B11" s="286" t="s">
        <v>399</v>
      </c>
      <c r="C11" s="280"/>
      <c r="D11" s="280"/>
      <c r="E11" s="281"/>
      <c r="F11" s="281">
        <f t="shared" si="0"/>
        <v>0</v>
      </c>
      <c r="I11" s="429" t="s">
        <v>399</v>
      </c>
      <c r="J11" s="429"/>
      <c r="K11" s="429"/>
      <c r="L11" s="429"/>
      <c r="M11" s="429">
        <v>0</v>
      </c>
    </row>
    <row r="12" spans="1:13">
      <c r="A12" s="285"/>
      <c r="B12" s="280"/>
      <c r="C12" s="280"/>
      <c r="D12" s="280"/>
      <c r="E12" s="281"/>
      <c r="F12" s="281"/>
      <c r="I12" s="429"/>
      <c r="J12" s="429"/>
      <c r="K12" s="429"/>
      <c r="L12" s="429"/>
      <c r="M12" s="429"/>
    </row>
    <row r="13" spans="1:13">
      <c r="A13" s="282" t="s">
        <v>186</v>
      </c>
      <c r="B13" s="282" t="s">
        <v>187</v>
      </c>
      <c r="C13" s="282"/>
      <c r="D13" s="282" t="s">
        <v>6</v>
      </c>
      <c r="E13" s="283"/>
      <c r="F13" s="284">
        <f>SUM(F14:F25)</f>
        <v>9482051</v>
      </c>
      <c r="I13" s="429" t="s">
        <v>187</v>
      </c>
      <c r="J13" s="429"/>
      <c r="K13" s="429" t="s">
        <v>6</v>
      </c>
      <c r="L13" s="429"/>
      <c r="M13" s="429">
        <v>9861611</v>
      </c>
    </row>
    <row r="14" spans="1:13">
      <c r="A14" s="285"/>
      <c r="B14" s="280" t="s">
        <v>188</v>
      </c>
      <c r="C14" s="280"/>
      <c r="D14" s="280" t="s">
        <v>6</v>
      </c>
      <c r="E14" s="281"/>
      <c r="F14" s="281">
        <f>+C14*E14</f>
        <v>0</v>
      </c>
      <c r="I14" s="429" t="s">
        <v>188</v>
      </c>
      <c r="J14" s="429"/>
      <c r="K14" s="429" t="s">
        <v>6</v>
      </c>
      <c r="L14" s="429"/>
      <c r="M14" s="429">
        <v>0</v>
      </c>
    </row>
    <row r="15" spans="1:13" ht="27.6">
      <c r="A15" s="285"/>
      <c r="B15" s="280" t="s">
        <v>189</v>
      </c>
      <c r="C15" s="356">
        <v>0</v>
      </c>
      <c r="D15" s="280" t="s">
        <v>10</v>
      </c>
      <c r="E15" s="281">
        <f>'BQ MAPLE POOL'!E15</f>
        <v>190900</v>
      </c>
      <c r="F15" s="281">
        <f t="shared" ref="F15:F25" si="1">+C15*E15</f>
        <v>0</v>
      </c>
      <c r="I15" s="429" t="s">
        <v>189</v>
      </c>
      <c r="J15" s="429">
        <v>0</v>
      </c>
      <c r="K15" s="429" t="s">
        <v>10</v>
      </c>
      <c r="L15" s="429">
        <v>191350</v>
      </c>
      <c r="M15" s="429">
        <v>0</v>
      </c>
    </row>
    <row r="16" spans="1:13">
      <c r="A16" s="285"/>
      <c r="B16" s="280" t="s">
        <v>313</v>
      </c>
      <c r="C16" s="361">
        <f>(3.85*2.3+7.7*0.97+8*9.8+2*2.15+2*1.6)*0.25</f>
        <v>25.556000000000001</v>
      </c>
      <c r="D16" s="280" t="s">
        <v>9</v>
      </c>
      <c r="E16" s="281">
        <f>'BQ MAPLE POOL'!E16</f>
        <v>150000</v>
      </c>
      <c r="F16" s="281">
        <f t="shared" si="1"/>
        <v>3833400</v>
      </c>
      <c r="I16" s="429" t="s">
        <v>313</v>
      </c>
      <c r="J16" s="429">
        <v>25.556000000000001</v>
      </c>
      <c r="K16" s="429" t="s">
        <v>9</v>
      </c>
      <c r="L16" s="429">
        <v>160000</v>
      </c>
      <c r="M16" s="429">
        <v>4088960</v>
      </c>
    </row>
    <row r="17" spans="1:13">
      <c r="A17" s="285"/>
      <c r="B17" s="280" t="s">
        <v>400</v>
      </c>
      <c r="C17" s="361">
        <f>6.2*5*0.4</f>
        <v>12.4</v>
      </c>
      <c r="D17" s="280" t="s">
        <v>9</v>
      </c>
      <c r="E17" s="281">
        <f>'BQ MAPLE POOL'!E17</f>
        <v>150000</v>
      </c>
      <c r="F17" s="281">
        <f t="shared" si="1"/>
        <v>1860000</v>
      </c>
      <c r="I17" s="429" t="s">
        <v>400</v>
      </c>
      <c r="J17" s="429">
        <v>12.4</v>
      </c>
      <c r="K17" s="429" t="s">
        <v>9</v>
      </c>
      <c r="L17" s="429">
        <v>160000</v>
      </c>
      <c r="M17" s="429">
        <v>1984000</v>
      </c>
    </row>
    <row r="18" spans="1:13">
      <c r="A18" s="285"/>
      <c r="B18" s="280" t="s">
        <v>190</v>
      </c>
      <c r="C18" s="361">
        <f>(162.4*0.2*0.4)+(0.5*0.5*26+1*0.5*5+1.5*0.5)*0.6*0.9</f>
        <v>18.257000000000001</v>
      </c>
      <c r="D18" s="280" t="s">
        <v>9</v>
      </c>
      <c r="E18" s="281">
        <f>'BQ MAPLE POOL'!E18</f>
        <v>75000</v>
      </c>
      <c r="F18" s="281">
        <f t="shared" si="1"/>
        <v>1369275</v>
      </c>
      <c r="I18" s="429" t="s">
        <v>190</v>
      </c>
      <c r="J18" s="429">
        <v>18.257000000000001</v>
      </c>
      <c r="K18" s="429" t="s">
        <v>9</v>
      </c>
      <c r="L18" s="429">
        <v>75000</v>
      </c>
      <c r="M18" s="429">
        <v>1369275</v>
      </c>
    </row>
    <row r="19" spans="1:13">
      <c r="A19" s="285"/>
      <c r="B19" s="280" t="s">
        <v>191</v>
      </c>
      <c r="C19" s="361">
        <f>C18*0.6</f>
        <v>10.9542</v>
      </c>
      <c r="D19" s="280" t="s">
        <v>9</v>
      </c>
      <c r="E19" s="281">
        <f>'BQ MAPLE POOL'!E19</f>
        <v>75000</v>
      </c>
      <c r="F19" s="281">
        <f t="shared" si="1"/>
        <v>821565</v>
      </c>
      <c r="I19" s="429" t="s">
        <v>191</v>
      </c>
      <c r="J19" s="429">
        <v>10.9542</v>
      </c>
      <c r="K19" s="429" t="s">
        <v>9</v>
      </c>
      <c r="L19" s="429">
        <v>75000</v>
      </c>
      <c r="M19" s="429">
        <v>821565</v>
      </c>
    </row>
    <row r="20" spans="1:13">
      <c r="A20" s="285"/>
      <c r="B20" s="280" t="s">
        <v>192</v>
      </c>
      <c r="C20" s="361">
        <f>C18*0.4</f>
        <v>7.3028000000000013</v>
      </c>
      <c r="D20" s="280" t="s">
        <v>9</v>
      </c>
      <c r="E20" s="281">
        <f>'BQ MAPLE POOL'!E20</f>
        <v>60000</v>
      </c>
      <c r="F20" s="281">
        <f t="shared" si="1"/>
        <v>438168.00000000006</v>
      </c>
      <c r="I20" s="429" t="s">
        <v>192</v>
      </c>
      <c r="J20" s="429">
        <v>7.3028000000000013</v>
      </c>
      <c r="K20" s="429" t="s">
        <v>9</v>
      </c>
      <c r="L20" s="429">
        <v>60000</v>
      </c>
      <c r="M20" s="429">
        <v>438168.00000000006</v>
      </c>
    </row>
    <row r="21" spans="1:13">
      <c r="A21" s="285"/>
      <c r="B21" s="280" t="s">
        <v>401</v>
      </c>
      <c r="C21" s="361">
        <f>133.22</f>
        <v>133.22</v>
      </c>
      <c r="D21" s="280" t="s">
        <v>5</v>
      </c>
      <c r="E21" s="281">
        <f>'BQ MAPLE POOL'!E21</f>
        <v>3150</v>
      </c>
      <c r="F21" s="281">
        <f t="shared" si="1"/>
        <v>419643</v>
      </c>
      <c r="I21" s="429" t="s">
        <v>401</v>
      </c>
      <c r="J21" s="429">
        <v>133.22</v>
      </c>
      <c r="K21" s="429" t="s">
        <v>5</v>
      </c>
      <c r="L21" s="429">
        <v>3150</v>
      </c>
      <c r="M21" s="429">
        <v>419643</v>
      </c>
    </row>
    <row r="22" spans="1:13">
      <c r="A22" s="285"/>
      <c r="B22" s="280" t="s">
        <v>193</v>
      </c>
      <c r="C22" s="402">
        <v>37</v>
      </c>
      <c r="D22" s="280" t="s">
        <v>10</v>
      </c>
      <c r="E22" s="281">
        <f>'BQ MAPLE POOL'!E22</f>
        <v>20000</v>
      </c>
      <c r="F22" s="281">
        <f t="shared" si="1"/>
        <v>740000</v>
      </c>
      <c r="G22" s="358"/>
      <c r="I22" s="429" t="s">
        <v>193</v>
      </c>
      <c r="J22" s="429">
        <v>37</v>
      </c>
      <c r="K22" s="429" t="s">
        <v>10</v>
      </c>
      <c r="L22" s="429">
        <v>20000</v>
      </c>
      <c r="M22" s="429">
        <v>740000</v>
      </c>
    </row>
    <row r="23" spans="1:13">
      <c r="A23" s="285"/>
      <c r="B23" s="286" t="s">
        <v>397</v>
      </c>
      <c r="C23" s="361"/>
      <c r="D23" s="280"/>
      <c r="E23" s="281"/>
      <c r="F23" s="281">
        <f t="shared" si="1"/>
        <v>0</v>
      </c>
      <c r="G23" s="358"/>
      <c r="I23" s="429" t="s">
        <v>397</v>
      </c>
      <c r="J23" s="429"/>
      <c r="K23" s="429"/>
      <c r="L23" s="429"/>
      <c r="M23" s="429">
        <v>0</v>
      </c>
    </row>
    <row r="24" spans="1:13">
      <c r="A24" s="285"/>
      <c r="B24" s="286" t="s">
        <v>398</v>
      </c>
      <c r="C24" s="361"/>
      <c r="D24" s="280"/>
      <c r="E24" s="281"/>
      <c r="F24" s="281">
        <f t="shared" si="1"/>
        <v>0</v>
      </c>
      <c r="I24" s="429" t="s">
        <v>398</v>
      </c>
      <c r="J24" s="429"/>
      <c r="K24" s="429"/>
      <c r="L24" s="429"/>
      <c r="M24" s="429">
        <v>0</v>
      </c>
    </row>
    <row r="25" spans="1:13">
      <c r="A25" s="285"/>
      <c r="B25" s="286" t="s">
        <v>399</v>
      </c>
      <c r="C25" s="361"/>
      <c r="D25" s="280"/>
      <c r="E25" s="281"/>
      <c r="F25" s="281">
        <f t="shared" si="1"/>
        <v>0</v>
      </c>
      <c r="I25" s="429" t="s">
        <v>399</v>
      </c>
      <c r="J25" s="429"/>
      <c r="K25" s="429"/>
      <c r="L25" s="429"/>
      <c r="M25" s="429">
        <v>0</v>
      </c>
    </row>
    <row r="26" spans="1:13">
      <c r="A26" s="285"/>
      <c r="B26" s="280"/>
      <c r="C26" s="361"/>
      <c r="D26" s="280"/>
      <c r="E26" s="281"/>
      <c r="F26" s="281"/>
      <c r="I26" s="429"/>
      <c r="J26" s="429"/>
      <c r="K26" s="429"/>
      <c r="L26" s="429"/>
      <c r="M26" s="429"/>
    </row>
    <row r="27" spans="1:13">
      <c r="A27" s="282" t="s">
        <v>194</v>
      </c>
      <c r="B27" s="282" t="s">
        <v>195</v>
      </c>
      <c r="C27" s="375"/>
      <c r="D27" s="282" t="s">
        <v>6</v>
      </c>
      <c r="E27" s="283"/>
      <c r="F27" s="284">
        <f>SUM(F28:F42)</f>
        <v>43600363.18783816</v>
      </c>
      <c r="I27" s="429" t="s">
        <v>195</v>
      </c>
      <c r="J27" s="429"/>
      <c r="K27" s="429" t="s">
        <v>6</v>
      </c>
      <c r="L27" s="429"/>
      <c r="M27" s="429">
        <v>40633649.130067244</v>
      </c>
    </row>
    <row r="28" spans="1:13">
      <c r="A28" s="285"/>
      <c r="B28" s="280" t="s">
        <v>196</v>
      </c>
      <c r="C28" s="361"/>
      <c r="D28" s="280" t="s">
        <v>6</v>
      </c>
      <c r="E28" s="281"/>
      <c r="F28" s="281">
        <f t="shared" ref="F28:F42" si="2">+C28*E28</f>
        <v>0</v>
      </c>
      <c r="I28" s="429" t="s">
        <v>196</v>
      </c>
      <c r="J28" s="429"/>
      <c r="K28" s="429" t="s">
        <v>6</v>
      </c>
      <c r="L28" s="429"/>
      <c r="M28" s="429">
        <v>0</v>
      </c>
    </row>
    <row r="29" spans="1:13">
      <c r="A29" s="285"/>
      <c r="B29" s="280" t="s">
        <v>857</v>
      </c>
      <c r="C29" s="421">
        <f>0.4*0.4*0.4*11</f>
        <v>0.70400000000000018</v>
      </c>
      <c r="D29" s="280" t="s">
        <v>9</v>
      </c>
      <c r="E29" s="281">
        <f>'BQ MAPLE POOL'!E29</f>
        <v>3852484.2317997543</v>
      </c>
      <c r="F29" s="281">
        <f t="shared" si="2"/>
        <v>2712148.8991870279</v>
      </c>
      <c r="I29" s="429" t="s">
        <v>860</v>
      </c>
      <c r="J29" s="429">
        <v>0.70400000000000018</v>
      </c>
      <c r="K29" s="429" t="s">
        <v>9</v>
      </c>
      <c r="L29" s="429">
        <v>4000112.9351965608</v>
      </c>
      <c r="M29" s="429">
        <v>2816079.5063783797</v>
      </c>
    </row>
    <row r="30" spans="1:13">
      <c r="A30" s="285"/>
      <c r="B30" s="280" t="s">
        <v>856</v>
      </c>
      <c r="C30" s="421">
        <f>0.4*0.4*0.4*8</f>
        <v>0.51200000000000012</v>
      </c>
      <c r="D30" s="280" t="s">
        <v>9</v>
      </c>
      <c r="E30" s="281">
        <f>'BQ MAPLE POOL'!E30</f>
        <v>3852484.2317997543</v>
      </c>
      <c r="F30" s="281">
        <f t="shared" si="2"/>
        <v>1972471.9266814748</v>
      </c>
      <c r="I30" s="429" t="s">
        <v>863</v>
      </c>
      <c r="J30" s="429">
        <v>0.51200000000000012</v>
      </c>
      <c r="K30" s="429" t="s">
        <v>9</v>
      </c>
      <c r="L30" s="429">
        <v>4000112.9351965608</v>
      </c>
      <c r="M30" s="429">
        <v>2048057.8228206397</v>
      </c>
    </row>
    <row r="31" spans="1:13">
      <c r="A31" s="285"/>
      <c r="B31" s="280" t="s">
        <v>395</v>
      </c>
      <c r="C31" s="361">
        <f>0.6*0.5*0.4*4</f>
        <v>0.48</v>
      </c>
      <c r="D31" s="280" t="s">
        <v>9</v>
      </c>
      <c r="E31" s="281">
        <f>'BQ MAPLE POOL'!E31</f>
        <v>3498750.737496247</v>
      </c>
      <c r="F31" s="281">
        <f t="shared" si="2"/>
        <v>1679400.3539981984</v>
      </c>
      <c r="I31" s="429" t="s">
        <v>395</v>
      </c>
      <c r="J31" s="429">
        <v>0.48</v>
      </c>
      <c r="K31" s="429" t="s">
        <v>9</v>
      </c>
      <c r="L31" s="429">
        <v>3629073.5377252256</v>
      </c>
      <c r="M31" s="429">
        <v>1741955.2981081081</v>
      </c>
    </row>
    <row r="32" spans="1:13">
      <c r="A32" s="285"/>
      <c r="B32" s="280" t="s">
        <v>402</v>
      </c>
      <c r="C32" s="361">
        <f>1*0.5*0.5*5</f>
        <v>1.25</v>
      </c>
      <c r="D32" s="280" t="s">
        <v>9</v>
      </c>
      <c r="E32" s="281">
        <f>'BQ MAPLE POOL'!E32</f>
        <v>2647171.0161464373</v>
      </c>
      <c r="F32" s="281">
        <f t="shared" si="2"/>
        <v>3308963.7701830463</v>
      </c>
      <c r="I32" s="429" t="s">
        <v>402</v>
      </c>
      <c r="J32" s="429">
        <v>1.25</v>
      </c>
      <c r="K32" s="429" t="s">
        <v>9</v>
      </c>
      <c r="L32" s="429">
        <v>2735382.8628501226</v>
      </c>
      <c r="M32" s="429">
        <v>3419228.5785626532</v>
      </c>
    </row>
    <row r="33" spans="1:13">
      <c r="A33" s="285"/>
      <c r="B33" s="280" t="s">
        <v>403</v>
      </c>
      <c r="C33" s="373">
        <f>1.5*0.5*0.5*1</f>
        <v>0.375</v>
      </c>
      <c r="D33" s="280" t="s">
        <v>9</v>
      </c>
      <c r="E33" s="281">
        <f>'BQ MAPLE POOL'!E33</f>
        <v>2578922.5388660226</v>
      </c>
      <c r="F33" s="281">
        <f t="shared" si="2"/>
        <v>967095.95207475848</v>
      </c>
      <c r="I33" s="429" t="s">
        <v>403</v>
      </c>
      <c r="J33" s="429">
        <v>0.375</v>
      </c>
      <c r="K33" s="429" t="s">
        <v>9</v>
      </c>
      <c r="L33" s="429">
        <v>2664684.1729598697</v>
      </c>
      <c r="M33" s="429">
        <v>999256.56485995115</v>
      </c>
    </row>
    <row r="34" spans="1:13">
      <c r="A34" s="285"/>
      <c r="B34" s="280" t="s">
        <v>404</v>
      </c>
      <c r="C34" s="361">
        <f>0.15*0.3*3.9</f>
        <v>0.17549999999999999</v>
      </c>
      <c r="D34" s="280" t="s">
        <v>9</v>
      </c>
      <c r="E34" s="281">
        <f>'BQ MAPLE POOL'!E34</f>
        <v>3073435.9402093007</v>
      </c>
      <c r="F34" s="281">
        <f t="shared" si="2"/>
        <v>539388.00750673225</v>
      </c>
      <c r="I34" s="429" t="s">
        <v>404</v>
      </c>
      <c r="J34" s="429">
        <v>0.17549999999999999</v>
      </c>
      <c r="K34" s="429" t="s">
        <v>9</v>
      </c>
      <c r="L34" s="429">
        <v>3179356.9456729461</v>
      </c>
      <c r="M34" s="429">
        <v>557977.14396560204</v>
      </c>
    </row>
    <row r="35" spans="1:13">
      <c r="A35" s="285"/>
      <c r="B35" s="280" t="s">
        <v>405</v>
      </c>
      <c r="C35" s="361">
        <f>0.15*0.3*2.15</f>
        <v>9.6749999999999989E-2</v>
      </c>
      <c r="D35" s="280" t="s">
        <v>9</v>
      </c>
      <c r="E35" s="281">
        <f>'BQ MAPLE POOL'!E35</f>
        <v>3580111.2173264176</v>
      </c>
      <c r="F35" s="281">
        <f t="shared" si="2"/>
        <v>346375.76027633087</v>
      </c>
      <c r="I35" s="429" t="s">
        <v>405</v>
      </c>
      <c r="J35" s="429">
        <v>9.6749999999999989E-2</v>
      </c>
      <c r="K35" s="429" t="s">
        <v>9</v>
      </c>
      <c r="L35" s="429">
        <v>3712397.9186459188</v>
      </c>
      <c r="M35" s="429">
        <v>359174.49862899259</v>
      </c>
    </row>
    <row r="36" spans="1:13">
      <c r="A36" s="285"/>
      <c r="B36" s="280" t="s">
        <v>406</v>
      </c>
      <c r="C36" s="361">
        <f>0.15*0.4*4.6</f>
        <v>0.27599999999999997</v>
      </c>
      <c r="D36" s="280" t="s">
        <v>9</v>
      </c>
      <c r="E36" s="281">
        <f>'BQ MAPLE POOL'!E36</f>
        <v>2858270.2165206117</v>
      </c>
      <c r="F36" s="281">
        <f t="shared" si="2"/>
        <v>788882.5797596887</v>
      </c>
      <c r="I36" s="429" t="s">
        <v>406</v>
      </c>
      <c r="J36" s="429">
        <v>0.27599999999999997</v>
      </c>
      <c r="K36" s="429" t="s">
        <v>9</v>
      </c>
      <c r="L36" s="429">
        <v>2952517.1464987719</v>
      </c>
      <c r="M36" s="429">
        <v>814894.73243366089</v>
      </c>
    </row>
    <row r="37" spans="1:13">
      <c r="A37" s="285"/>
      <c r="B37" s="280" t="s">
        <v>407</v>
      </c>
      <c r="C37" s="361">
        <f>0.15*0.4*147.1</f>
        <v>8.8259999999999987</v>
      </c>
      <c r="D37" s="280" t="s">
        <v>9</v>
      </c>
      <c r="E37" s="281">
        <f>'BQ MAPLE POOL'!E37</f>
        <v>3238276.6743584499</v>
      </c>
      <c r="F37" s="281">
        <f t="shared" si="2"/>
        <v>28581029.927887674</v>
      </c>
      <c r="I37" s="429" t="s">
        <v>407</v>
      </c>
      <c r="J37" s="429">
        <v>8.8259999999999987</v>
      </c>
      <c r="K37" s="429" t="s">
        <v>9</v>
      </c>
      <c r="L37" s="429">
        <v>3352297.876228502</v>
      </c>
      <c r="M37" s="429">
        <v>29587381.055592753</v>
      </c>
    </row>
    <row r="38" spans="1:13">
      <c r="A38" s="285"/>
      <c r="B38" s="280" t="s">
        <v>408</v>
      </c>
      <c r="C38" s="361">
        <f>0.15*0.4*5.15</f>
        <v>0.309</v>
      </c>
      <c r="D38" s="280" t="s">
        <v>9</v>
      </c>
      <c r="E38" s="281">
        <f>'BQ MAPLE POOL'!E38</f>
        <v>3355063.5290131043</v>
      </c>
      <c r="F38" s="281">
        <f t="shared" si="2"/>
        <v>1036714.6304650492</v>
      </c>
      <c r="I38" s="429" t="s">
        <v>408</v>
      </c>
      <c r="J38" s="429">
        <v>0.309</v>
      </c>
      <c r="K38" s="429" t="s">
        <v>9</v>
      </c>
      <c r="L38" s="429">
        <v>3475161.9302825555</v>
      </c>
      <c r="M38" s="429">
        <v>1073825.0364573097</v>
      </c>
    </row>
    <row r="39" spans="1:13" ht="27.6">
      <c r="A39" s="285"/>
      <c r="B39" s="280" t="s">
        <v>409</v>
      </c>
      <c r="C39" s="361">
        <f>(162.4*0.2+0.5*0.5*23+1*0.5*5+1.5*0.5)*0.05</f>
        <v>2.0740000000000003</v>
      </c>
      <c r="D39" s="280" t="s">
        <v>9</v>
      </c>
      <c r="E39" s="281">
        <f>'BQ MAPLE POOL'!E39</f>
        <v>804190.63636363635</v>
      </c>
      <c r="F39" s="281">
        <f t="shared" si="2"/>
        <v>1667891.379818182</v>
      </c>
      <c r="I39" s="429" t="s">
        <v>409</v>
      </c>
      <c r="J39" s="429">
        <v>2.0740000000000003</v>
      </c>
      <c r="K39" s="429" t="s">
        <v>9</v>
      </c>
      <c r="L39" s="429">
        <v>834459.4</v>
      </c>
      <c r="M39" s="429">
        <v>1730668.7956000003</v>
      </c>
    </row>
    <row r="40" spans="1:13">
      <c r="A40" s="285"/>
      <c r="B40" s="286" t="s">
        <v>397</v>
      </c>
      <c r="C40" s="361"/>
      <c r="D40" s="280"/>
      <c r="E40" s="281"/>
      <c r="F40" s="281">
        <f t="shared" si="2"/>
        <v>0</v>
      </c>
      <c r="I40" s="429" t="s">
        <v>397</v>
      </c>
      <c r="J40" s="429"/>
      <c r="K40" s="429"/>
      <c r="L40" s="429"/>
      <c r="M40" s="429">
        <v>0</v>
      </c>
    </row>
    <row r="41" spans="1:13">
      <c r="A41" s="285"/>
      <c r="B41" s="286" t="s">
        <v>398</v>
      </c>
      <c r="C41" s="361"/>
      <c r="D41" s="280"/>
      <c r="E41" s="281"/>
      <c r="F41" s="281">
        <f t="shared" si="2"/>
        <v>0</v>
      </c>
      <c r="I41" s="429" t="s">
        <v>398</v>
      </c>
      <c r="J41" s="429"/>
      <c r="K41" s="429"/>
      <c r="L41" s="429"/>
      <c r="M41" s="429">
        <v>0</v>
      </c>
    </row>
    <row r="42" spans="1:13">
      <c r="A42" s="285"/>
      <c r="B42" s="286" t="s">
        <v>399</v>
      </c>
      <c r="C42" s="361"/>
      <c r="D42" s="280"/>
      <c r="E42" s="281"/>
      <c r="F42" s="281">
        <f t="shared" si="2"/>
        <v>0</v>
      </c>
      <c r="I42" s="429" t="s">
        <v>399</v>
      </c>
      <c r="J42" s="429"/>
      <c r="K42" s="429"/>
      <c r="L42" s="429"/>
      <c r="M42" s="429">
        <v>0</v>
      </c>
    </row>
    <row r="43" spans="1:13">
      <c r="A43" s="285"/>
      <c r="B43" s="280"/>
      <c r="C43" s="361"/>
      <c r="D43" s="280"/>
      <c r="E43" s="281"/>
      <c r="F43" s="281"/>
      <c r="I43" s="429"/>
      <c r="J43" s="429"/>
      <c r="K43" s="429"/>
      <c r="L43" s="429"/>
      <c r="M43" s="429"/>
    </row>
    <row r="44" spans="1:13">
      <c r="A44" s="282" t="s">
        <v>11</v>
      </c>
      <c r="B44" s="282" t="s">
        <v>175</v>
      </c>
      <c r="C44" s="375">
        <v>1</v>
      </c>
      <c r="D44" s="282" t="s">
        <v>9</v>
      </c>
      <c r="E44" s="283"/>
      <c r="F44" s="284">
        <f>SUM(F45:F88)</f>
        <v>121478730.85299821</v>
      </c>
      <c r="I44" s="429" t="s">
        <v>175</v>
      </c>
      <c r="J44" s="429">
        <v>1</v>
      </c>
      <c r="K44" s="429" t="s">
        <v>9</v>
      </c>
      <c r="L44" s="429"/>
      <c r="M44" s="429">
        <v>112937280.6516089</v>
      </c>
    </row>
    <row r="45" spans="1:13">
      <c r="A45" s="285"/>
      <c r="B45" s="280" t="s">
        <v>197</v>
      </c>
      <c r="C45" s="361">
        <v>1</v>
      </c>
      <c r="D45" s="280" t="s">
        <v>9</v>
      </c>
      <c r="E45" s="281"/>
      <c r="F45" s="281">
        <f>+C45*E45</f>
        <v>0</v>
      </c>
      <c r="I45" s="429" t="s">
        <v>197</v>
      </c>
      <c r="J45" s="429">
        <v>1</v>
      </c>
      <c r="K45" s="429" t="s">
        <v>9</v>
      </c>
      <c r="L45" s="429"/>
      <c r="M45" s="429">
        <v>0</v>
      </c>
    </row>
    <row r="46" spans="1:13">
      <c r="A46" s="285"/>
      <c r="B46" s="280" t="s">
        <v>198</v>
      </c>
      <c r="C46" s="361"/>
      <c r="D46" s="285"/>
      <c r="E46" s="281"/>
      <c r="F46" s="281">
        <f t="shared" ref="F46:F88" si="3">+C46*E46</f>
        <v>0</v>
      </c>
      <c r="I46" s="429" t="s">
        <v>198</v>
      </c>
      <c r="J46" s="429"/>
      <c r="K46" s="429"/>
      <c r="L46" s="429"/>
      <c r="M46" s="429">
        <v>0</v>
      </c>
    </row>
    <row r="47" spans="1:13" ht="27.6">
      <c r="A47" s="285"/>
      <c r="B47" s="280" t="s">
        <v>410</v>
      </c>
      <c r="C47" s="361">
        <f>(3.85*2.3+7.7*0.97+8*9.8+2*2.15+2*1.6)*0.08</f>
        <v>8.1779200000000003</v>
      </c>
      <c r="D47" s="280" t="s">
        <v>9</v>
      </c>
      <c r="E47" s="281">
        <f>'BQ MAPLE POOL'!E47</f>
        <v>1351330.8531746031</v>
      </c>
      <c r="F47" s="281">
        <f t="shared" si="3"/>
        <v>11051075.61079365</v>
      </c>
      <c r="I47" s="429" t="s">
        <v>410</v>
      </c>
      <c r="J47" s="429">
        <v>8.1779200000000003</v>
      </c>
      <c r="K47" s="429" t="s">
        <v>9</v>
      </c>
      <c r="L47" s="429">
        <v>1357430.8531746031</v>
      </c>
      <c r="M47" s="429">
        <v>11100960.922793651</v>
      </c>
    </row>
    <row r="48" spans="1:13" ht="27.6">
      <c r="A48" s="285"/>
      <c r="B48" s="280" t="s">
        <v>411</v>
      </c>
      <c r="C48" s="361">
        <f>6.2*5*0.1</f>
        <v>3.1</v>
      </c>
      <c r="D48" s="280" t="s">
        <v>9</v>
      </c>
      <c r="E48" s="281">
        <f>'BQ MAPLE POOL'!E48</f>
        <v>1378456.7901234569</v>
      </c>
      <c r="F48" s="281">
        <f t="shared" si="3"/>
        <v>4273216.0493827164</v>
      </c>
      <c r="I48" s="429" t="s">
        <v>411</v>
      </c>
      <c r="J48" s="429">
        <v>3.1</v>
      </c>
      <c r="K48" s="429" t="s">
        <v>9</v>
      </c>
      <c r="L48" s="429">
        <v>1412832.8042328043</v>
      </c>
      <c r="M48" s="429">
        <v>4379781.693121694</v>
      </c>
    </row>
    <row r="49" spans="1:13">
      <c r="A49" s="285"/>
      <c r="B49" s="280" t="s">
        <v>864</v>
      </c>
      <c r="C49" s="361">
        <f>0.12*0.12*4.2*20</f>
        <v>1.2096</v>
      </c>
      <c r="D49" s="280" t="s">
        <v>9</v>
      </c>
      <c r="E49" s="281">
        <f>'BQ MAPLE POOL'!E49</f>
        <v>5921152.0207294449</v>
      </c>
      <c r="F49" s="281">
        <f t="shared" si="3"/>
        <v>7162225.4842743371</v>
      </c>
      <c r="I49" s="429" t="s">
        <v>868</v>
      </c>
      <c r="J49" s="429">
        <v>1.2096</v>
      </c>
      <c r="K49" s="429" t="s">
        <v>9</v>
      </c>
      <c r="L49" s="429">
        <v>6178487.8190032439</v>
      </c>
      <c r="M49" s="429">
        <v>7473498.8658663239</v>
      </c>
    </row>
    <row r="50" spans="1:13">
      <c r="A50" s="285"/>
      <c r="B50" s="280" t="s">
        <v>412</v>
      </c>
      <c r="C50" s="361">
        <f>0.13*0.2*4.2*2</f>
        <v>0.21840000000000004</v>
      </c>
      <c r="D50" s="280" t="s">
        <v>9</v>
      </c>
      <c r="E50" s="281">
        <f>'BQ MAPLE POOL'!E50</f>
        <v>6620256.3551628552</v>
      </c>
      <c r="F50" s="281">
        <f t="shared" si="3"/>
        <v>1445863.9879675678</v>
      </c>
      <c r="I50" s="429" t="s">
        <v>412</v>
      </c>
      <c r="J50" s="429">
        <v>0.21840000000000004</v>
      </c>
      <c r="K50" s="429" t="s">
        <v>9</v>
      </c>
      <c r="L50" s="429">
        <v>6857451.0135135138</v>
      </c>
      <c r="M50" s="429">
        <v>1497667.3013513517</v>
      </c>
    </row>
    <row r="51" spans="1:13">
      <c r="A51" s="285"/>
      <c r="B51" s="280" t="s">
        <v>413</v>
      </c>
      <c r="C51" s="361">
        <f>0.13*0.4*4.2*5+0.13*0.4*5.1*1</f>
        <v>1.3572000000000002</v>
      </c>
      <c r="D51" s="280" t="s">
        <v>9</v>
      </c>
      <c r="E51" s="281">
        <f>'BQ MAPLE POOL'!E51</f>
        <v>5533660.8068890572</v>
      </c>
      <c r="F51" s="281">
        <f t="shared" si="3"/>
        <v>7510284.4471098296</v>
      </c>
      <c r="I51" s="429" t="s">
        <v>413</v>
      </c>
      <c r="J51" s="429">
        <v>1.3572000000000002</v>
      </c>
      <c r="K51" s="429" t="s">
        <v>9</v>
      </c>
      <c r="L51" s="429">
        <v>5729496.887403138</v>
      </c>
      <c r="M51" s="429">
        <v>7776073.1755835395</v>
      </c>
    </row>
    <row r="52" spans="1:13">
      <c r="A52" s="285"/>
      <c r="B52" s="280" t="s">
        <v>414</v>
      </c>
      <c r="C52" s="361">
        <f>0.13*0.5*4.2*1</f>
        <v>0.27300000000000002</v>
      </c>
      <c r="D52" s="280" t="s">
        <v>9</v>
      </c>
      <c r="E52" s="281">
        <f>'BQ MAPLE POOL'!E52</f>
        <v>5071334.3098469097</v>
      </c>
      <c r="F52" s="281">
        <f t="shared" si="3"/>
        <v>1384474.2665882064</v>
      </c>
      <c r="I52" s="429" t="s">
        <v>414</v>
      </c>
      <c r="J52" s="429">
        <v>0.27300000000000002</v>
      </c>
      <c r="K52" s="429" t="s">
        <v>9</v>
      </c>
      <c r="L52" s="429">
        <v>5246149.3054243056</v>
      </c>
      <c r="M52" s="429">
        <v>1432198.7603808355</v>
      </c>
    </row>
    <row r="53" spans="1:13">
      <c r="A53" s="285"/>
      <c r="B53" s="280" t="s">
        <v>415</v>
      </c>
      <c r="C53" s="361">
        <f>0.13*0.6*4.2*4</f>
        <v>1.3104</v>
      </c>
      <c r="D53" s="280" t="s">
        <v>9</v>
      </c>
      <c r="E53" s="281">
        <f>'BQ MAPLE POOL'!E53</f>
        <v>5138794.6391461398</v>
      </c>
      <c r="F53" s="281">
        <f t="shared" si="3"/>
        <v>6733876.495137102</v>
      </c>
      <c r="I53" s="429" t="s">
        <v>415</v>
      </c>
      <c r="J53" s="429">
        <v>1.3104</v>
      </c>
      <c r="K53" s="429" t="s">
        <v>9</v>
      </c>
      <c r="L53" s="429">
        <v>5319144.6111321114</v>
      </c>
      <c r="M53" s="429">
        <v>6970207.0984275192</v>
      </c>
    </row>
    <row r="54" spans="1:13">
      <c r="A54" s="285"/>
      <c r="B54" s="280" t="s">
        <v>416</v>
      </c>
      <c r="C54" s="374">
        <f>0.13*0.7*4.2*1</f>
        <v>0.38219999999999998</v>
      </c>
      <c r="D54" s="280" t="s">
        <v>9</v>
      </c>
      <c r="E54" s="281">
        <f>'BQ MAPLE POOL'!E54</f>
        <v>4864970.8795078788</v>
      </c>
      <c r="F54" s="281">
        <f t="shared" si="3"/>
        <v>1859391.8701479111</v>
      </c>
      <c r="I54" s="429" t="s">
        <v>416</v>
      </c>
      <c r="J54" s="429">
        <v>0.38219999999999998</v>
      </c>
      <c r="K54" s="429" t="s">
        <v>9</v>
      </c>
      <c r="L54" s="429">
        <v>5032518.0920430925</v>
      </c>
      <c r="M54" s="429">
        <v>1923428.4147788698</v>
      </c>
    </row>
    <row r="55" spans="1:13">
      <c r="A55" s="285"/>
      <c r="B55" s="280" t="s">
        <v>417</v>
      </c>
      <c r="C55" s="374">
        <f>0.13*0.8*5.1*1</f>
        <v>0.53039999999999998</v>
      </c>
      <c r="D55" s="280" t="s">
        <v>9</v>
      </c>
      <c r="E55" s="281">
        <f>'BQ MAPLE POOL'!E55</f>
        <v>5002613.4021215271</v>
      </c>
      <c r="F55" s="281">
        <f t="shared" si="3"/>
        <v>2653386.1484852578</v>
      </c>
      <c r="I55" s="429" t="s">
        <v>417</v>
      </c>
      <c r="J55" s="429">
        <v>0.53039999999999998</v>
      </c>
      <c r="K55" s="429" t="s">
        <v>9</v>
      </c>
      <c r="L55" s="429">
        <v>5178407.6621857872</v>
      </c>
      <c r="M55" s="429">
        <v>2746627.4240233414</v>
      </c>
    </row>
    <row r="56" spans="1:13">
      <c r="A56" s="285"/>
      <c r="B56" s="280" t="s">
        <v>418</v>
      </c>
      <c r="C56" s="361">
        <f>0.13*0.9*4.2*1</f>
        <v>0.49140000000000006</v>
      </c>
      <c r="D56" s="280" t="s">
        <v>9</v>
      </c>
      <c r="E56" s="281">
        <f>'BQ MAPLE POOL'!E56</f>
        <v>5129894.2004137011</v>
      </c>
      <c r="F56" s="281">
        <f t="shared" si="3"/>
        <v>2520830.0100832931</v>
      </c>
      <c r="I56" s="429" t="s">
        <v>418</v>
      </c>
      <c r="J56" s="429">
        <v>0.49140000000000006</v>
      </c>
      <c r="K56" s="429" t="s">
        <v>9</v>
      </c>
      <c r="L56" s="429">
        <v>5314157.1875196882</v>
      </c>
      <c r="M56" s="429">
        <v>2611376.8419471751</v>
      </c>
    </row>
    <row r="57" spans="1:13">
      <c r="A57" s="285"/>
      <c r="B57" s="280" t="s">
        <v>419</v>
      </c>
      <c r="C57" s="361">
        <f>0.13*0.9*4.2*1</f>
        <v>0.49140000000000006</v>
      </c>
      <c r="D57" s="280" t="s">
        <v>9</v>
      </c>
      <c r="E57" s="281">
        <f>'BQ MAPLE POOL'!E57</f>
        <v>4999268.1412650412</v>
      </c>
      <c r="F57" s="281">
        <f t="shared" si="3"/>
        <v>2456640.3646176415</v>
      </c>
      <c r="I57" s="429" t="s">
        <v>419</v>
      </c>
      <c r="J57" s="429">
        <v>0.49140000000000006</v>
      </c>
      <c r="K57" s="429" t="s">
        <v>9</v>
      </c>
      <c r="L57" s="429">
        <v>5176260.7122682128</v>
      </c>
      <c r="M57" s="429">
        <v>2543614.5140086003</v>
      </c>
    </row>
    <row r="58" spans="1:13">
      <c r="A58" s="285"/>
      <c r="B58" s="280" t="s">
        <v>420</v>
      </c>
      <c r="C58" s="361">
        <f>0.13*0.53*4.2*1</f>
        <v>0.28938000000000003</v>
      </c>
      <c r="D58" s="280" t="s">
        <v>9</v>
      </c>
      <c r="E58" s="281">
        <f>'BQ MAPLE POOL'!E58</f>
        <v>6219604.4888366628</v>
      </c>
      <c r="F58" s="281">
        <f t="shared" si="3"/>
        <v>1799829.1469795536</v>
      </c>
      <c r="I58" s="429" t="s">
        <v>420</v>
      </c>
      <c r="J58" s="429">
        <v>0.28938000000000003</v>
      </c>
      <c r="K58" s="429" t="s">
        <v>9</v>
      </c>
      <c r="L58" s="429">
        <v>6459916.137877007</v>
      </c>
      <c r="M58" s="429">
        <v>1869370.5319788484</v>
      </c>
    </row>
    <row r="59" spans="1:13">
      <c r="A59" s="285"/>
      <c r="B59" s="280" t="s">
        <v>421</v>
      </c>
      <c r="C59" s="361">
        <f>0.13*0.93*4.2*1</f>
        <v>0.50778000000000001</v>
      </c>
      <c r="D59" s="280" t="s">
        <v>9</v>
      </c>
      <c r="E59" s="281">
        <f>'BQ MAPLE POOL'!E59</f>
        <v>5712394.3039721549</v>
      </c>
      <c r="F59" s="281">
        <f t="shared" si="3"/>
        <v>2900639.579670981</v>
      </c>
      <c r="I59" s="429" t="s">
        <v>421</v>
      </c>
      <c r="J59" s="429">
        <v>0.50778000000000001</v>
      </c>
      <c r="K59" s="429" t="s">
        <v>9</v>
      </c>
      <c r="L59" s="429">
        <v>5929262.2051597061</v>
      </c>
      <c r="M59" s="429">
        <v>3010760.7625359958</v>
      </c>
    </row>
    <row r="60" spans="1:13">
      <c r="A60" s="285"/>
      <c r="B60" s="285"/>
      <c r="C60" s="361"/>
      <c r="D60" s="285"/>
      <c r="E60" s="281"/>
      <c r="F60" s="281">
        <f t="shared" si="3"/>
        <v>0</v>
      </c>
      <c r="I60" s="429"/>
      <c r="J60" s="429"/>
      <c r="K60" s="429"/>
      <c r="L60" s="429"/>
      <c r="M60" s="429">
        <v>0</v>
      </c>
    </row>
    <row r="61" spans="1:13">
      <c r="A61" s="285"/>
      <c r="B61" s="280" t="s">
        <v>199</v>
      </c>
      <c r="C61" s="361"/>
      <c r="D61" s="285"/>
      <c r="E61" s="281"/>
      <c r="F61" s="281">
        <f t="shared" si="3"/>
        <v>0</v>
      </c>
      <c r="I61" s="429" t="s">
        <v>199</v>
      </c>
      <c r="J61" s="429"/>
      <c r="K61" s="429"/>
      <c r="L61" s="429"/>
      <c r="M61" s="429">
        <v>0</v>
      </c>
    </row>
    <row r="62" spans="1:13">
      <c r="A62" s="285"/>
      <c r="B62" s="280" t="s">
        <v>867</v>
      </c>
      <c r="C62" s="361">
        <f>0.12*0.12*3.8*36</f>
        <v>1.9699199999999999</v>
      </c>
      <c r="D62" s="280" t="s">
        <v>9</v>
      </c>
      <c r="E62" s="281">
        <f>'BQ MAPLE POOL'!E62</f>
        <v>5921152.0207294449</v>
      </c>
      <c r="F62" s="281">
        <f t="shared" si="3"/>
        <v>11664195.788675347</v>
      </c>
      <c r="I62" s="429" t="s">
        <v>869</v>
      </c>
      <c r="J62" s="429">
        <v>1.9699199999999999</v>
      </c>
      <c r="K62" s="429" t="s">
        <v>9</v>
      </c>
      <c r="L62" s="429">
        <v>6178487.8190032439</v>
      </c>
      <c r="M62" s="429">
        <v>12171126.724410869</v>
      </c>
    </row>
    <row r="63" spans="1:13">
      <c r="A63" s="285"/>
      <c r="B63" s="280" t="s">
        <v>422</v>
      </c>
      <c r="C63" s="361">
        <f>0.13*0.2*3.8*1</f>
        <v>9.8799999999999999E-2</v>
      </c>
      <c r="D63" s="280" t="s">
        <v>9</v>
      </c>
      <c r="E63" s="281">
        <f>'BQ MAPLE POOL'!E63</f>
        <v>6620256.3551628552</v>
      </c>
      <c r="F63" s="281">
        <f t="shared" si="3"/>
        <v>654081.32789009006</v>
      </c>
      <c r="I63" s="429" t="s">
        <v>422</v>
      </c>
      <c r="J63" s="429">
        <v>9.8799999999999999E-2</v>
      </c>
      <c r="K63" s="429" t="s">
        <v>9</v>
      </c>
      <c r="L63" s="429">
        <v>6857451.0135135138</v>
      </c>
      <c r="M63" s="429">
        <v>677516.16013513517</v>
      </c>
    </row>
    <row r="64" spans="1:13">
      <c r="A64" s="285"/>
      <c r="B64" s="280" t="s">
        <v>423</v>
      </c>
      <c r="C64" s="361">
        <f>0.13*0.3*3.8*15</f>
        <v>2.2229999999999999</v>
      </c>
      <c r="D64" s="280" t="s">
        <v>9</v>
      </c>
      <c r="E64" s="281">
        <f>'BQ MAPLE POOL'!E64</f>
        <v>5552848.9806379806</v>
      </c>
      <c r="F64" s="281">
        <f t="shared" si="3"/>
        <v>12343983.28395823</v>
      </c>
      <c r="I64" s="429" t="s">
        <v>423</v>
      </c>
      <c r="J64" s="429">
        <v>2.2229999999999999</v>
      </c>
      <c r="K64" s="429" t="s">
        <v>9</v>
      </c>
      <c r="L64" s="429">
        <v>5744622.1366471369</v>
      </c>
      <c r="M64" s="429">
        <v>12770295.009766584</v>
      </c>
    </row>
    <row r="65" spans="1:13">
      <c r="A65" s="285"/>
      <c r="B65" s="280" t="s">
        <v>424</v>
      </c>
      <c r="C65" s="374">
        <f>0.13*0.4*3.8*3</f>
        <v>0.59279999999999999</v>
      </c>
      <c r="D65" s="280" t="s">
        <v>9</v>
      </c>
      <c r="E65" s="281">
        <f>'BQ MAPLE POOL'!E65</f>
        <v>5533660.8068890572</v>
      </c>
      <c r="F65" s="281">
        <f t="shared" si="3"/>
        <v>3280354.1263238331</v>
      </c>
      <c r="I65" s="429" t="s">
        <v>424</v>
      </c>
      <c r="J65" s="429">
        <v>0.59279999999999999</v>
      </c>
      <c r="K65" s="429" t="s">
        <v>9</v>
      </c>
      <c r="L65" s="429">
        <v>5729496.887403138</v>
      </c>
      <c r="M65" s="429">
        <v>3396445.7548525804</v>
      </c>
    </row>
    <row r="66" spans="1:13">
      <c r="A66" s="285"/>
      <c r="B66" s="280" t="s">
        <v>425</v>
      </c>
      <c r="C66" s="361">
        <f>0.13*0.3*18.65</f>
        <v>0.72734999999999994</v>
      </c>
      <c r="D66" s="280" t="s">
        <v>9</v>
      </c>
      <c r="E66" s="281">
        <f>'BQ MAPLE POOL'!E66</f>
        <v>3569825.4991925494</v>
      </c>
      <c r="F66" s="281">
        <f t="shared" si="3"/>
        <v>2596512.5768377008</v>
      </c>
      <c r="I66" s="429" t="s">
        <v>425</v>
      </c>
      <c r="J66" s="429">
        <v>0.72734999999999994</v>
      </c>
      <c r="K66" s="429" t="s">
        <v>9</v>
      </c>
      <c r="L66" s="429">
        <v>3680887.2932810439</v>
      </c>
      <c r="M66" s="429">
        <v>2677293.3727679672</v>
      </c>
    </row>
    <row r="67" spans="1:13">
      <c r="A67" s="285"/>
      <c r="B67" s="280" t="s">
        <v>426</v>
      </c>
      <c r="C67" s="361">
        <f>0.13*0.3*21.6</f>
        <v>0.84240000000000004</v>
      </c>
      <c r="D67" s="280" t="s">
        <v>9</v>
      </c>
      <c r="E67" s="281">
        <f>'BQ MAPLE POOL'!E67</f>
        <v>4154450.8189430698</v>
      </c>
      <c r="F67" s="281">
        <f t="shared" si="3"/>
        <v>3499709.369877642</v>
      </c>
      <c r="I67" s="429" t="s">
        <v>426</v>
      </c>
      <c r="J67" s="429">
        <v>0.84240000000000004</v>
      </c>
      <c r="K67" s="429" t="s">
        <v>9</v>
      </c>
      <c r="L67" s="429">
        <v>4295934.56978832</v>
      </c>
      <c r="M67" s="429">
        <v>3618895.2815896808</v>
      </c>
    </row>
    <row r="68" spans="1:13">
      <c r="A68" s="285"/>
      <c r="B68" s="280" t="s">
        <v>427</v>
      </c>
      <c r="C68" s="361">
        <f>0.13*0.4*68</f>
        <v>3.5360000000000005</v>
      </c>
      <c r="D68" s="280" t="s">
        <v>9</v>
      </c>
      <c r="E68" s="281">
        <f>'BQ MAPLE POOL'!E68</f>
        <v>3844926.4927038052</v>
      </c>
      <c r="F68" s="281">
        <f t="shared" si="3"/>
        <v>13595660.078200657</v>
      </c>
      <c r="I68" s="429" t="s">
        <v>427</v>
      </c>
      <c r="J68" s="429">
        <v>3.5360000000000005</v>
      </c>
      <c r="K68" s="429" t="s">
        <v>9</v>
      </c>
      <c r="L68" s="429">
        <v>3967888.7395459269</v>
      </c>
      <c r="M68" s="429">
        <v>14030454.5830344</v>
      </c>
    </row>
    <row r="69" spans="1:13">
      <c r="A69" s="285"/>
      <c r="B69" s="280" t="s">
        <v>428</v>
      </c>
      <c r="C69" s="361">
        <f>0.13*0.4*7.6</f>
        <v>0.3952</v>
      </c>
      <c r="D69" s="280" t="s">
        <v>9</v>
      </c>
      <c r="E69" s="281">
        <f>'BQ MAPLE POOL'!E69</f>
        <v>4771420.6536099035</v>
      </c>
      <c r="F69" s="281">
        <f t="shared" si="3"/>
        <v>1885665.4423066338</v>
      </c>
      <c r="I69" s="429" t="s">
        <v>428</v>
      </c>
      <c r="J69" s="429">
        <v>0.3952</v>
      </c>
      <c r="K69" s="429" t="s">
        <v>9</v>
      </c>
      <c r="L69" s="429">
        <v>4948681.0491872989</v>
      </c>
      <c r="M69" s="429">
        <v>1955718.7506388205</v>
      </c>
    </row>
    <row r="70" spans="1:13">
      <c r="A70" s="285"/>
      <c r="B70" s="280" t="s">
        <v>429</v>
      </c>
      <c r="C70" s="361">
        <f>0.13*0.4*4.5</f>
        <v>0.23400000000000001</v>
      </c>
      <c r="D70" s="280" t="s">
        <v>9</v>
      </c>
      <c r="E70" s="281">
        <f>'BQ MAPLE POOL'!E70</f>
        <v>3979680.5557668684</v>
      </c>
      <c r="F70" s="281">
        <f t="shared" si="3"/>
        <v>931245.25004944729</v>
      </c>
      <c r="I70" s="429" t="s">
        <v>429</v>
      </c>
      <c r="J70" s="429">
        <v>0.23400000000000001</v>
      </c>
      <c r="K70" s="429" t="s">
        <v>9</v>
      </c>
      <c r="L70" s="429">
        <v>4109654.9557621437</v>
      </c>
      <c r="M70" s="429">
        <v>961659.25964834169</v>
      </c>
    </row>
    <row r="71" spans="1:13">
      <c r="A71" s="285"/>
      <c r="B71" s="280" t="s">
        <v>430</v>
      </c>
      <c r="C71" s="361">
        <f>0.13*0.4*3.5</f>
        <v>0.18200000000000002</v>
      </c>
      <c r="D71" s="280" t="s">
        <v>9</v>
      </c>
      <c r="E71" s="281">
        <f>'BQ MAPLE POOL'!E71</f>
        <v>4022733.6567284069</v>
      </c>
      <c r="F71" s="281">
        <f t="shared" si="3"/>
        <v>732137.52552457014</v>
      </c>
      <c r="I71" s="429" t="s">
        <v>430</v>
      </c>
      <c r="J71" s="429">
        <v>0.18200000000000002</v>
      </c>
      <c r="K71" s="429" t="s">
        <v>9</v>
      </c>
      <c r="L71" s="429">
        <v>4155624.6718484224</v>
      </c>
      <c r="M71" s="429">
        <v>756323.69027641299</v>
      </c>
    </row>
    <row r="72" spans="1:13">
      <c r="A72" s="285"/>
      <c r="B72" s="280" t="s">
        <v>431</v>
      </c>
      <c r="C72" s="359">
        <v>0</v>
      </c>
      <c r="D72" s="280" t="s">
        <v>9</v>
      </c>
      <c r="E72" s="281">
        <f>'BQ MAPLE POOL'!E72</f>
        <v>0</v>
      </c>
      <c r="F72" s="281">
        <f t="shared" si="3"/>
        <v>0</v>
      </c>
      <c r="I72" s="429" t="s">
        <v>431</v>
      </c>
      <c r="J72" s="429">
        <v>0</v>
      </c>
      <c r="K72" s="429" t="s">
        <v>9</v>
      </c>
      <c r="L72" s="429">
        <v>0</v>
      </c>
      <c r="M72" s="429">
        <v>0</v>
      </c>
    </row>
    <row r="73" spans="1:13">
      <c r="A73" s="285"/>
      <c r="B73" s="280" t="s">
        <v>432</v>
      </c>
      <c r="C73" s="361">
        <f>0.13*0.4*3.5</f>
        <v>0.18200000000000002</v>
      </c>
      <c r="D73" s="280" t="s">
        <v>9</v>
      </c>
      <c r="E73" s="281">
        <f>'BQ MAPLE POOL'!E73</f>
        <v>4426995.8459175956</v>
      </c>
      <c r="F73" s="281">
        <f t="shared" si="3"/>
        <v>805713.24395700253</v>
      </c>
      <c r="I73" s="429" t="s">
        <v>432</v>
      </c>
      <c r="J73" s="429">
        <v>0.18200000000000002</v>
      </c>
      <c r="K73" s="429" t="s">
        <v>9</v>
      </c>
      <c r="L73" s="429">
        <v>4580923.3204970704</v>
      </c>
      <c r="M73" s="429">
        <v>833728.04433046689</v>
      </c>
    </row>
    <row r="74" spans="1:13">
      <c r="A74" s="285"/>
      <c r="B74" s="280" t="s">
        <v>433</v>
      </c>
      <c r="C74" s="361">
        <f>0.13*0.5*3</f>
        <v>0.19500000000000001</v>
      </c>
      <c r="D74" s="280" t="s">
        <v>9</v>
      </c>
      <c r="E74" s="281">
        <f>'BQ MAPLE POOL'!E74</f>
        <v>3808462.6469602468</v>
      </c>
      <c r="F74" s="281">
        <f t="shared" si="3"/>
        <v>742650.21615724813</v>
      </c>
      <c r="I74" s="429" t="s">
        <v>433</v>
      </c>
      <c r="J74" s="429">
        <v>0.19500000000000001</v>
      </c>
      <c r="K74" s="429" t="s">
        <v>9</v>
      </c>
      <c r="L74" s="429">
        <v>3930422.9238329241</v>
      </c>
      <c r="M74" s="429">
        <v>766432.47014742019</v>
      </c>
    </row>
    <row r="75" spans="1:13">
      <c r="A75" s="285"/>
      <c r="B75" s="280" t="s">
        <v>434</v>
      </c>
      <c r="C75" s="361">
        <f>0.13*0.5*7.5</f>
        <v>0.48750000000000004</v>
      </c>
      <c r="D75" s="280" t="s">
        <v>9</v>
      </c>
      <c r="E75" s="281">
        <f>'BQ MAPLE POOL'!E75</f>
        <v>4223719.0136962142</v>
      </c>
      <c r="F75" s="281">
        <f t="shared" si="3"/>
        <v>2059063.0191769046</v>
      </c>
      <c r="I75" s="429" t="s">
        <v>434</v>
      </c>
      <c r="J75" s="429">
        <v>0.48750000000000004</v>
      </c>
      <c r="K75" s="429" t="s">
        <v>9</v>
      </c>
      <c r="L75" s="429">
        <v>4368730.5704025701</v>
      </c>
      <c r="M75" s="429">
        <v>2129756.1530712531</v>
      </c>
    </row>
    <row r="76" spans="1:13">
      <c r="A76" s="285"/>
      <c r="B76" s="280" t="s">
        <v>435</v>
      </c>
      <c r="C76" s="361">
        <f>0.13*0.5*5.1</f>
        <v>0.33149999999999996</v>
      </c>
      <c r="D76" s="280" t="s">
        <v>9</v>
      </c>
      <c r="E76" s="281">
        <f>'BQ MAPLE POOL'!E76</f>
        <v>4453335.5521577522</v>
      </c>
      <c r="F76" s="281">
        <f t="shared" si="3"/>
        <v>1476280.7355402948</v>
      </c>
      <c r="I76" s="429" t="s">
        <v>435</v>
      </c>
      <c r="J76" s="429">
        <v>0.33149999999999996</v>
      </c>
      <c r="K76" s="429" t="s">
        <v>9</v>
      </c>
      <c r="L76" s="429">
        <v>4613902.3895293903</v>
      </c>
      <c r="M76" s="429">
        <v>1529508.6421289926</v>
      </c>
    </row>
    <row r="77" spans="1:13">
      <c r="A77" s="285"/>
      <c r="B77" s="280" t="s">
        <v>436</v>
      </c>
      <c r="C77" s="361">
        <f>0.2*0.5*2.5</f>
        <v>0.25</v>
      </c>
      <c r="D77" s="280" t="s">
        <v>9</v>
      </c>
      <c r="E77" s="281">
        <f>'BQ MAPLE POOL'!E77</f>
        <v>3763392.0450255945</v>
      </c>
      <c r="F77" s="281">
        <f t="shared" si="3"/>
        <v>940848.01125639863</v>
      </c>
      <c r="I77" s="429" t="s">
        <v>436</v>
      </c>
      <c r="J77" s="429">
        <v>0.25</v>
      </c>
      <c r="K77" s="429" t="s">
        <v>9</v>
      </c>
      <c r="L77" s="429">
        <v>3897419.6798065109</v>
      </c>
      <c r="M77" s="429">
        <v>974354.91995162773</v>
      </c>
    </row>
    <row r="78" spans="1:13">
      <c r="A78" s="285"/>
      <c r="B78" s="280" t="s">
        <v>437</v>
      </c>
      <c r="C78" s="361">
        <f>0.2*0.5*3.5</f>
        <v>0.35000000000000003</v>
      </c>
      <c r="D78" s="280" t="s">
        <v>9</v>
      </c>
      <c r="E78" s="281">
        <f>'BQ MAPLE POOL'!E78</f>
        <v>3549044.2072328012</v>
      </c>
      <c r="F78" s="281">
        <f t="shared" si="3"/>
        <v>1242165.4725314805</v>
      </c>
      <c r="I78" s="429" t="s">
        <v>437</v>
      </c>
      <c r="J78" s="429">
        <v>0.35000000000000003</v>
      </c>
      <c r="K78" s="429" t="s">
        <v>9</v>
      </c>
      <c r="L78" s="429">
        <v>3669651.6210227273</v>
      </c>
      <c r="M78" s="429">
        <v>1284378.0673579548</v>
      </c>
    </row>
    <row r="79" spans="1:13">
      <c r="A79" s="285"/>
      <c r="B79" s="280" t="s">
        <v>438</v>
      </c>
      <c r="C79" s="361">
        <f>0.13*0.5*2.5</f>
        <v>0.16250000000000001</v>
      </c>
      <c r="D79" s="280" t="s">
        <v>9</v>
      </c>
      <c r="E79" s="281">
        <f>'BQ MAPLE POOL'!E79</f>
        <v>4161839.0709380712</v>
      </c>
      <c r="F79" s="281">
        <f t="shared" si="3"/>
        <v>676298.84902743658</v>
      </c>
      <c r="I79" s="429" t="s">
        <v>438</v>
      </c>
      <c r="J79" s="429">
        <v>0.16250000000000001</v>
      </c>
      <c r="K79" s="429" t="s">
        <v>9</v>
      </c>
      <c r="L79" s="429">
        <v>4304351.9612549618</v>
      </c>
      <c r="M79" s="429">
        <v>699457.19370393129</v>
      </c>
    </row>
    <row r="80" spans="1:13">
      <c r="A80" s="285"/>
      <c r="B80" s="280" t="s">
        <v>439</v>
      </c>
      <c r="C80" s="361">
        <f>0.13*0.5*2.5</f>
        <v>0.16250000000000001</v>
      </c>
      <c r="D80" s="280" t="s">
        <v>9</v>
      </c>
      <c r="E80" s="281">
        <f>'BQ MAPLE POOL'!E80</f>
        <v>4377445.5718389722</v>
      </c>
      <c r="F80" s="281">
        <f t="shared" si="3"/>
        <v>711334.90542383306</v>
      </c>
      <c r="I80" s="429" t="s">
        <v>439</v>
      </c>
      <c r="J80" s="429">
        <v>0.16250000000000001</v>
      </c>
      <c r="K80" s="429" t="s">
        <v>9</v>
      </c>
      <c r="L80" s="429">
        <v>4531177.9072009074</v>
      </c>
      <c r="M80" s="429">
        <v>736316.4099201475</v>
      </c>
    </row>
    <row r="81" spans="1:13">
      <c r="A81" s="285"/>
      <c r="B81" s="286" t="s">
        <v>397</v>
      </c>
      <c r="C81" s="361"/>
      <c r="D81" s="280"/>
      <c r="E81" s="281"/>
      <c r="F81" s="281">
        <f t="shared" si="3"/>
        <v>0</v>
      </c>
      <c r="I81" s="429" t="s">
        <v>397</v>
      </c>
      <c r="J81" s="429"/>
      <c r="K81" s="429"/>
      <c r="L81" s="429"/>
      <c r="M81" s="429">
        <v>0</v>
      </c>
    </row>
    <row r="82" spans="1:13">
      <c r="A82" s="285"/>
      <c r="B82" s="286" t="s">
        <v>685</v>
      </c>
      <c r="C82" s="361">
        <f>0.13*0.3*4.25*3</f>
        <v>0.49725000000000003</v>
      </c>
      <c r="D82" s="280" t="s">
        <v>9</v>
      </c>
      <c r="E82" s="281">
        <f>E64</f>
        <v>5552848.9806379806</v>
      </c>
      <c r="F82" s="281">
        <f t="shared" si="3"/>
        <v>2761154.155622236</v>
      </c>
      <c r="I82" s="429" t="s">
        <v>685</v>
      </c>
      <c r="J82" s="429">
        <v>0.49725000000000003</v>
      </c>
      <c r="K82" s="429" t="s">
        <v>9</v>
      </c>
      <c r="L82" s="429">
        <v>5744622.1366471369</v>
      </c>
      <c r="M82" s="429">
        <v>2856513.3574477891</v>
      </c>
    </row>
    <row r="83" spans="1:13">
      <c r="A83" s="285"/>
      <c r="B83" s="286" t="s">
        <v>704</v>
      </c>
      <c r="C83" s="361">
        <f>0.13*0.13*3.8*2</f>
        <v>0.12844</v>
      </c>
      <c r="D83" s="280" t="s">
        <v>9</v>
      </c>
      <c r="E83" s="281">
        <f>'AN BETON TYPE MAPLE'!F127</f>
        <v>7218688.1678515542</v>
      </c>
      <c r="F83" s="281">
        <f t="shared" si="3"/>
        <v>927168.30827885366</v>
      </c>
      <c r="I83" s="429" t="s">
        <v>704</v>
      </c>
      <c r="J83" s="429">
        <v>0.12844</v>
      </c>
      <c r="K83" s="429" t="s">
        <v>9</v>
      </c>
      <c r="L83" s="429">
        <v>7472520.6097436883</v>
      </c>
      <c r="M83" s="429">
        <v>959770.54711547936</v>
      </c>
    </row>
    <row r="84" spans="1:13">
      <c r="A84" s="285"/>
      <c r="B84" s="286" t="s">
        <v>775</v>
      </c>
      <c r="C84" s="361">
        <f>(0.35+0.12)*0.1/2*3.8*4</f>
        <v>0.35719999999999996</v>
      </c>
      <c r="D84" s="280" t="s">
        <v>9</v>
      </c>
      <c r="E84" s="281">
        <f>'AN BETON TYPE MAPLE'!F121</f>
        <v>6402278.9530439535</v>
      </c>
      <c r="F84" s="281">
        <f t="shared" si="3"/>
        <v>2286894.0420272998</v>
      </c>
      <c r="I84" s="429" t="s">
        <v>775</v>
      </c>
      <c r="J84" s="429">
        <v>0.35719999999999996</v>
      </c>
      <c r="K84" s="429" t="s">
        <v>9</v>
      </c>
      <c r="L84" s="429">
        <v>6661855.7425197931</v>
      </c>
      <c r="M84" s="429">
        <v>2379614.87122807</v>
      </c>
    </row>
    <row r="85" spans="1:13">
      <c r="A85" s="285"/>
      <c r="B85" s="286" t="s">
        <v>688</v>
      </c>
      <c r="C85" s="361">
        <f>0.13*0.3*2</f>
        <v>7.8E-2</v>
      </c>
      <c r="D85" s="280" t="s">
        <v>9</v>
      </c>
      <c r="E85" s="281">
        <f>'AN BETON TYPE MAPLE'!F271</f>
        <v>4556279.7612507623</v>
      </c>
      <c r="F85" s="281">
        <f t="shared" si="3"/>
        <v>355389.82137755945</v>
      </c>
      <c r="I85" s="429" t="s">
        <v>688</v>
      </c>
      <c r="J85" s="429">
        <v>7.8E-2</v>
      </c>
      <c r="K85" s="429" t="s">
        <v>9</v>
      </c>
      <c r="L85" s="429">
        <v>4724985.2532602539</v>
      </c>
      <c r="M85" s="429">
        <v>368548.84975429979</v>
      </c>
    </row>
    <row r="86" spans="1:13">
      <c r="A86" s="285"/>
      <c r="B86" s="286" t="s">
        <v>689</v>
      </c>
      <c r="C86" s="361">
        <f>0.13*0.15*2.5</f>
        <v>4.8750000000000002E-2</v>
      </c>
      <c r="D86" s="280" t="s">
        <v>9</v>
      </c>
      <c r="E86" s="281">
        <f>'AN BETON TYPE MAPLE'!F229</f>
        <v>4325349.279270879</v>
      </c>
      <c r="F86" s="281">
        <f t="shared" si="3"/>
        <v>210860.77736445537</v>
      </c>
      <c r="I86" s="429" t="s">
        <v>689</v>
      </c>
      <c r="J86" s="429">
        <v>4.8750000000000002E-2</v>
      </c>
      <c r="K86" s="429" t="s">
        <v>9</v>
      </c>
      <c r="L86" s="429">
        <v>4486988.5906885918</v>
      </c>
      <c r="M86" s="429">
        <v>218740.69379606887</v>
      </c>
    </row>
    <row r="87" spans="1:13">
      <c r="A87" s="285"/>
      <c r="B87" s="286" t="s">
        <v>690</v>
      </c>
      <c r="C87" s="361">
        <f>0.13*0.2*6.45</f>
        <v>0.16770000000000002</v>
      </c>
      <c r="D87" s="280" t="s">
        <v>9</v>
      </c>
      <c r="E87" s="281">
        <f>'AN BETON TYPE MAPLE'!F235</f>
        <v>3694481.5092783347</v>
      </c>
      <c r="F87" s="281">
        <f t="shared" si="3"/>
        <v>619564.54910597682</v>
      </c>
      <c r="I87" s="429" t="s">
        <v>690</v>
      </c>
      <c r="J87" s="429">
        <v>0.16770000000000002</v>
      </c>
      <c r="K87" s="429" t="s">
        <v>9</v>
      </c>
      <c r="L87" s="429">
        <v>3823277.8679597434</v>
      </c>
      <c r="M87" s="429">
        <v>641163.69845684897</v>
      </c>
    </row>
    <row r="88" spans="1:13">
      <c r="A88" s="285"/>
      <c r="B88" s="286" t="s">
        <v>691</v>
      </c>
      <c r="C88" s="361">
        <f>0.13*0.2*6</f>
        <v>0.15600000000000003</v>
      </c>
      <c r="D88" s="280" t="s">
        <v>9</v>
      </c>
      <c r="E88" s="281">
        <f>'AN BETON TYPE MAPLE'!F241</f>
        <v>4667093.0465964219</v>
      </c>
      <c r="F88" s="281">
        <f t="shared" si="3"/>
        <v>728066.51526904199</v>
      </c>
      <c r="I88" s="429" t="s">
        <v>691</v>
      </c>
      <c r="J88" s="429">
        <v>0.15600000000000003</v>
      </c>
      <c r="K88" s="429" t="s">
        <v>9</v>
      </c>
      <c r="L88" s="429">
        <v>4848003.707356832</v>
      </c>
      <c r="M88" s="429">
        <v>756288.57834766596</v>
      </c>
    </row>
    <row r="89" spans="1:13">
      <c r="A89" s="285"/>
      <c r="B89" s="280"/>
      <c r="C89" s="361"/>
      <c r="D89" s="280"/>
      <c r="E89" s="281"/>
      <c r="F89" s="281"/>
      <c r="I89" s="429"/>
      <c r="J89" s="429"/>
      <c r="K89" s="429"/>
      <c r="L89" s="429"/>
      <c r="M89" s="429"/>
    </row>
    <row r="90" spans="1:13" ht="27.6">
      <c r="A90" s="282" t="s">
        <v>176</v>
      </c>
      <c r="B90" s="282" t="s">
        <v>12</v>
      </c>
      <c r="C90" s="375"/>
      <c r="D90" s="282" t="s">
        <v>9</v>
      </c>
      <c r="E90" s="283"/>
      <c r="F90" s="284">
        <f>SUM(F91:F118)</f>
        <v>48373613.795676224</v>
      </c>
      <c r="I90" s="429" t="s">
        <v>12</v>
      </c>
      <c r="J90" s="429"/>
      <c r="K90" s="429" t="s">
        <v>9</v>
      </c>
      <c r="L90" s="429"/>
      <c r="M90" s="429">
        <v>44966323.823370561</v>
      </c>
    </row>
    <row r="91" spans="1:13">
      <c r="A91" s="285"/>
      <c r="B91" s="280" t="s">
        <v>440</v>
      </c>
      <c r="C91" s="361"/>
      <c r="D91" s="280" t="s">
        <v>9</v>
      </c>
      <c r="E91" s="281"/>
      <c r="F91" s="281">
        <f>+C91*E91</f>
        <v>0</v>
      </c>
      <c r="I91" s="429" t="s">
        <v>440</v>
      </c>
      <c r="J91" s="429"/>
      <c r="K91" s="429" t="s">
        <v>9</v>
      </c>
      <c r="L91" s="429"/>
      <c r="M91" s="429">
        <v>0</v>
      </c>
    </row>
    <row r="92" spans="1:13">
      <c r="A92" s="285"/>
      <c r="B92" s="280" t="s">
        <v>867</v>
      </c>
      <c r="C92" s="374">
        <f>0.13*0.13*2.8*2*0</f>
        <v>0</v>
      </c>
      <c r="D92" s="280" t="s">
        <v>9</v>
      </c>
      <c r="E92" s="281">
        <f>'BQ MAPLE POOL'!E92</f>
        <v>5921152.0207294449</v>
      </c>
      <c r="F92" s="281">
        <f t="shared" ref="F92:F118" si="4">+C92*E92</f>
        <v>0</v>
      </c>
      <c r="I92" s="429" t="s">
        <v>869</v>
      </c>
      <c r="J92" s="429">
        <v>0</v>
      </c>
      <c r="K92" s="429" t="s">
        <v>9</v>
      </c>
      <c r="L92" s="429">
        <v>6178487.8190032439</v>
      </c>
      <c r="M92" s="429">
        <v>0</v>
      </c>
    </row>
    <row r="93" spans="1:13">
      <c r="A93" s="285"/>
      <c r="B93" s="280" t="s">
        <v>422</v>
      </c>
      <c r="C93" s="361">
        <f>0.13*0.2*1.5*5+0.13*0.2*2.8*4</f>
        <v>0.48620000000000008</v>
      </c>
      <c r="D93" s="280" t="s">
        <v>9</v>
      </c>
      <c r="E93" s="281">
        <f>'BQ MAPLE POOL'!E93</f>
        <v>6620256.3551628552</v>
      </c>
      <c r="F93" s="281">
        <f t="shared" si="4"/>
        <v>3218768.6398801808</v>
      </c>
      <c r="I93" s="429" t="s">
        <v>422</v>
      </c>
      <c r="J93" s="429">
        <v>0.48620000000000008</v>
      </c>
      <c r="K93" s="429" t="s">
        <v>9</v>
      </c>
      <c r="L93" s="429">
        <v>6857451.0135135138</v>
      </c>
      <c r="M93" s="429">
        <v>3334092.6827702709</v>
      </c>
    </row>
    <row r="94" spans="1:13">
      <c r="A94" s="285"/>
      <c r="B94" s="280" t="s">
        <v>423</v>
      </c>
      <c r="C94" s="374">
        <f>0.13*0.3*2.8*4</f>
        <v>0.43679999999999997</v>
      </c>
      <c r="D94" s="280" t="s">
        <v>9</v>
      </c>
      <c r="E94" s="281">
        <f>'BQ MAPLE POOL'!E94</f>
        <v>5552848.9806379806</v>
      </c>
      <c r="F94" s="281">
        <f t="shared" si="4"/>
        <v>2425484.4347426696</v>
      </c>
      <c r="I94" s="429" t="s">
        <v>423</v>
      </c>
      <c r="J94" s="429">
        <v>0.43679999999999997</v>
      </c>
      <c r="K94" s="429" t="s">
        <v>9</v>
      </c>
      <c r="L94" s="429">
        <v>5744622.1366471369</v>
      </c>
      <c r="M94" s="429">
        <v>2509250.949287469</v>
      </c>
    </row>
    <row r="95" spans="1:13">
      <c r="A95" s="285"/>
      <c r="B95" s="280" t="s">
        <v>441</v>
      </c>
      <c r="C95" s="361">
        <f>0.13*0.3*33.6</f>
        <v>1.3104</v>
      </c>
      <c r="D95" s="280" t="s">
        <v>9</v>
      </c>
      <c r="E95" s="281">
        <f>'BQ MAPLE POOL'!E95</f>
        <v>3569825.4991925494</v>
      </c>
      <c r="F95" s="281">
        <f t="shared" si="4"/>
        <v>4677899.3341419166</v>
      </c>
      <c r="I95" s="429" t="s">
        <v>441</v>
      </c>
      <c r="J95" s="429">
        <v>1.3104</v>
      </c>
      <c r="K95" s="429" t="s">
        <v>9</v>
      </c>
      <c r="L95" s="429">
        <v>3680887.2932810439</v>
      </c>
      <c r="M95" s="429">
        <v>4823434.7091154801</v>
      </c>
    </row>
    <row r="96" spans="1:13">
      <c r="A96" s="285"/>
      <c r="B96" s="280" t="s">
        <v>442</v>
      </c>
      <c r="C96" s="361">
        <f>0.13*0.3*12.9</f>
        <v>0.50309999999999999</v>
      </c>
      <c r="D96" s="280" t="s">
        <v>9</v>
      </c>
      <c r="E96" s="281">
        <f>'BQ MAPLE POOL'!E96</f>
        <v>4154450.8189430698</v>
      </c>
      <c r="F96" s="281">
        <f t="shared" si="4"/>
        <v>2090104.2070102585</v>
      </c>
      <c r="I96" s="429" t="s">
        <v>442</v>
      </c>
      <c r="J96" s="429">
        <v>0.50309999999999999</v>
      </c>
      <c r="K96" s="429" t="s">
        <v>9</v>
      </c>
      <c r="L96" s="429">
        <v>4295934.56978832</v>
      </c>
      <c r="M96" s="429">
        <v>2161284.6820605039</v>
      </c>
    </row>
    <row r="97" spans="1:13">
      <c r="A97" s="285"/>
      <c r="B97" s="280" t="s">
        <v>443</v>
      </c>
      <c r="C97" s="361">
        <f>0.13*0.4*4.1</f>
        <v>0.2132</v>
      </c>
      <c r="D97" s="280" t="s">
        <v>9</v>
      </c>
      <c r="E97" s="281">
        <f>'BQ MAPLE POOL'!E97</f>
        <v>3406457.5028909156</v>
      </c>
      <c r="F97" s="281">
        <f t="shared" si="4"/>
        <v>726256.73961634317</v>
      </c>
      <c r="I97" s="429" t="s">
        <v>443</v>
      </c>
      <c r="J97" s="429">
        <v>0.2132</v>
      </c>
      <c r="K97" s="429" t="s">
        <v>9</v>
      </c>
      <c r="L97" s="429">
        <v>3506603.2821654696</v>
      </c>
      <c r="M97" s="429">
        <v>747607.81975767808</v>
      </c>
    </row>
    <row r="98" spans="1:13">
      <c r="A98" s="285"/>
      <c r="B98" s="280" t="s">
        <v>427</v>
      </c>
      <c r="C98" s="361">
        <f>0.13*0.4*57.75</f>
        <v>3.0030000000000001</v>
      </c>
      <c r="D98" s="280" t="s">
        <v>9</v>
      </c>
      <c r="E98" s="281">
        <f>'BQ MAPLE POOL'!E98</f>
        <v>3844926.4927038052</v>
      </c>
      <c r="F98" s="281">
        <f t="shared" si="4"/>
        <v>11546314.257589528</v>
      </c>
      <c r="I98" s="429" t="s">
        <v>427</v>
      </c>
      <c r="J98" s="429">
        <v>3.0030000000000001</v>
      </c>
      <c r="K98" s="429" t="s">
        <v>9</v>
      </c>
      <c r="L98" s="429">
        <v>3967888.7395459269</v>
      </c>
      <c r="M98" s="429">
        <v>11915569.88485642</v>
      </c>
    </row>
    <row r="99" spans="1:13">
      <c r="A99" s="285"/>
      <c r="B99" s="280" t="s">
        <v>444</v>
      </c>
      <c r="C99" s="361">
        <f>0.13*0.4*13.5</f>
        <v>0.70200000000000007</v>
      </c>
      <c r="D99" s="280" t="s">
        <v>9</v>
      </c>
      <c r="E99" s="281">
        <f>'BQ MAPLE POOL'!E99</f>
        <v>4426995.8459175956</v>
      </c>
      <c r="F99" s="281">
        <f t="shared" si="4"/>
        <v>3107751.0838341522</v>
      </c>
      <c r="I99" s="429" t="s">
        <v>444</v>
      </c>
      <c r="J99" s="429">
        <v>0.70200000000000007</v>
      </c>
      <c r="K99" s="429" t="s">
        <v>9</v>
      </c>
      <c r="L99" s="429">
        <v>4580923.3204970704</v>
      </c>
      <c r="M99" s="429">
        <v>3215808.1709889439</v>
      </c>
    </row>
    <row r="100" spans="1:13">
      <c r="A100" s="285"/>
      <c r="B100" s="280" t="s">
        <v>445</v>
      </c>
      <c r="C100" s="361">
        <f>0.13*0.4*7.6</f>
        <v>0.3952</v>
      </c>
      <c r="D100" s="280" t="s">
        <v>9</v>
      </c>
      <c r="E100" s="281">
        <f>'BQ MAPLE POOL'!E100</f>
        <v>4771420.6536099035</v>
      </c>
      <c r="F100" s="281">
        <f t="shared" si="4"/>
        <v>1885665.4423066338</v>
      </c>
      <c r="I100" s="429" t="s">
        <v>445</v>
      </c>
      <c r="J100" s="429">
        <v>0.3952</v>
      </c>
      <c r="K100" s="429" t="s">
        <v>9</v>
      </c>
      <c r="L100" s="429">
        <v>4948681.0491872989</v>
      </c>
      <c r="M100" s="429">
        <v>1955718.7506388205</v>
      </c>
    </row>
    <row r="101" spans="1:13">
      <c r="A101" s="285"/>
      <c r="B101" s="280" t="s">
        <v>446</v>
      </c>
      <c r="C101" s="361">
        <f>0.13*0.4*7.2</f>
        <v>0.37440000000000007</v>
      </c>
      <c r="D101" s="280" t="s">
        <v>9</v>
      </c>
      <c r="E101" s="281">
        <f>'BQ MAPLE POOL'!E101</f>
        <v>3979680.5557668684</v>
      </c>
      <c r="F101" s="281">
        <f t="shared" si="4"/>
        <v>1489992.4000791158</v>
      </c>
      <c r="I101" s="429" t="s">
        <v>446</v>
      </c>
      <c r="J101" s="429">
        <v>0.37440000000000007</v>
      </c>
      <c r="K101" s="429" t="s">
        <v>9</v>
      </c>
      <c r="L101" s="429">
        <v>4109654.9557621437</v>
      </c>
      <c r="M101" s="429">
        <v>1538654.8154373469</v>
      </c>
    </row>
    <row r="102" spans="1:13">
      <c r="A102" s="285"/>
      <c r="B102" s="280" t="s">
        <v>447</v>
      </c>
      <c r="C102" s="359">
        <v>0</v>
      </c>
      <c r="D102" s="280" t="s">
        <v>9</v>
      </c>
      <c r="E102" s="281">
        <f>'BQ MAPLE POOL'!E102</f>
        <v>0</v>
      </c>
      <c r="F102" s="281">
        <f t="shared" si="4"/>
        <v>0</v>
      </c>
      <c r="I102" s="429" t="s">
        <v>447</v>
      </c>
      <c r="J102" s="429">
        <v>0</v>
      </c>
      <c r="K102" s="429" t="s">
        <v>9</v>
      </c>
      <c r="L102" s="429">
        <v>0</v>
      </c>
      <c r="M102" s="429">
        <v>0</v>
      </c>
    </row>
    <row r="103" spans="1:13">
      <c r="A103" s="285"/>
      <c r="B103" s="280" t="s">
        <v>448</v>
      </c>
      <c r="C103" s="374">
        <f>0.13*0.5*5.3</f>
        <v>0.34449999999999997</v>
      </c>
      <c r="D103" s="280" t="s">
        <v>9</v>
      </c>
      <c r="E103" s="281">
        <f>'BQ MAPLE POOL'!E103</f>
        <v>4223719.0136962142</v>
      </c>
      <c r="F103" s="281">
        <f t="shared" si="4"/>
        <v>1455071.2002183457</v>
      </c>
      <c r="I103" s="429" t="s">
        <v>448</v>
      </c>
      <c r="J103" s="429">
        <v>0.34449999999999997</v>
      </c>
      <c r="K103" s="429" t="s">
        <v>9</v>
      </c>
      <c r="L103" s="429">
        <v>4368730.5704025701</v>
      </c>
      <c r="M103" s="429">
        <v>1505027.6815036852</v>
      </c>
    </row>
    <row r="104" spans="1:13">
      <c r="A104" s="285"/>
      <c r="B104" s="285"/>
      <c r="C104" s="361"/>
      <c r="D104" s="285"/>
      <c r="E104" s="281"/>
      <c r="F104" s="281">
        <f t="shared" si="4"/>
        <v>0</v>
      </c>
      <c r="I104" s="429"/>
      <c r="J104" s="429"/>
      <c r="K104" s="429"/>
      <c r="L104" s="429"/>
      <c r="M104" s="429">
        <v>0</v>
      </c>
    </row>
    <row r="105" spans="1:13">
      <c r="A105" s="285"/>
      <c r="B105" s="280" t="s">
        <v>449</v>
      </c>
      <c r="C105" s="361"/>
      <c r="D105" s="285"/>
      <c r="E105" s="281"/>
      <c r="F105" s="281">
        <f t="shared" si="4"/>
        <v>0</v>
      </c>
      <c r="I105" s="429" t="s">
        <v>449</v>
      </c>
      <c r="J105" s="429"/>
      <c r="K105" s="429"/>
      <c r="L105" s="429"/>
      <c r="M105" s="429">
        <v>0</v>
      </c>
    </row>
    <row r="106" spans="1:13">
      <c r="A106" s="285"/>
      <c r="B106" s="280" t="s">
        <v>450</v>
      </c>
      <c r="C106" s="374">
        <f>0.13*0.3*14.6+0.13*0.3*6</f>
        <v>0.8034</v>
      </c>
      <c r="D106" s="280" t="s">
        <v>9</v>
      </c>
      <c r="E106" s="281">
        <f>'BQ MAPLE POOL'!E106</f>
        <v>3569825.4991925494</v>
      </c>
      <c r="F106" s="281">
        <f t="shared" si="4"/>
        <v>2867997.8060512943</v>
      </c>
      <c r="I106" s="429" t="s">
        <v>450</v>
      </c>
      <c r="J106" s="429">
        <v>0.8034</v>
      </c>
      <c r="K106" s="429" t="s">
        <v>9</v>
      </c>
      <c r="L106" s="429">
        <v>3680887.2932810439</v>
      </c>
      <c r="M106" s="429">
        <v>2957224.8514219904</v>
      </c>
    </row>
    <row r="107" spans="1:13">
      <c r="A107" s="285"/>
      <c r="B107" s="280" t="s">
        <v>451</v>
      </c>
      <c r="C107" s="359">
        <v>0</v>
      </c>
      <c r="D107" s="280" t="s">
        <v>9</v>
      </c>
      <c r="E107" s="281">
        <f>'BQ MAPLE POOL'!E107</f>
        <v>0</v>
      </c>
      <c r="F107" s="281">
        <f t="shared" si="4"/>
        <v>0</v>
      </c>
      <c r="I107" s="429" t="s">
        <v>451</v>
      </c>
      <c r="J107" s="429">
        <v>0</v>
      </c>
      <c r="K107" s="429" t="s">
        <v>9</v>
      </c>
      <c r="L107" s="429">
        <v>0</v>
      </c>
      <c r="M107" s="429">
        <v>0</v>
      </c>
    </row>
    <row r="108" spans="1:13" ht="27.6">
      <c r="A108" s="285"/>
      <c r="B108" s="280" t="s">
        <v>452</v>
      </c>
      <c r="C108" s="359">
        <v>0</v>
      </c>
      <c r="D108" s="280" t="s">
        <v>9</v>
      </c>
      <c r="E108" s="281">
        <f>'BQ MAPLE POOL'!E108</f>
        <v>0</v>
      </c>
      <c r="F108" s="281">
        <f t="shared" si="4"/>
        <v>0</v>
      </c>
      <c r="I108" s="429" t="s">
        <v>452</v>
      </c>
      <c r="J108" s="429">
        <v>0</v>
      </c>
      <c r="K108" s="429" t="s">
        <v>9</v>
      </c>
      <c r="L108" s="429">
        <v>0</v>
      </c>
      <c r="M108" s="429">
        <v>0</v>
      </c>
    </row>
    <row r="109" spans="1:13" ht="27.6">
      <c r="A109" s="285"/>
      <c r="B109" s="280" t="s">
        <v>453</v>
      </c>
      <c r="C109" s="359">
        <v>0</v>
      </c>
      <c r="D109" s="280" t="s">
        <v>9</v>
      </c>
      <c r="E109" s="281">
        <f>'BQ MAPLE POOL'!E109</f>
        <v>0</v>
      </c>
      <c r="F109" s="281">
        <f t="shared" si="4"/>
        <v>0</v>
      </c>
      <c r="I109" s="429" t="s">
        <v>453</v>
      </c>
      <c r="J109" s="429">
        <v>0</v>
      </c>
      <c r="K109" s="429" t="s">
        <v>9</v>
      </c>
      <c r="L109" s="429">
        <v>0</v>
      </c>
      <c r="M109" s="429">
        <v>0</v>
      </c>
    </row>
    <row r="110" spans="1:13" ht="27.6">
      <c r="A110" s="285"/>
      <c r="B110" s="280" t="s">
        <v>454</v>
      </c>
      <c r="C110" s="361">
        <f>+(4.1*0.8*0.1)</f>
        <v>0.32800000000000001</v>
      </c>
      <c r="D110" s="280" t="s">
        <v>9</v>
      </c>
      <c r="E110" s="281">
        <f>'BQ MAPLE POOL'!E110</f>
        <v>3322371.9090909092</v>
      </c>
      <c r="F110" s="281">
        <f t="shared" si="4"/>
        <v>1089737.9861818182</v>
      </c>
      <c r="I110" s="429" t="s">
        <v>454</v>
      </c>
      <c r="J110" s="429">
        <v>0.32800000000000001</v>
      </c>
      <c r="K110" s="429" t="s">
        <v>9</v>
      </c>
      <c r="L110" s="429">
        <v>3430666.1867321869</v>
      </c>
      <c r="M110" s="429">
        <v>1125258.5092481573</v>
      </c>
    </row>
    <row r="111" spans="1:13">
      <c r="A111" s="285"/>
      <c r="B111" s="286" t="s">
        <v>397</v>
      </c>
      <c r="C111" s="361"/>
      <c r="D111" s="280"/>
      <c r="E111" s="281"/>
      <c r="F111" s="281">
        <f t="shared" si="4"/>
        <v>0</v>
      </c>
      <c r="I111" s="429" t="s">
        <v>397</v>
      </c>
      <c r="J111" s="429"/>
      <c r="K111" s="429"/>
      <c r="L111" s="429"/>
      <c r="M111" s="429">
        <v>0</v>
      </c>
    </row>
    <row r="112" spans="1:13">
      <c r="A112" s="285"/>
      <c r="B112" s="286" t="s">
        <v>705</v>
      </c>
      <c r="C112" s="361">
        <f>0.13*0.2*23.4</f>
        <v>0.60840000000000005</v>
      </c>
      <c r="D112" s="280" t="s">
        <v>9</v>
      </c>
      <c r="E112" s="281">
        <f>E87</f>
        <v>3694481.5092783347</v>
      </c>
      <c r="F112" s="281">
        <f t="shared" si="4"/>
        <v>2247722.550244939</v>
      </c>
      <c r="I112" s="429" t="s">
        <v>705</v>
      </c>
      <c r="J112" s="429">
        <v>0.60840000000000005</v>
      </c>
      <c r="K112" s="429" t="s">
        <v>9</v>
      </c>
      <c r="L112" s="429">
        <v>3823277.8679597434</v>
      </c>
      <c r="M112" s="429">
        <v>2326082.2548667081</v>
      </c>
    </row>
    <row r="113" spans="1:13">
      <c r="A113" s="285"/>
      <c r="B113" s="286" t="s">
        <v>706</v>
      </c>
      <c r="C113" s="361">
        <f>0.13*0.2*7.9</f>
        <v>0.20540000000000003</v>
      </c>
      <c r="D113" s="280" t="s">
        <v>9</v>
      </c>
      <c r="E113" s="281">
        <f>'AN BETON TYPE MAPLE'!F247</f>
        <v>3694481.5092783347</v>
      </c>
      <c r="F113" s="281">
        <f t="shared" si="4"/>
        <v>758846.50200576999</v>
      </c>
      <c r="I113" s="429" t="s">
        <v>706</v>
      </c>
      <c r="J113" s="429">
        <v>0.20540000000000003</v>
      </c>
      <c r="K113" s="429" t="s">
        <v>9</v>
      </c>
      <c r="L113" s="429">
        <v>3823277.8679597434</v>
      </c>
      <c r="M113" s="429">
        <v>785301.27407893143</v>
      </c>
    </row>
    <row r="114" spans="1:13" ht="18.75" customHeight="1">
      <c r="A114" s="285"/>
      <c r="B114" s="286" t="s">
        <v>707</v>
      </c>
      <c r="C114" s="361">
        <f>0.13*0.2*15.9</f>
        <v>0.41340000000000005</v>
      </c>
      <c r="D114" s="280" t="s">
        <v>9</v>
      </c>
      <c r="E114" s="281">
        <f>'AN BETON TYPE MAPLE'!F253</f>
        <v>4571419.4889041139</v>
      </c>
      <c r="F114" s="281">
        <f t="shared" si="4"/>
        <v>1889824.8167129608</v>
      </c>
      <c r="I114" s="429" t="s">
        <v>707</v>
      </c>
      <c r="J114" s="429">
        <v>0.41340000000000005</v>
      </c>
      <c r="K114" s="429" t="s">
        <v>9</v>
      </c>
      <c r="L114" s="429">
        <v>4745848.782720658</v>
      </c>
      <c r="M114" s="429">
        <v>1961933.8867767202</v>
      </c>
    </row>
    <row r="115" spans="1:13">
      <c r="A115" s="285"/>
      <c r="B115" s="286" t="s">
        <v>702</v>
      </c>
      <c r="C115" s="361">
        <f>0.13*0.4*17.7</f>
        <v>0.9204</v>
      </c>
      <c r="D115" s="280" t="s">
        <v>9</v>
      </c>
      <c r="E115" s="281">
        <f>E97</f>
        <v>3406457.5028909156</v>
      </c>
      <c r="F115" s="281">
        <f t="shared" si="4"/>
        <v>3135303.4856607988</v>
      </c>
      <c r="I115" s="429" t="s">
        <v>702</v>
      </c>
      <c r="J115" s="429">
        <v>0.9204</v>
      </c>
      <c r="K115" s="429" t="s">
        <v>9</v>
      </c>
      <c r="L115" s="429">
        <v>3506603.2821654696</v>
      </c>
      <c r="M115" s="429">
        <v>3227477.6609050981</v>
      </c>
    </row>
    <row r="116" spans="1:13">
      <c r="A116" s="285"/>
      <c r="B116" s="286" t="s">
        <v>710</v>
      </c>
      <c r="C116" s="361">
        <f>0.1*0.25*11.8</f>
        <v>0.29500000000000004</v>
      </c>
      <c r="D116" s="280" t="s">
        <v>9</v>
      </c>
      <c r="E116" s="281">
        <f>'AN BETON TYPE MAPLE'!F217</f>
        <v>7141240.2056461917</v>
      </c>
      <c r="F116" s="281">
        <f t="shared" si="4"/>
        <v>2106665.8606656268</v>
      </c>
      <c r="I116" s="429" t="s">
        <v>710</v>
      </c>
      <c r="J116" s="429">
        <v>0.29500000000000004</v>
      </c>
      <c r="K116" s="429" t="s">
        <v>9</v>
      </c>
      <c r="L116" s="429">
        <v>7327865.5195331704</v>
      </c>
      <c r="M116" s="429">
        <v>2161720.3282622853</v>
      </c>
    </row>
    <row r="117" spans="1:13">
      <c r="A117" s="285"/>
      <c r="B117" s="286" t="s">
        <v>708</v>
      </c>
      <c r="C117" s="361">
        <f>0.13*0.4*2.7</f>
        <v>0.14040000000000002</v>
      </c>
      <c r="D117" s="280" t="s">
        <v>9</v>
      </c>
      <c r="E117" s="281">
        <f>'AN BETON TYPE MAPLE'!F307</f>
        <v>4470048.9468791336</v>
      </c>
      <c r="F117" s="281">
        <f t="shared" si="4"/>
        <v>627594.87214183051</v>
      </c>
      <c r="I117" s="429" t="s">
        <v>708</v>
      </c>
      <c r="J117" s="429">
        <v>0.14040000000000002</v>
      </c>
      <c r="K117" s="429" t="s">
        <v>9</v>
      </c>
      <c r="L117" s="429">
        <v>4626893.0365833491</v>
      </c>
      <c r="M117" s="429">
        <v>649615.78233630233</v>
      </c>
    </row>
    <row r="118" spans="1:13">
      <c r="A118" s="285"/>
      <c r="B118" s="286" t="s">
        <v>709</v>
      </c>
      <c r="C118" s="361">
        <f>0.13*0.4*4.7</f>
        <v>0.24440000000000003</v>
      </c>
      <c r="D118" s="280" t="s">
        <v>9</v>
      </c>
      <c r="E118" s="281">
        <f>'AN BETON TYPE MAPLE'!F331</f>
        <v>4200540.8207530081</v>
      </c>
      <c r="F118" s="281">
        <f t="shared" si="4"/>
        <v>1026612.1765920353</v>
      </c>
      <c r="I118" s="429" t="s">
        <v>709</v>
      </c>
      <c r="J118" s="429">
        <v>0.24440000000000003</v>
      </c>
      <c r="K118" s="429" t="s">
        <v>9</v>
      </c>
      <c r="L118" s="429">
        <v>4343360.6041509174</v>
      </c>
      <c r="M118" s="429">
        <v>1061517.3316544844</v>
      </c>
    </row>
    <row r="119" spans="1:13">
      <c r="A119" s="285"/>
      <c r="B119" s="280"/>
      <c r="C119" s="361"/>
      <c r="D119" s="280"/>
      <c r="E119" s="281"/>
      <c r="F119" s="281"/>
      <c r="I119" s="429"/>
      <c r="J119" s="429"/>
      <c r="K119" s="429"/>
      <c r="L119" s="429"/>
      <c r="M119" s="429"/>
    </row>
    <row r="120" spans="1:13">
      <c r="A120" s="282" t="s">
        <v>13</v>
      </c>
      <c r="B120" s="282" t="s">
        <v>14</v>
      </c>
      <c r="C120" s="375"/>
      <c r="D120" s="282" t="s">
        <v>9</v>
      </c>
      <c r="E120" s="283"/>
      <c r="F120" s="284">
        <f>SUM(F121:F131)</f>
        <v>69642164.590267047</v>
      </c>
      <c r="I120" s="429" t="s">
        <v>14</v>
      </c>
      <c r="J120" s="429"/>
      <c r="K120" s="429" t="s">
        <v>9</v>
      </c>
      <c r="L120" s="429"/>
      <c r="M120" s="429">
        <v>64821987.282040425</v>
      </c>
    </row>
    <row r="121" spans="1:13">
      <c r="A121" s="285"/>
      <c r="B121" s="280" t="s">
        <v>200</v>
      </c>
      <c r="C121" s="361"/>
      <c r="D121" s="280" t="s">
        <v>9</v>
      </c>
      <c r="E121" s="281"/>
      <c r="F121" s="281">
        <f>+C121*E121</f>
        <v>0</v>
      </c>
      <c r="I121" s="429" t="s">
        <v>200</v>
      </c>
      <c r="J121" s="429"/>
      <c r="K121" s="429" t="s">
        <v>9</v>
      </c>
      <c r="L121" s="429"/>
      <c r="M121" s="429">
        <v>0</v>
      </c>
    </row>
    <row r="122" spans="1:13">
      <c r="A122" s="285"/>
      <c r="B122" s="280" t="s">
        <v>455</v>
      </c>
      <c r="C122" s="361">
        <f>(8.1*10-2.1*2.1-2.8*0.8+7.5*1+2.5*4.1+4.1*0.5)*0.12</f>
        <v>11.298</v>
      </c>
      <c r="D122" s="280" t="s">
        <v>9</v>
      </c>
      <c r="E122" s="281">
        <f>'BQ MAPLE POOL'!E121</f>
        <v>3163852.8409090908</v>
      </c>
      <c r="F122" s="281">
        <f t="shared" ref="F122:F131" si="5">+C122*E122</f>
        <v>35745209.396590911</v>
      </c>
      <c r="I122" s="429" t="s">
        <v>455</v>
      </c>
      <c r="J122" s="429">
        <v>11.298</v>
      </c>
      <c r="K122" s="429" t="s">
        <v>9</v>
      </c>
      <c r="L122" s="429">
        <v>3271966.2929975432</v>
      </c>
      <c r="M122" s="429">
        <v>36966675.178286247</v>
      </c>
    </row>
    <row r="123" spans="1:13">
      <c r="A123" s="285"/>
      <c r="B123" s="280" t="s">
        <v>456</v>
      </c>
      <c r="C123" s="361">
        <f>(3.8*2+2.15*0.6+1.5*0.7+1.2*0.5)*0.1</f>
        <v>1.0539999999999998</v>
      </c>
      <c r="D123" s="280" t="s">
        <v>9</v>
      </c>
      <c r="E123" s="281">
        <f>'BQ MAPLE POOL'!E122</f>
        <v>3322371.9090909092</v>
      </c>
      <c r="F123" s="281">
        <f t="shared" si="5"/>
        <v>3501779.9921818175</v>
      </c>
      <c r="I123" s="429" t="s">
        <v>456</v>
      </c>
      <c r="J123" s="429">
        <v>1.0539999999999998</v>
      </c>
      <c r="K123" s="429" t="s">
        <v>9</v>
      </c>
      <c r="L123" s="429">
        <v>3430666.1867321869</v>
      </c>
      <c r="M123" s="429">
        <v>3615922.1608157246</v>
      </c>
    </row>
    <row r="124" spans="1:13">
      <c r="A124" s="285"/>
      <c r="B124" s="280" t="s">
        <v>457</v>
      </c>
      <c r="C124" s="361">
        <f>(10*4.5+1*5.7+9.2*0.5)*0.12</f>
        <v>6.6360000000000001</v>
      </c>
      <c r="D124" s="280" t="s">
        <v>9</v>
      </c>
      <c r="E124" s="281">
        <f>'BQ MAPLE POOL'!E123</f>
        <v>3163852.8409090908</v>
      </c>
      <c r="F124" s="281">
        <f t="shared" si="5"/>
        <v>20995327.452272728</v>
      </c>
      <c r="I124" s="429" t="s">
        <v>457</v>
      </c>
      <c r="J124" s="429">
        <v>6.6360000000000001</v>
      </c>
      <c r="K124" s="429" t="s">
        <v>9</v>
      </c>
      <c r="L124" s="429">
        <v>3271966.2929975432</v>
      </c>
      <c r="M124" s="429">
        <v>21712768.320331696</v>
      </c>
    </row>
    <row r="125" spans="1:13">
      <c r="A125" s="285"/>
      <c r="B125" s="280" t="s">
        <v>458</v>
      </c>
      <c r="C125" s="359">
        <v>0</v>
      </c>
      <c r="D125" s="280" t="s">
        <v>9</v>
      </c>
      <c r="E125" s="281">
        <f>'BQ MAPLE POOL'!E124</f>
        <v>0</v>
      </c>
      <c r="F125" s="281">
        <f t="shared" si="5"/>
        <v>0</v>
      </c>
      <c r="I125" s="429" t="s">
        <v>458</v>
      </c>
      <c r="J125" s="429">
        <v>0</v>
      </c>
      <c r="K125" s="429" t="s">
        <v>9</v>
      </c>
      <c r="L125" s="429">
        <v>0</v>
      </c>
      <c r="M125" s="429">
        <v>0</v>
      </c>
    </row>
    <row r="126" spans="1:13">
      <c r="A126" s="285"/>
      <c r="B126" s="280" t="s">
        <v>459</v>
      </c>
      <c r="C126" s="374">
        <f>(3.3*2.3+0.6*19.4)*0.1</f>
        <v>1.9229999999999998</v>
      </c>
      <c r="D126" s="280" t="s">
        <v>9</v>
      </c>
      <c r="E126" s="281">
        <f>E123</f>
        <v>3322371.9090909092</v>
      </c>
      <c r="F126" s="281">
        <f t="shared" si="5"/>
        <v>6388921.1811818173</v>
      </c>
      <c r="I126" s="429" t="s">
        <v>459</v>
      </c>
      <c r="J126" s="429">
        <v>1.9229999999999998</v>
      </c>
      <c r="K126" s="429" t="s">
        <v>9</v>
      </c>
      <c r="L126" s="429">
        <v>3430666.1867321869</v>
      </c>
      <c r="M126" s="429">
        <v>6597171.0770859951</v>
      </c>
    </row>
    <row r="127" spans="1:13">
      <c r="A127" s="285"/>
      <c r="B127" s="280" t="s">
        <v>460</v>
      </c>
      <c r="C127" s="359">
        <v>0</v>
      </c>
      <c r="D127" s="280" t="s">
        <v>9</v>
      </c>
      <c r="E127" s="281">
        <f>'BQ MAPLE POOL'!E126</f>
        <v>0</v>
      </c>
      <c r="F127" s="281">
        <f t="shared" si="5"/>
        <v>0</v>
      </c>
      <c r="I127" s="429" t="s">
        <v>460</v>
      </c>
      <c r="J127" s="429">
        <v>0</v>
      </c>
      <c r="K127" s="429" t="s">
        <v>9</v>
      </c>
      <c r="L127" s="429">
        <v>0</v>
      </c>
      <c r="M127" s="429">
        <v>0</v>
      </c>
    </row>
    <row r="128" spans="1:13">
      <c r="A128" s="285"/>
      <c r="B128" s="280" t="s">
        <v>461</v>
      </c>
      <c r="C128" s="356">
        <v>0</v>
      </c>
      <c r="D128" s="280" t="s">
        <v>9</v>
      </c>
      <c r="E128" s="281">
        <f>'BQ MAPLE POOL'!E127</f>
        <v>0</v>
      </c>
      <c r="F128" s="281">
        <f t="shared" si="5"/>
        <v>0</v>
      </c>
      <c r="I128" s="429" t="s">
        <v>461</v>
      </c>
      <c r="J128" s="429">
        <v>0</v>
      </c>
      <c r="K128" s="429" t="s">
        <v>9</v>
      </c>
      <c r="L128" s="429">
        <v>0</v>
      </c>
      <c r="M128" s="429">
        <v>0</v>
      </c>
    </row>
    <row r="129" spans="1:13">
      <c r="A129" s="285"/>
      <c r="B129" s="286" t="s">
        <v>397</v>
      </c>
      <c r="C129" s="361"/>
      <c r="D129" s="280"/>
      <c r="E129" s="281"/>
      <c r="F129" s="281">
        <f t="shared" si="5"/>
        <v>0</v>
      </c>
      <c r="I129" s="429" t="s">
        <v>397</v>
      </c>
      <c r="J129" s="429"/>
      <c r="K129" s="429"/>
      <c r="L129" s="429"/>
      <c r="M129" s="429">
        <v>0</v>
      </c>
    </row>
    <row r="130" spans="1:13">
      <c r="A130" s="285"/>
      <c r="B130" s="286" t="s">
        <v>698</v>
      </c>
      <c r="C130" s="361">
        <f>(2.7*2.3-0.5*1.7)*0.1</f>
        <v>0.53600000000000003</v>
      </c>
      <c r="D130" s="280" t="s">
        <v>9</v>
      </c>
      <c r="E130" s="281">
        <f>'BQ MAPLE POOL'!E129</f>
        <v>3693411.8181818184</v>
      </c>
      <c r="F130" s="281">
        <f t="shared" si="5"/>
        <v>1979668.7345454548</v>
      </c>
      <c r="I130" s="429" t="s">
        <v>698</v>
      </c>
      <c r="J130" s="429">
        <v>0.53600000000000003</v>
      </c>
      <c r="K130" s="429" t="s">
        <v>9</v>
      </c>
      <c r="L130" s="429">
        <v>3853351.0515970523</v>
      </c>
      <c r="M130" s="429">
        <v>2065396.1636560201</v>
      </c>
    </row>
    <row r="131" spans="1:13">
      <c r="A131" s="285"/>
      <c r="B131" s="286" t="s">
        <v>819</v>
      </c>
      <c r="C131" s="361">
        <f>3.2*0.8*0.12+0.25*0.5*0.15</f>
        <v>0.32595000000000002</v>
      </c>
      <c r="D131" s="280" t="s">
        <v>9</v>
      </c>
      <c r="E131" s="281">
        <f>'BQ MAPLE POOL'!E130</f>
        <v>3163852.8409090908</v>
      </c>
      <c r="F131" s="281">
        <f t="shared" si="5"/>
        <v>1031257.8334943182</v>
      </c>
      <c r="I131" s="429" t="s">
        <v>819</v>
      </c>
      <c r="J131" s="429">
        <v>0.32595000000000002</v>
      </c>
      <c r="K131" s="429" t="s">
        <v>9</v>
      </c>
      <c r="L131" s="429">
        <v>3271966.2929975432</v>
      </c>
      <c r="M131" s="429">
        <v>1066497.4132025493</v>
      </c>
    </row>
    <row r="132" spans="1:13">
      <c r="A132" s="285"/>
      <c r="B132" s="280"/>
      <c r="C132" s="361"/>
      <c r="D132" s="280"/>
      <c r="E132" s="281"/>
      <c r="F132" s="281"/>
      <c r="I132" s="429"/>
      <c r="J132" s="429"/>
      <c r="K132" s="429"/>
      <c r="L132" s="429"/>
      <c r="M132" s="429"/>
    </row>
    <row r="133" spans="1:13">
      <c r="A133" s="282" t="s">
        <v>201</v>
      </c>
      <c r="B133" s="282" t="s">
        <v>202</v>
      </c>
      <c r="C133" s="375"/>
      <c r="D133" s="282" t="s">
        <v>6</v>
      </c>
      <c r="E133" s="283"/>
      <c r="F133" s="284">
        <f>SUM(F134:F145)</f>
        <v>26764507.449875753</v>
      </c>
      <c r="I133" s="429" t="s">
        <v>202</v>
      </c>
      <c r="J133" s="429"/>
      <c r="K133" s="429" t="s">
        <v>6</v>
      </c>
      <c r="L133" s="429"/>
      <c r="M133" s="429">
        <v>24841024.60725455</v>
      </c>
    </row>
    <row r="134" spans="1:13">
      <c r="A134" s="285"/>
      <c r="B134" s="280" t="s">
        <v>203</v>
      </c>
      <c r="C134" s="361"/>
      <c r="D134" s="280" t="s">
        <v>6</v>
      </c>
      <c r="E134" s="281"/>
      <c r="F134" s="281">
        <f t="shared" ref="F134:F143" si="6">+C134*E134</f>
        <v>0</v>
      </c>
      <c r="I134" s="429" t="s">
        <v>203</v>
      </c>
      <c r="J134" s="429"/>
      <c r="K134" s="429" t="s">
        <v>6</v>
      </c>
      <c r="L134" s="429"/>
      <c r="M134" s="429">
        <v>0</v>
      </c>
    </row>
    <row r="135" spans="1:13">
      <c r="A135" s="285"/>
      <c r="B135" s="280" t="s">
        <v>462</v>
      </c>
      <c r="C135" s="361">
        <f>8.72*1.15*0.12+0.3*0.09*1.15*19</f>
        <v>1.79331</v>
      </c>
      <c r="D135" s="280" t="s">
        <v>9</v>
      </c>
      <c r="E135" s="281">
        <f>'BQ MAPLE POOL'!E134</f>
        <v>4519416.3799549546</v>
      </c>
      <c r="F135" s="281">
        <f t="shared" si="6"/>
        <v>8104714.5883370191</v>
      </c>
      <c r="I135" s="429" t="s">
        <v>462</v>
      </c>
      <c r="J135" s="429">
        <v>1.79331</v>
      </c>
      <c r="K135" s="429" t="s">
        <v>9</v>
      </c>
      <c r="L135" s="429">
        <v>4688628.9959459463</v>
      </c>
      <c r="M135" s="429">
        <v>8408165.2647198252</v>
      </c>
    </row>
    <row r="136" spans="1:13">
      <c r="A136" s="285"/>
      <c r="B136" s="280" t="s">
        <v>463</v>
      </c>
      <c r="C136" s="361">
        <f>8.72*1.15*0.12+0.3*0.09*1.15*19</f>
        <v>1.79331</v>
      </c>
      <c r="D136" s="280" t="s">
        <v>9</v>
      </c>
      <c r="E136" s="281">
        <f>E135</f>
        <v>4519416.3799549546</v>
      </c>
      <c r="F136" s="281">
        <f t="shared" si="6"/>
        <v>8104714.5883370191</v>
      </c>
      <c r="I136" s="429" t="s">
        <v>463</v>
      </c>
      <c r="J136" s="429">
        <v>1.79331</v>
      </c>
      <c r="K136" s="429" t="s">
        <v>9</v>
      </c>
      <c r="L136" s="429">
        <v>4688628.9959459463</v>
      </c>
      <c r="M136" s="429">
        <v>8408165.2647198252</v>
      </c>
    </row>
    <row r="137" spans="1:13">
      <c r="A137" s="285"/>
      <c r="B137" s="280" t="s">
        <v>464</v>
      </c>
      <c r="C137" s="361">
        <v>1</v>
      </c>
      <c r="D137" s="280" t="s">
        <v>204</v>
      </c>
      <c r="E137" s="281">
        <f>'BQ MAPLE POOL'!E136</f>
        <v>750000</v>
      </c>
      <c r="F137" s="281">
        <f t="shared" si="6"/>
        <v>750000</v>
      </c>
      <c r="I137" s="429" t="s">
        <v>464</v>
      </c>
      <c r="J137" s="429">
        <v>1</v>
      </c>
      <c r="K137" s="429" t="s">
        <v>204</v>
      </c>
      <c r="L137" s="429">
        <v>750000</v>
      </c>
      <c r="M137" s="429">
        <v>750000</v>
      </c>
    </row>
    <row r="138" spans="1:13">
      <c r="A138" s="285"/>
      <c r="B138" s="280" t="s">
        <v>465</v>
      </c>
      <c r="C138" s="361">
        <v>3</v>
      </c>
      <c r="D138" s="280" t="s">
        <v>204</v>
      </c>
      <c r="E138" s="281">
        <f>'BQ MAPLE POOL'!E137</f>
        <v>350000</v>
      </c>
      <c r="F138" s="281">
        <f t="shared" si="6"/>
        <v>1050000</v>
      </c>
      <c r="I138" s="429" t="s">
        <v>465</v>
      </c>
      <c r="J138" s="429">
        <v>3</v>
      </c>
      <c r="K138" s="429" t="s">
        <v>204</v>
      </c>
      <c r="L138" s="429">
        <v>350000</v>
      </c>
      <c r="M138" s="429">
        <v>1050000</v>
      </c>
    </row>
    <row r="139" spans="1:13">
      <c r="A139" s="285"/>
      <c r="B139" s="280" t="s">
        <v>466</v>
      </c>
      <c r="C139" s="361">
        <f>0.13*0.15*33.15+0.13*0.15*30.75</f>
        <v>1.2460499999999999</v>
      </c>
      <c r="D139" s="280" t="s">
        <v>9</v>
      </c>
      <c r="E139" s="281">
        <f>'BQ MAPLE POOL'!E138</f>
        <v>3114582.1620046622</v>
      </c>
      <c r="F139" s="281">
        <f t="shared" si="6"/>
        <v>3880925.1029659091</v>
      </c>
      <c r="I139" s="429" t="s">
        <v>466</v>
      </c>
      <c r="J139" s="429">
        <v>1.2460499999999999</v>
      </c>
      <c r="K139" s="429" t="s">
        <v>9</v>
      </c>
      <c r="L139" s="429">
        <v>3257989.9138348144</v>
      </c>
      <c r="M139" s="429">
        <v>4059618.3321338701</v>
      </c>
    </row>
    <row r="140" spans="1:13">
      <c r="A140" s="285"/>
      <c r="B140" s="280" t="s">
        <v>467</v>
      </c>
      <c r="C140" s="361">
        <f>0.15*0.3*2.3*2</f>
        <v>0.20699999999999999</v>
      </c>
      <c r="D140" s="280" t="s">
        <v>9</v>
      </c>
      <c r="E140" s="281">
        <f>'BQ MAPLE POOL'!E139</f>
        <v>3569825.4991925494</v>
      </c>
      <c r="F140" s="281">
        <f t="shared" si="6"/>
        <v>738953.87833285774</v>
      </c>
      <c r="I140" s="429" t="s">
        <v>467</v>
      </c>
      <c r="J140" s="429">
        <v>0.20699999999999999</v>
      </c>
      <c r="K140" s="429" t="s">
        <v>9</v>
      </c>
      <c r="L140" s="429">
        <v>3680887.2932810439</v>
      </c>
      <c r="M140" s="429">
        <v>761943.66970917606</v>
      </c>
    </row>
    <row r="141" spans="1:13">
      <c r="A141" s="285"/>
      <c r="B141" s="280" t="s">
        <v>468</v>
      </c>
      <c r="C141" s="361">
        <f>18*0.2*0.2</f>
        <v>0.72000000000000008</v>
      </c>
      <c r="D141" s="280" t="s">
        <v>9</v>
      </c>
      <c r="E141" s="281">
        <f>'BQ MAPLE POOL'!E140</f>
        <v>840000</v>
      </c>
      <c r="F141" s="281">
        <f t="shared" si="6"/>
        <v>604800.00000000012</v>
      </c>
      <c r="I141" s="429" t="s">
        <v>468</v>
      </c>
      <c r="J141" s="429">
        <v>0.72000000000000008</v>
      </c>
      <c r="K141" s="429" t="s">
        <v>9</v>
      </c>
      <c r="L141" s="429">
        <v>846100</v>
      </c>
      <c r="M141" s="429">
        <v>609192.00000000012</v>
      </c>
    </row>
    <row r="142" spans="1:13">
      <c r="A142" s="285"/>
      <c r="B142" s="286" t="s">
        <v>397</v>
      </c>
      <c r="C142" s="361"/>
      <c r="D142" s="280"/>
      <c r="E142" s="281"/>
      <c r="F142" s="281">
        <f t="shared" si="6"/>
        <v>0</v>
      </c>
      <c r="I142" s="429" t="s">
        <v>397</v>
      </c>
      <c r="J142" s="429"/>
      <c r="K142" s="429"/>
      <c r="L142" s="429"/>
      <c r="M142" s="429">
        <v>0</v>
      </c>
    </row>
    <row r="143" spans="1:13">
      <c r="A143" s="285"/>
      <c r="B143" s="286" t="s">
        <v>699</v>
      </c>
      <c r="C143" s="361">
        <f>2*0.25*0.25*1.5</f>
        <v>0.1875</v>
      </c>
      <c r="D143" s="280" t="s">
        <v>9</v>
      </c>
      <c r="E143" s="281">
        <f>'BQ MAPLE POOL'!E142</f>
        <v>4017169.5568157248</v>
      </c>
      <c r="F143" s="281">
        <f t="shared" si="6"/>
        <v>753219.2919029484</v>
      </c>
      <c r="I143" s="429" t="s">
        <v>699</v>
      </c>
      <c r="J143" s="429">
        <v>0.1875</v>
      </c>
      <c r="K143" s="429" t="s">
        <v>9</v>
      </c>
      <c r="L143" s="429">
        <v>4143327.5798525801</v>
      </c>
      <c r="M143" s="429">
        <v>776873.92122235871</v>
      </c>
    </row>
    <row r="144" spans="1:13">
      <c r="A144" s="285"/>
      <c r="B144" s="286" t="s">
        <v>703</v>
      </c>
      <c r="C144" s="361">
        <f>(1.2+1.2+0.65)*9.36</f>
        <v>28.547999999999998</v>
      </c>
      <c r="D144" s="280" t="s">
        <v>43</v>
      </c>
      <c r="E144" s="281">
        <f>'BQ MAPLE POOL'!E143</f>
        <v>35000</v>
      </c>
      <c r="F144" s="281">
        <f>+C144*E144</f>
        <v>999179.99999999988</v>
      </c>
      <c r="I144" s="429" t="s">
        <v>703</v>
      </c>
      <c r="J144" s="429">
        <v>28.547999999999998</v>
      </c>
      <c r="K144" s="429" t="s">
        <v>43</v>
      </c>
      <c r="L144" s="429">
        <v>35000</v>
      </c>
      <c r="M144" s="429">
        <v>999179.99999999988</v>
      </c>
    </row>
    <row r="145" spans="1:13">
      <c r="A145" s="285"/>
      <c r="B145" s="286" t="s">
        <v>845</v>
      </c>
      <c r="C145" s="361">
        <f>12.7*4</f>
        <v>50.8</v>
      </c>
      <c r="D145" s="280" t="s">
        <v>43</v>
      </c>
      <c r="E145" s="281">
        <f>'BQ MAPLE POOL'!E144</f>
        <v>35000</v>
      </c>
      <c r="F145" s="281">
        <f>+C145*E145</f>
        <v>1778000</v>
      </c>
      <c r="I145" s="429" t="s">
        <v>845</v>
      </c>
      <c r="J145" s="429">
        <v>50.8</v>
      </c>
      <c r="K145" s="429" t="s">
        <v>43</v>
      </c>
      <c r="L145" s="429">
        <v>35000</v>
      </c>
      <c r="M145" s="429">
        <v>1778000</v>
      </c>
    </row>
    <row r="146" spans="1:13">
      <c r="A146" s="285"/>
      <c r="B146" s="280"/>
      <c r="C146" s="361"/>
      <c r="D146" s="280"/>
      <c r="E146" s="281"/>
      <c r="F146" s="281"/>
      <c r="I146" s="429"/>
      <c r="J146" s="429"/>
      <c r="K146" s="429"/>
      <c r="L146" s="429"/>
      <c r="M146" s="429"/>
    </row>
    <row r="147" spans="1:13">
      <c r="A147" s="282" t="s">
        <v>15</v>
      </c>
      <c r="B147" s="282" t="s">
        <v>16</v>
      </c>
      <c r="C147" s="375"/>
      <c r="D147" s="282" t="s">
        <v>5</v>
      </c>
      <c r="E147" s="283"/>
      <c r="F147" s="284">
        <f>SUM(F148:F177)</f>
        <v>86389697.225540563</v>
      </c>
      <c r="I147" s="429" t="s">
        <v>16</v>
      </c>
      <c r="J147" s="429"/>
      <c r="K147" s="429" t="s">
        <v>5</v>
      </c>
      <c r="L147" s="429"/>
      <c r="M147" s="429">
        <v>86413089.753540561</v>
      </c>
    </row>
    <row r="148" spans="1:13">
      <c r="A148" s="285"/>
      <c r="B148" s="280" t="s">
        <v>205</v>
      </c>
      <c r="C148" s="361"/>
      <c r="D148" s="280" t="s">
        <v>5</v>
      </c>
      <c r="E148" s="281"/>
      <c r="F148" s="281">
        <f t="shared" ref="F148:F172" si="7">+C148*E148</f>
        <v>0</v>
      </c>
      <c r="I148" s="429" t="s">
        <v>205</v>
      </c>
      <c r="J148" s="429"/>
      <c r="K148" s="429" t="s">
        <v>5</v>
      </c>
      <c r="L148" s="429"/>
      <c r="M148" s="429">
        <v>0</v>
      </c>
    </row>
    <row r="149" spans="1:13" ht="27.6">
      <c r="A149" s="285"/>
      <c r="B149" s="280" t="s">
        <v>469</v>
      </c>
      <c r="C149" s="361">
        <f>6.2*5</f>
        <v>31</v>
      </c>
      <c r="D149" s="280" t="s">
        <v>5</v>
      </c>
      <c r="E149" s="281">
        <f>'BQ MAPLE POOL'!E148</f>
        <v>239262.5</v>
      </c>
      <c r="F149" s="281">
        <f>+C149*E149</f>
        <v>7417137.5</v>
      </c>
      <c r="I149" s="429" t="s">
        <v>469</v>
      </c>
      <c r="J149" s="429">
        <v>31</v>
      </c>
      <c r="K149" s="429" t="s">
        <v>5</v>
      </c>
      <c r="L149" s="429">
        <v>239262.5</v>
      </c>
      <c r="M149" s="429">
        <v>7417137.5</v>
      </c>
    </row>
    <row r="150" spans="1:13" ht="27.6">
      <c r="A150" s="285"/>
      <c r="B150" s="280" t="s">
        <v>470</v>
      </c>
      <c r="C150" s="361">
        <f>1.3*2.6</f>
        <v>3.3800000000000003</v>
      </c>
      <c r="D150" s="280" t="s">
        <v>5</v>
      </c>
      <c r="E150" s="281">
        <f>'BQ MAPLE POOL'!E149</f>
        <v>411099.34113680152</v>
      </c>
      <c r="F150" s="281">
        <f t="shared" si="7"/>
        <v>1389515.7730423892</v>
      </c>
      <c r="I150" s="429" t="s">
        <v>470</v>
      </c>
      <c r="J150" s="429">
        <v>3.3800000000000003</v>
      </c>
      <c r="K150" s="429" t="s">
        <v>5</v>
      </c>
      <c r="L150" s="429">
        <v>411099.34113680152</v>
      </c>
      <c r="M150" s="429">
        <v>1389515.7730423892</v>
      </c>
    </row>
    <row r="151" spans="1:13" ht="27.6">
      <c r="A151" s="285"/>
      <c r="B151" s="280" t="s">
        <v>471</v>
      </c>
      <c r="C151" s="361">
        <f>1.3*2.9</f>
        <v>3.77</v>
      </c>
      <c r="D151" s="280" t="s">
        <v>5</v>
      </c>
      <c r="E151" s="281">
        <f>'BQ MAPLE POOL'!E150</f>
        <v>411099.34113680152</v>
      </c>
      <c r="F151" s="281">
        <f t="shared" si="7"/>
        <v>1549844.5160857418</v>
      </c>
      <c r="I151" s="429" t="s">
        <v>471</v>
      </c>
      <c r="J151" s="429">
        <v>3.77</v>
      </c>
      <c r="K151" s="429" t="s">
        <v>5</v>
      </c>
      <c r="L151" s="429">
        <v>411099.34113680152</v>
      </c>
      <c r="M151" s="429">
        <v>1549844.5160857418</v>
      </c>
    </row>
    <row r="152" spans="1:13" ht="27.6">
      <c r="A152" s="285"/>
      <c r="B152" s="280" t="s">
        <v>849</v>
      </c>
      <c r="C152" s="361">
        <f>3.5*3</f>
        <v>10.5</v>
      </c>
      <c r="D152" s="280" t="s">
        <v>5</v>
      </c>
      <c r="E152" s="281">
        <f>'BQ MAPLE POOL'!E151</f>
        <v>245653.84113680152</v>
      </c>
      <c r="F152" s="281">
        <f t="shared" si="7"/>
        <v>2579365.3319364162</v>
      </c>
      <c r="I152" s="429" t="s">
        <v>849</v>
      </c>
      <c r="J152" s="429">
        <v>10.5</v>
      </c>
      <c r="K152" s="429" t="s">
        <v>5</v>
      </c>
      <c r="L152" s="429">
        <v>245653.84113680152</v>
      </c>
      <c r="M152" s="429">
        <v>2579365.3319364162</v>
      </c>
    </row>
    <row r="153" spans="1:13" ht="27.6">
      <c r="A153" s="285"/>
      <c r="B153" s="280" t="s">
        <v>850</v>
      </c>
      <c r="C153" s="361">
        <f>4.5*9.8</f>
        <v>44.1</v>
      </c>
      <c r="D153" s="280" t="s">
        <v>5</v>
      </c>
      <c r="E153" s="281">
        <f>'BQ MAPLE POOL'!E152</f>
        <v>245653.84113680152</v>
      </c>
      <c r="F153" s="281">
        <f t="shared" si="7"/>
        <v>10833334.394132948</v>
      </c>
      <c r="I153" s="429" t="s">
        <v>850</v>
      </c>
      <c r="J153" s="429">
        <v>44.1</v>
      </c>
      <c r="K153" s="429" t="s">
        <v>5</v>
      </c>
      <c r="L153" s="429">
        <v>245653.84113680152</v>
      </c>
      <c r="M153" s="429">
        <v>10833334.394132948</v>
      </c>
    </row>
    <row r="154" spans="1:13" ht="27.6">
      <c r="A154" s="285"/>
      <c r="B154" s="280" t="s">
        <v>851</v>
      </c>
      <c r="C154" s="361">
        <f>3.85*2.3-1.15*2.85</f>
        <v>5.5774999999999988</v>
      </c>
      <c r="D154" s="280" t="s">
        <v>5</v>
      </c>
      <c r="E154" s="281">
        <f>'BQ MAPLE POOL'!E153</f>
        <v>245653.84113680152</v>
      </c>
      <c r="F154" s="281">
        <f t="shared" si="7"/>
        <v>1370134.2989405103</v>
      </c>
      <c r="I154" s="429" t="s">
        <v>851</v>
      </c>
      <c r="J154" s="429">
        <v>5.5774999999999988</v>
      </c>
      <c r="K154" s="429" t="s">
        <v>5</v>
      </c>
      <c r="L154" s="429">
        <v>245653.84113680152</v>
      </c>
      <c r="M154" s="429">
        <v>1370134.2989405103</v>
      </c>
    </row>
    <row r="155" spans="1:13" ht="27.6">
      <c r="A155" s="285"/>
      <c r="B155" s="280" t="s">
        <v>472</v>
      </c>
      <c r="C155" s="361">
        <f>4*2.5+21*1.3*0.2</f>
        <v>15.46</v>
      </c>
      <c r="D155" s="280" t="s">
        <v>5</v>
      </c>
      <c r="E155" s="281">
        <f>'BQ MAPLE POOL'!E154</f>
        <v>431653.84113680152</v>
      </c>
      <c r="F155" s="281">
        <f t="shared" si="7"/>
        <v>6673368.3839749517</v>
      </c>
      <c r="I155" s="429" t="s">
        <v>472</v>
      </c>
      <c r="J155" s="429">
        <v>15.46</v>
      </c>
      <c r="K155" s="429" t="s">
        <v>5</v>
      </c>
      <c r="L155" s="429">
        <v>431653.84113680152</v>
      </c>
      <c r="M155" s="429">
        <v>6673368.3839749517</v>
      </c>
    </row>
    <row r="156" spans="1:13">
      <c r="A156" s="285"/>
      <c r="B156" s="280" t="s">
        <v>473</v>
      </c>
      <c r="C156" s="361">
        <f>(0.7*18+0.19+2+2.3)*0+30</f>
        <v>30</v>
      </c>
      <c r="D156" s="280" t="s">
        <v>297</v>
      </c>
      <c r="E156" s="281">
        <f>'BQ MAPLE POOL'!E155</f>
        <v>106592.30685613358</v>
      </c>
      <c r="F156" s="281">
        <f t="shared" si="7"/>
        <v>3197769.2056840076</v>
      </c>
      <c r="I156" s="429" t="s">
        <v>473</v>
      </c>
      <c r="J156" s="429">
        <v>30</v>
      </c>
      <c r="K156" s="429" t="s">
        <v>297</v>
      </c>
      <c r="L156" s="429">
        <v>106592.30685613358</v>
      </c>
      <c r="M156" s="429">
        <v>3197769.2056840076</v>
      </c>
    </row>
    <row r="157" spans="1:13" ht="27.6">
      <c r="A157" s="285"/>
      <c r="B157" s="280" t="s">
        <v>474</v>
      </c>
      <c r="C157" s="361">
        <f>5.5*1.6+2.45*0.7+2.4*2.15-(1*1)</f>
        <v>14.675000000000001</v>
      </c>
      <c r="D157" s="280" t="s">
        <v>5</v>
      </c>
      <c r="E157" s="281">
        <f>'BQ MAPLE POOL'!E156</f>
        <v>156762.5</v>
      </c>
      <c r="F157" s="281">
        <f t="shared" si="7"/>
        <v>2300489.6875</v>
      </c>
      <c r="I157" s="429" t="s">
        <v>474</v>
      </c>
      <c r="J157" s="429">
        <v>14.675000000000001</v>
      </c>
      <c r="K157" s="429" t="s">
        <v>5</v>
      </c>
      <c r="L157" s="429">
        <v>156762.5</v>
      </c>
      <c r="M157" s="429">
        <v>2300489.6875</v>
      </c>
    </row>
    <row r="158" spans="1:13" ht="27.6">
      <c r="A158" s="285"/>
      <c r="B158" s="280" t="s">
        <v>475</v>
      </c>
      <c r="C158" s="361">
        <f>1.6*0.6+0.85*0.6</f>
        <v>1.47</v>
      </c>
      <c r="D158" s="280" t="s">
        <v>5</v>
      </c>
      <c r="E158" s="281">
        <f>'BQ MAPLE POOL'!E157</f>
        <v>233553.84113680152</v>
      </c>
      <c r="F158" s="281">
        <f t="shared" si="7"/>
        <v>343324.14647109824</v>
      </c>
      <c r="I158" s="429" t="s">
        <v>475</v>
      </c>
      <c r="J158" s="429">
        <v>1.47</v>
      </c>
      <c r="K158" s="429" t="s">
        <v>5</v>
      </c>
      <c r="L158" s="429">
        <v>233553.84113680152</v>
      </c>
      <c r="M158" s="429">
        <v>343324.14647109824</v>
      </c>
    </row>
    <row r="159" spans="1:13" ht="27.6">
      <c r="A159" s="285"/>
      <c r="B159" s="280" t="s">
        <v>476</v>
      </c>
      <c r="C159" s="361">
        <f>3*0.6</f>
        <v>1.7999999999999998</v>
      </c>
      <c r="D159" s="280" t="s">
        <v>5</v>
      </c>
      <c r="E159" s="281">
        <f>'BQ MAPLE POOL'!E158</f>
        <v>233553.84113680152</v>
      </c>
      <c r="F159" s="281">
        <f t="shared" si="7"/>
        <v>420396.91404624272</v>
      </c>
      <c r="I159" s="429" t="s">
        <v>476</v>
      </c>
      <c r="J159" s="429">
        <v>1.7999999999999998</v>
      </c>
      <c r="K159" s="429" t="s">
        <v>5</v>
      </c>
      <c r="L159" s="429">
        <v>233553.84113680152</v>
      </c>
      <c r="M159" s="429">
        <v>420396.91404624272</v>
      </c>
    </row>
    <row r="160" spans="1:13" ht="27.6">
      <c r="A160" s="285"/>
      <c r="B160" s="280" t="s">
        <v>477</v>
      </c>
      <c r="C160" s="361">
        <f>1.45*1.35</f>
        <v>1.9575</v>
      </c>
      <c r="D160" s="280" t="s">
        <v>5</v>
      </c>
      <c r="E160" s="281">
        <f>'BQ MAPLE POOL'!E159</f>
        <v>240503.84113680152</v>
      </c>
      <c r="F160" s="281">
        <f t="shared" si="7"/>
        <v>470786.26902528899</v>
      </c>
      <c r="I160" s="429" t="s">
        <v>477</v>
      </c>
      <c r="J160" s="429">
        <v>1.9575</v>
      </c>
      <c r="K160" s="429" t="s">
        <v>5</v>
      </c>
      <c r="L160" s="429">
        <v>240503.84113680152</v>
      </c>
      <c r="M160" s="429">
        <v>470786.26902528899</v>
      </c>
    </row>
    <row r="161" spans="1:13" ht="27.6">
      <c r="A161" s="285"/>
      <c r="B161" s="280" t="s">
        <v>478</v>
      </c>
      <c r="C161" s="361">
        <f>0.95*1.35</f>
        <v>1.2825</v>
      </c>
      <c r="D161" s="280" t="s">
        <v>5</v>
      </c>
      <c r="E161" s="281">
        <f>'BQ MAPLE POOL'!E160</f>
        <v>235903.84113680152</v>
      </c>
      <c r="F161" s="281">
        <f t="shared" si="7"/>
        <v>302546.67625794793</v>
      </c>
      <c r="I161" s="429" t="s">
        <v>478</v>
      </c>
      <c r="J161" s="429">
        <v>1.2825</v>
      </c>
      <c r="K161" s="429" t="s">
        <v>5</v>
      </c>
      <c r="L161" s="429">
        <v>235903.84113680152</v>
      </c>
      <c r="M161" s="429">
        <v>302546.67625794793</v>
      </c>
    </row>
    <row r="162" spans="1:13" ht="27.6">
      <c r="A162" s="285"/>
      <c r="B162" s="280" t="s">
        <v>479</v>
      </c>
      <c r="C162" s="361">
        <f>1.2*(3.3-0.6)+3.3*1.2+3.3*2.25+2.25*3.3-0.7*2.6</f>
        <v>20.23</v>
      </c>
      <c r="D162" s="280" t="s">
        <v>5</v>
      </c>
      <c r="E162" s="281">
        <f>'BQ MAPLE POOL'!E161</f>
        <v>220675</v>
      </c>
      <c r="F162" s="281">
        <f t="shared" si="7"/>
        <v>4464255.25</v>
      </c>
      <c r="I162" s="429" t="s">
        <v>479</v>
      </c>
      <c r="J162" s="429">
        <v>20.23</v>
      </c>
      <c r="K162" s="429" t="s">
        <v>5</v>
      </c>
      <c r="L162" s="429">
        <v>220675</v>
      </c>
      <c r="M162" s="429">
        <v>4464255.25</v>
      </c>
    </row>
    <row r="163" spans="1:13" ht="27.6">
      <c r="A163" s="285"/>
      <c r="B163" s="280" t="s">
        <v>480</v>
      </c>
      <c r="C163" s="361">
        <f>(1.65+0.15)*1.05</f>
        <v>1.89</v>
      </c>
      <c r="D163" s="280" t="s">
        <v>5</v>
      </c>
      <c r="E163" s="281">
        <f>'BQ MAPLE POOL'!E162</f>
        <v>121830.06756756757</v>
      </c>
      <c r="F163" s="281">
        <f t="shared" si="7"/>
        <v>230258.82770270269</v>
      </c>
      <c r="I163" s="429" t="s">
        <v>480</v>
      </c>
      <c r="J163" s="429">
        <v>1.89</v>
      </c>
      <c r="K163" s="429" t="s">
        <v>5</v>
      </c>
      <c r="L163" s="429">
        <v>121830.06756756757</v>
      </c>
      <c r="M163" s="429">
        <v>230258.82770270269</v>
      </c>
    </row>
    <row r="164" spans="1:13">
      <c r="A164" s="285"/>
      <c r="B164" s="280" t="s">
        <v>481</v>
      </c>
      <c r="C164" s="356">
        <v>0</v>
      </c>
      <c r="D164" s="280" t="s">
        <v>5</v>
      </c>
      <c r="E164" s="281">
        <f>'BQ MAPLE POOL'!E163</f>
        <v>0</v>
      </c>
      <c r="F164" s="281">
        <f t="shared" si="7"/>
        <v>0</v>
      </c>
      <c r="I164" s="429" t="s">
        <v>481</v>
      </c>
      <c r="J164" s="429">
        <v>0</v>
      </c>
      <c r="K164" s="429" t="s">
        <v>5</v>
      </c>
      <c r="L164" s="429">
        <v>0</v>
      </c>
      <c r="M164" s="429">
        <v>0</v>
      </c>
    </row>
    <row r="165" spans="1:13" ht="27.6">
      <c r="A165" s="285"/>
      <c r="B165" s="280" t="s">
        <v>482</v>
      </c>
      <c r="C165" s="361">
        <v>1</v>
      </c>
      <c r="D165" s="280" t="s">
        <v>7</v>
      </c>
      <c r="E165" s="281">
        <f>'BQ MAPLE POOL'!E164</f>
        <v>750000</v>
      </c>
      <c r="F165" s="281">
        <f>+C165*E165</f>
        <v>750000</v>
      </c>
      <c r="I165" s="429" t="s">
        <v>482</v>
      </c>
      <c r="J165" s="429">
        <v>1</v>
      </c>
      <c r="K165" s="429" t="s">
        <v>7</v>
      </c>
      <c r="L165" s="429">
        <v>750000</v>
      </c>
      <c r="M165" s="429">
        <v>750000</v>
      </c>
    </row>
    <row r="166" spans="1:13">
      <c r="A166" s="285"/>
      <c r="B166" s="280" t="s">
        <v>483</v>
      </c>
      <c r="C166" s="361">
        <f>20.1</f>
        <v>20.100000000000001</v>
      </c>
      <c r="D166" s="280" t="s">
        <v>5</v>
      </c>
      <c r="E166" s="281">
        <f>'BQ MAPLE POOL'!E165</f>
        <v>30450</v>
      </c>
      <c r="F166" s="281">
        <f t="shared" si="7"/>
        <v>612045</v>
      </c>
      <c r="I166" s="429" t="s">
        <v>483</v>
      </c>
      <c r="J166" s="429">
        <v>20.100000000000001</v>
      </c>
      <c r="K166" s="429" t="s">
        <v>5</v>
      </c>
      <c r="L166" s="429">
        <v>30450</v>
      </c>
      <c r="M166" s="429">
        <v>612045</v>
      </c>
    </row>
    <row r="167" spans="1:13">
      <c r="A167" s="285"/>
      <c r="B167" s="280" t="s">
        <v>484</v>
      </c>
      <c r="C167" s="361">
        <v>45</v>
      </c>
      <c r="D167" s="280" t="s">
        <v>5</v>
      </c>
      <c r="E167" s="281">
        <f>'BQ MAPLE POOL'!E166</f>
        <v>59215.384113680149</v>
      </c>
      <c r="F167" s="281">
        <f t="shared" si="7"/>
        <v>2664692.2851156066</v>
      </c>
      <c r="I167" s="429" t="s">
        <v>484</v>
      </c>
      <c r="J167" s="429">
        <v>45</v>
      </c>
      <c r="K167" s="429" t="s">
        <v>5</v>
      </c>
      <c r="L167" s="429">
        <v>59215.384113680149</v>
      </c>
      <c r="M167" s="429">
        <v>2664692.2851156066</v>
      </c>
    </row>
    <row r="168" spans="1:13" ht="27.6">
      <c r="A168" s="285"/>
      <c r="B168" s="280" t="s">
        <v>485</v>
      </c>
      <c r="C168" s="361">
        <f>(11.2*3.3+2.4*7.4+2.7*4.4)*0+92</f>
        <v>92</v>
      </c>
      <c r="D168" s="280" t="s">
        <v>5</v>
      </c>
      <c r="E168" s="281">
        <f>'BQ MAPLE POOL'!E167</f>
        <v>85000</v>
      </c>
      <c r="F168" s="281">
        <f t="shared" si="7"/>
        <v>7820000</v>
      </c>
      <c r="I168" s="429" t="s">
        <v>485</v>
      </c>
      <c r="J168" s="429">
        <v>92</v>
      </c>
      <c r="K168" s="429" t="s">
        <v>5</v>
      </c>
      <c r="L168" s="429">
        <v>85000</v>
      </c>
      <c r="M168" s="429">
        <v>7820000</v>
      </c>
    </row>
    <row r="169" spans="1:13" ht="27.6">
      <c r="A169" s="285"/>
      <c r="B169" s="280" t="s">
        <v>486</v>
      </c>
      <c r="C169" s="361">
        <f>1.75*0.9+4.2*0.5+2.15*2.6-1.7*0.55+3.75*1</f>
        <v>12.08</v>
      </c>
      <c r="D169" s="280" t="s">
        <v>5</v>
      </c>
      <c r="E169" s="281">
        <f>'BQ MAPLE POOL'!E168</f>
        <v>66147.193181818177</v>
      </c>
      <c r="F169" s="281">
        <f t="shared" si="7"/>
        <v>799058.09363636363</v>
      </c>
      <c r="I169" s="429" t="s">
        <v>486</v>
      </c>
      <c r="J169" s="429">
        <v>12.08</v>
      </c>
      <c r="K169" s="429" t="s">
        <v>5</v>
      </c>
      <c r="L169" s="429">
        <v>67497.475000000006</v>
      </c>
      <c r="M169" s="429">
        <v>815369.49800000002</v>
      </c>
    </row>
    <row r="170" spans="1:13">
      <c r="A170" s="285"/>
      <c r="B170" s="280" t="s">
        <v>487</v>
      </c>
      <c r="C170" s="361">
        <f>2.8*2.1-1.4*0.7</f>
        <v>4.9000000000000004</v>
      </c>
      <c r="D170" s="280" t="s">
        <v>5</v>
      </c>
      <c r="E170" s="281">
        <f>'BQ MAPLE POOL'!E169</f>
        <v>447838.7171717172</v>
      </c>
      <c r="F170" s="281">
        <f t="shared" si="7"/>
        <v>2194409.7141414145</v>
      </c>
      <c r="I170" s="429" t="s">
        <v>487</v>
      </c>
      <c r="J170" s="429">
        <v>4.9000000000000004</v>
      </c>
      <c r="K170" s="429" t="s">
        <v>5</v>
      </c>
      <c r="L170" s="429">
        <v>449283.84444444452</v>
      </c>
      <c r="M170" s="429">
        <v>2201490.8377777785</v>
      </c>
    </row>
    <row r="171" spans="1:13" ht="27.6">
      <c r="A171" s="285"/>
      <c r="B171" s="280" t="s">
        <v>488</v>
      </c>
      <c r="C171" s="361">
        <v>2.1</v>
      </c>
      <c r="D171" s="280" t="s">
        <v>5</v>
      </c>
      <c r="E171" s="281">
        <f>'BQ MAPLE POOL'!E170</f>
        <v>411099.34113680152</v>
      </c>
      <c r="F171" s="281">
        <f t="shared" si="7"/>
        <v>863308.6163872832</v>
      </c>
      <c r="I171" s="429" t="s">
        <v>488</v>
      </c>
      <c r="J171" s="429">
        <v>2.1</v>
      </c>
      <c r="K171" s="429" t="s">
        <v>5</v>
      </c>
      <c r="L171" s="429">
        <v>411099.34113680152</v>
      </c>
      <c r="M171" s="429">
        <v>863308.6163872832</v>
      </c>
    </row>
    <row r="172" spans="1:13" ht="27.6">
      <c r="A172" s="285"/>
      <c r="B172" s="280" t="s">
        <v>489</v>
      </c>
      <c r="C172" s="361">
        <f>(3.1*3.2+0.4*5+0.6*3.2+7)*0+16.64</f>
        <v>16.64</v>
      </c>
      <c r="D172" s="280" t="s">
        <v>5</v>
      </c>
      <c r="E172" s="281">
        <f>'BQ MAPLE POOL'!E171</f>
        <v>463813.84113680152</v>
      </c>
      <c r="F172" s="281">
        <f t="shared" si="7"/>
        <v>7717862.316516378</v>
      </c>
      <c r="I172" s="429" t="s">
        <v>489</v>
      </c>
      <c r="J172" s="429">
        <v>16.64</v>
      </c>
      <c r="K172" s="429" t="s">
        <v>5</v>
      </c>
      <c r="L172" s="429">
        <v>463813.84113680152</v>
      </c>
      <c r="M172" s="429">
        <v>7717862.316516378</v>
      </c>
    </row>
    <row r="173" spans="1:13" ht="27.6">
      <c r="A173" s="285"/>
      <c r="B173" s="280" t="s">
        <v>490</v>
      </c>
      <c r="C173" s="361">
        <f>3.6*3.2*0+1</f>
        <v>1</v>
      </c>
      <c r="D173" s="280" t="s">
        <v>5</v>
      </c>
      <c r="E173" s="281">
        <f>'BQ MAPLE POOL'!E172</f>
        <v>13629458</v>
      </c>
      <c r="F173" s="281">
        <f>+C173*E173</f>
        <v>13629458</v>
      </c>
      <c r="I173" s="429" t="s">
        <v>490</v>
      </c>
      <c r="J173" s="429">
        <v>1</v>
      </c>
      <c r="K173" s="429" t="s">
        <v>5</v>
      </c>
      <c r="L173" s="429">
        <v>13629458</v>
      </c>
      <c r="M173" s="429">
        <v>13629458</v>
      </c>
    </row>
    <row r="174" spans="1:13" ht="27.6">
      <c r="A174" s="285"/>
      <c r="B174" s="280" t="s">
        <v>491</v>
      </c>
      <c r="C174" s="361">
        <f>7.55*0.975</f>
        <v>7.3612500000000001</v>
      </c>
      <c r="D174" s="280" t="s">
        <v>5</v>
      </c>
      <c r="E174" s="281">
        <f>'BQ MAPLE POOL'!E173</f>
        <v>411099.34113680152</v>
      </c>
      <c r="F174" s="281">
        <f t="shared" ref="F174:F175" si="8">+C174*E174</f>
        <v>3026205.02494328</v>
      </c>
      <c r="I174" s="429" t="s">
        <v>491</v>
      </c>
      <c r="J174" s="429">
        <v>7.3612500000000001</v>
      </c>
      <c r="K174" s="429" t="s">
        <v>5</v>
      </c>
      <c r="L174" s="429">
        <v>411099.34113680152</v>
      </c>
      <c r="M174" s="429">
        <v>3026205.02494328</v>
      </c>
    </row>
    <row r="175" spans="1:13">
      <c r="A175" s="285"/>
      <c r="B175" s="286" t="s">
        <v>397</v>
      </c>
      <c r="C175" s="361"/>
      <c r="D175" s="280"/>
      <c r="E175" s="281"/>
      <c r="F175" s="281">
        <f t="shared" si="8"/>
        <v>0</v>
      </c>
      <c r="I175" s="429" t="s">
        <v>397</v>
      </c>
      <c r="J175" s="429"/>
      <c r="K175" s="429"/>
      <c r="L175" s="429"/>
      <c r="M175" s="429">
        <v>0</v>
      </c>
    </row>
    <row r="176" spans="1:13">
      <c r="A176" s="285"/>
      <c r="B176" s="286" t="s">
        <v>840</v>
      </c>
      <c r="C176" s="361">
        <f>0.2*2.6+1*2.6+1.5*2.6+1.5*2.6</f>
        <v>10.920000000000002</v>
      </c>
      <c r="D176" s="280" t="s">
        <v>5</v>
      </c>
      <c r="E176" s="281">
        <f>'BQ MAPLE'!E175</f>
        <v>253675.00000000003</v>
      </c>
      <c r="F176" s="281">
        <f>+C176*E176</f>
        <v>2770131.0000000009</v>
      </c>
      <c r="I176" s="429" t="s">
        <v>840</v>
      </c>
      <c r="J176" s="429">
        <v>10.920000000000002</v>
      </c>
      <c r="K176" s="429" t="s">
        <v>5</v>
      </c>
      <c r="L176" s="429">
        <v>253675.00000000003</v>
      </c>
      <c r="M176" s="429">
        <v>2770131.0000000009</v>
      </c>
    </row>
    <row r="177" spans="1:13">
      <c r="A177" s="285"/>
      <c r="B177" s="286" t="s">
        <v>399</v>
      </c>
      <c r="C177" s="361"/>
      <c r="D177" s="280"/>
      <c r="E177" s="281"/>
      <c r="F177" s="281">
        <f>+C177*E177</f>
        <v>0</v>
      </c>
      <c r="I177" s="429" t="s">
        <v>399</v>
      </c>
      <c r="J177" s="429"/>
      <c r="K177" s="429"/>
      <c r="L177" s="429"/>
      <c r="M177" s="429">
        <v>0</v>
      </c>
    </row>
    <row r="178" spans="1:13">
      <c r="A178" s="285"/>
      <c r="B178" s="280"/>
      <c r="C178" s="361"/>
      <c r="D178" s="280"/>
      <c r="E178" s="281"/>
      <c r="F178" s="281"/>
      <c r="I178" s="429"/>
      <c r="J178" s="429"/>
      <c r="K178" s="429"/>
      <c r="L178" s="429"/>
      <c r="M178" s="429"/>
    </row>
    <row r="179" spans="1:13">
      <c r="A179" s="282" t="s">
        <v>206</v>
      </c>
      <c r="B179" s="282" t="s">
        <v>207</v>
      </c>
      <c r="C179" s="375"/>
      <c r="D179" s="282" t="s">
        <v>5</v>
      </c>
      <c r="E179" s="283"/>
      <c r="F179" s="284">
        <f>SUM(F180:F207)</f>
        <v>70247497.354389429</v>
      </c>
      <c r="I179" s="429" t="s">
        <v>207</v>
      </c>
      <c r="J179" s="429"/>
      <c r="K179" s="429" t="s">
        <v>5</v>
      </c>
      <c r="L179" s="429"/>
      <c r="M179" s="429">
        <v>70321155.227571249</v>
      </c>
    </row>
    <row r="180" spans="1:13">
      <c r="A180" s="285"/>
      <c r="B180" s="280" t="s">
        <v>208</v>
      </c>
      <c r="C180" s="361"/>
      <c r="D180" s="280" t="s">
        <v>5</v>
      </c>
      <c r="E180" s="281"/>
      <c r="F180" s="281">
        <f>+C180*E180</f>
        <v>0</v>
      </c>
      <c r="I180" s="429" t="s">
        <v>208</v>
      </c>
      <c r="J180" s="429"/>
      <c r="K180" s="429" t="s">
        <v>5</v>
      </c>
      <c r="L180" s="429"/>
      <c r="M180" s="429">
        <v>0</v>
      </c>
    </row>
    <row r="181" spans="1:13" ht="41.4">
      <c r="A181" s="285"/>
      <c r="B181" s="280" t="s">
        <v>852</v>
      </c>
      <c r="C181" s="361">
        <f>3.75*3.1+3*3.8+2.05*1+3*5.8+5.15*1.5+0.7*2.15</f>
        <v>51.704999999999998</v>
      </c>
      <c r="D181" s="280" t="s">
        <v>5</v>
      </c>
      <c r="E181" s="281">
        <f>'BQ MAPLE POOL'!E180</f>
        <v>245653.84113680152</v>
      </c>
      <c r="F181" s="281">
        <f>+C181*E181</f>
        <v>12701531.855978323</v>
      </c>
      <c r="I181" s="429" t="s">
        <v>852</v>
      </c>
      <c r="J181" s="429">
        <v>51.704999999999998</v>
      </c>
      <c r="K181" s="429" t="s">
        <v>5</v>
      </c>
      <c r="L181" s="429">
        <v>245653.84113680152</v>
      </c>
      <c r="M181" s="429">
        <v>12701531.855978323</v>
      </c>
    </row>
    <row r="182" spans="1:13" ht="27.6">
      <c r="A182" s="285"/>
      <c r="B182" s="280" t="s">
        <v>853</v>
      </c>
      <c r="C182" s="361">
        <f>0.7*1.6+4.5*2.3+1.5*2.4+1.75*1.35</f>
        <v>17.432499999999997</v>
      </c>
      <c r="D182" s="280" t="s">
        <v>5</v>
      </c>
      <c r="E182" s="281">
        <f>'BQ MAPLE POOL'!E181</f>
        <v>245653.84113680152</v>
      </c>
      <c r="F182" s="281">
        <f t="shared" ref="F182:F183" si="9">+C182*E182</f>
        <v>4282360.5856172917</v>
      </c>
      <c r="I182" s="429" t="s">
        <v>853</v>
      </c>
      <c r="J182" s="429">
        <v>17.432499999999997</v>
      </c>
      <c r="K182" s="429" t="s">
        <v>5</v>
      </c>
      <c r="L182" s="429">
        <v>245653.84113680152</v>
      </c>
      <c r="M182" s="429">
        <v>4282360.5856172917</v>
      </c>
    </row>
    <row r="183" spans="1:13" ht="27.6">
      <c r="A183" s="285"/>
      <c r="B183" s="280" t="s">
        <v>492</v>
      </c>
      <c r="C183" s="361">
        <f>1.9*1.75-1*0.6</f>
        <v>2.7249999999999996</v>
      </c>
      <c r="D183" s="280" t="s">
        <v>5</v>
      </c>
      <c r="E183" s="281">
        <f>'BQ MAPLE POOL'!E182</f>
        <v>240503.84113680152</v>
      </c>
      <c r="F183" s="281">
        <f t="shared" si="9"/>
        <v>655372.96709778404</v>
      </c>
      <c r="I183" s="429" t="s">
        <v>492</v>
      </c>
      <c r="J183" s="429">
        <v>2.7249999999999996</v>
      </c>
      <c r="K183" s="429" t="s">
        <v>5</v>
      </c>
      <c r="L183" s="429">
        <v>240503.84113680152</v>
      </c>
      <c r="M183" s="429">
        <v>655372.96709778404</v>
      </c>
    </row>
    <row r="184" spans="1:13" ht="27.6">
      <c r="A184" s="285"/>
      <c r="B184" s="280" t="s">
        <v>493</v>
      </c>
      <c r="C184" s="361">
        <f>1*1.5</f>
        <v>1.5</v>
      </c>
      <c r="D184" s="280" t="s">
        <v>5</v>
      </c>
      <c r="E184" s="281">
        <f>'BQ MAPLE POOL'!E183</f>
        <v>235903.84113680152</v>
      </c>
      <c r="F184" s="281">
        <f>+C184*E184</f>
        <v>353855.76170520228</v>
      </c>
      <c r="I184" s="429" t="s">
        <v>493</v>
      </c>
      <c r="J184" s="429">
        <v>1.5</v>
      </c>
      <c r="K184" s="429" t="s">
        <v>5</v>
      </c>
      <c r="L184" s="429">
        <v>235903.84113680152</v>
      </c>
      <c r="M184" s="429">
        <v>353855.76170520228</v>
      </c>
    </row>
    <row r="185" spans="1:13" ht="27.6">
      <c r="A185" s="285"/>
      <c r="B185" s="280" t="s">
        <v>494</v>
      </c>
      <c r="C185" s="361">
        <f>6.9*2.7+0.9*1.2</f>
        <v>19.71</v>
      </c>
      <c r="D185" s="280" t="s">
        <v>5</v>
      </c>
      <c r="E185" s="281">
        <f>'BQ MAPLE POOL'!E184</f>
        <v>220675</v>
      </c>
      <c r="F185" s="281">
        <f t="shared" ref="F185:F186" si="10">+C185*E185</f>
        <v>4349504.25</v>
      </c>
      <c r="I185" s="429" t="s">
        <v>494</v>
      </c>
      <c r="J185" s="429">
        <v>19.71</v>
      </c>
      <c r="K185" s="429" t="s">
        <v>5</v>
      </c>
      <c r="L185" s="429">
        <v>220675</v>
      </c>
      <c r="M185" s="429">
        <v>4349504.25</v>
      </c>
    </row>
    <row r="186" spans="1:13" ht="41.4">
      <c r="A186" s="285"/>
      <c r="B186" s="280" t="s">
        <v>495</v>
      </c>
      <c r="C186" s="361">
        <f>(2.85+0.6)*1.8-0.8*1.5</f>
        <v>5.0100000000000007</v>
      </c>
      <c r="D186" s="280" t="s">
        <v>5</v>
      </c>
      <c r="E186" s="281">
        <f>'BQ MAPLE POOL'!E185</f>
        <v>240503.84113680152</v>
      </c>
      <c r="F186" s="281">
        <f t="shared" si="10"/>
        <v>1204924.2440953758</v>
      </c>
      <c r="I186" s="429" t="s">
        <v>870</v>
      </c>
      <c r="J186" s="429">
        <v>5.0100000000000007</v>
      </c>
      <c r="K186" s="429" t="s">
        <v>5</v>
      </c>
      <c r="L186" s="429">
        <v>240503.84113680152</v>
      </c>
      <c r="M186" s="429">
        <v>1204924.2440953758</v>
      </c>
    </row>
    <row r="187" spans="1:13" ht="27.6">
      <c r="A187" s="285"/>
      <c r="B187" s="280" t="s">
        <v>496</v>
      </c>
      <c r="C187" s="361">
        <f>1*1.8</f>
        <v>1.8</v>
      </c>
      <c r="D187" s="280" t="s">
        <v>5</v>
      </c>
      <c r="E187" s="281">
        <f>'BQ MAPLE POOL'!E186</f>
        <v>235903.84113680152</v>
      </c>
      <c r="F187" s="281">
        <f>+C187*E187</f>
        <v>424626.91404624277</v>
      </c>
      <c r="I187" s="429" t="s">
        <v>871</v>
      </c>
      <c r="J187" s="429">
        <v>1.8</v>
      </c>
      <c r="K187" s="429" t="s">
        <v>5</v>
      </c>
      <c r="L187" s="429">
        <v>235903.84113680152</v>
      </c>
      <c r="M187" s="429">
        <v>424626.91404624277</v>
      </c>
    </row>
    <row r="188" spans="1:13" ht="27.6">
      <c r="A188" s="285"/>
      <c r="B188" s="280" t="s">
        <v>497</v>
      </c>
      <c r="C188" s="361">
        <f>0.9*3.3+3*2.7-0.6*2.5+1*3.2+2*2.75+1.6*0.2+1.6*2.75</f>
        <v>22.990000000000002</v>
      </c>
      <c r="D188" s="280" t="s">
        <v>5</v>
      </c>
      <c r="E188" s="281">
        <f>'BQ MAPLE POOL'!E187</f>
        <v>220675</v>
      </c>
      <c r="F188" s="281">
        <f>+C188*E188</f>
        <v>5073318.25</v>
      </c>
      <c r="I188" s="429" t="s">
        <v>497</v>
      </c>
      <c r="J188" s="429">
        <v>22.990000000000002</v>
      </c>
      <c r="K188" s="429" t="s">
        <v>5</v>
      </c>
      <c r="L188" s="429">
        <v>220675</v>
      </c>
      <c r="M188" s="429">
        <v>5073318.25</v>
      </c>
    </row>
    <row r="189" spans="1:13" ht="27.6">
      <c r="A189" s="285"/>
      <c r="B189" s="280" t="s">
        <v>498</v>
      </c>
      <c r="C189" s="398">
        <f>4*2.5+21*1.3*0.2</f>
        <v>15.46</v>
      </c>
      <c r="D189" s="280" t="s">
        <v>5</v>
      </c>
      <c r="E189" s="281">
        <f>E155</f>
        <v>431653.84113680152</v>
      </c>
      <c r="F189" s="281">
        <f>+C189*E189</f>
        <v>6673368.3839749517</v>
      </c>
      <c r="G189" s="398">
        <f>2.15*0.85+18*0.5*1</f>
        <v>10.827500000000001</v>
      </c>
      <c r="I189" s="429" t="s">
        <v>498</v>
      </c>
      <c r="J189" s="429">
        <v>15.46</v>
      </c>
      <c r="K189" s="429" t="s">
        <v>5</v>
      </c>
      <c r="L189" s="429">
        <v>431653.84113680152</v>
      </c>
      <c r="M189" s="429">
        <v>6673368.3839749517</v>
      </c>
    </row>
    <row r="190" spans="1:13">
      <c r="A190" s="285"/>
      <c r="B190" s="280" t="s">
        <v>499</v>
      </c>
      <c r="C190" s="398">
        <f>17.09*0+30</f>
        <v>30</v>
      </c>
      <c r="D190" s="280" t="s">
        <v>297</v>
      </c>
      <c r="E190" s="281">
        <f>'BQ MAPLE POOL'!E189</f>
        <v>106592.30685613358</v>
      </c>
      <c r="F190" s="281">
        <f t="shared" ref="F190:F205" si="11">+C190*E190</f>
        <v>3197769.2056840076</v>
      </c>
      <c r="I190" s="429" t="s">
        <v>499</v>
      </c>
      <c r="J190" s="429">
        <v>30</v>
      </c>
      <c r="K190" s="429" t="s">
        <v>297</v>
      </c>
      <c r="L190" s="429">
        <v>106592.30685613358</v>
      </c>
      <c r="M190" s="429">
        <v>3197769.2056840076</v>
      </c>
    </row>
    <row r="191" spans="1:13" ht="27.6">
      <c r="A191" s="285"/>
      <c r="B191" s="280" t="s">
        <v>500</v>
      </c>
      <c r="C191" s="361">
        <f>3.75*1+1.7*1.05</f>
        <v>5.5350000000000001</v>
      </c>
      <c r="D191" s="280" t="s">
        <v>5</v>
      </c>
      <c r="E191" s="281">
        <f>'BQ MAPLE POOL'!E190</f>
        <v>204953.84113680155</v>
      </c>
      <c r="F191" s="281">
        <f t="shared" si="11"/>
        <v>1134419.5106921967</v>
      </c>
      <c r="I191" s="429" t="s">
        <v>500</v>
      </c>
      <c r="J191" s="429">
        <v>5.5350000000000001</v>
      </c>
      <c r="K191" s="429" t="s">
        <v>5</v>
      </c>
      <c r="L191" s="429">
        <v>204953.84113680155</v>
      </c>
      <c r="M191" s="429">
        <v>1134419.5106921967</v>
      </c>
    </row>
    <row r="192" spans="1:13" ht="27.6">
      <c r="A192" s="285"/>
      <c r="B192" s="280" t="s">
        <v>501</v>
      </c>
      <c r="C192" s="402">
        <v>2</v>
      </c>
      <c r="D192" s="280" t="s">
        <v>7</v>
      </c>
      <c r="E192" s="281">
        <f>'BQ MAPLE POOL'!E191</f>
        <v>750000</v>
      </c>
      <c r="F192" s="281">
        <f t="shared" si="11"/>
        <v>1500000</v>
      </c>
      <c r="I192" s="429" t="s">
        <v>501</v>
      </c>
      <c r="J192" s="429">
        <v>2</v>
      </c>
      <c r="K192" s="429" t="s">
        <v>7</v>
      </c>
      <c r="L192" s="429">
        <v>750000</v>
      </c>
      <c r="M192" s="429">
        <v>1500000</v>
      </c>
    </row>
    <row r="193" spans="1:13">
      <c r="A193" s="285"/>
      <c r="B193" s="280" t="s">
        <v>502</v>
      </c>
      <c r="C193" s="361">
        <f>64.12</f>
        <v>64.12</v>
      </c>
      <c r="D193" s="280" t="s">
        <v>8</v>
      </c>
      <c r="E193" s="281">
        <f>'BQ MAPLE POOL'!E192</f>
        <v>59215.384113680149</v>
      </c>
      <c r="F193" s="281">
        <f t="shared" si="11"/>
        <v>3796890.4293691716</v>
      </c>
      <c r="I193" s="429" t="s">
        <v>502</v>
      </c>
      <c r="J193" s="429">
        <v>64.12</v>
      </c>
      <c r="K193" s="429" t="s">
        <v>8</v>
      </c>
      <c r="L193" s="429">
        <v>59215.384113680149</v>
      </c>
      <c r="M193" s="429">
        <v>3796890.4293691716</v>
      </c>
    </row>
    <row r="194" spans="1:13" ht="27.6">
      <c r="A194" s="285"/>
      <c r="B194" s="280" t="s">
        <v>503</v>
      </c>
      <c r="C194" s="361">
        <f>(7.36*2.6*0+24.83)*0</f>
        <v>0</v>
      </c>
      <c r="D194" s="280" t="s">
        <v>5</v>
      </c>
      <c r="E194" s="281">
        <f>'BQ MAPLE POOL'!E193</f>
        <v>13629458</v>
      </c>
      <c r="F194" s="281">
        <f t="shared" si="11"/>
        <v>0</v>
      </c>
      <c r="I194" s="429" t="s">
        <v>503</v>
      </c>
      <c r="J194" s="429">
        <v>0</v>
      </c>
      <c r="K194" s="429" t="s">
        <v>5</v>
      </c>
      <c r="L194" s="429">
        <v>13629458</v>
      </c>
      <c r="M194" s="429">
        <v>0</v>
      </c>
    </row>
    <row r="195" spans="1:13" ht="27.6">
      <c r="A195" s="285"/>
      <c r="B195" s="280" t="s">
        <v>504</v>
      </c>
      <c r="C195" s="361">
        <f>7.36+19.13</f>
        <v>26.49</v>
      </c>
      <c r="D195" s="280" t="s">
        <v>5</v>
      </c>
      <c r="E195" s="281">
        <f>'BQ MAPLE POOL'!E194</f>
        <v>65000</v>
      </c>
      <c r="F195" s="281">
        <f t="shared" si="11"/>
        <v>1721850</v>
      </c>
      <c r="I195" s="429" t="s">
        <v>504</v>
      </c>
      <c r="J195" s="429">
        <v>26.49</v>
      </c>
      <c r="K195" s="429" t="s">
        <v>5</v>
      </c>
      <c r="L195" s="429">
        <v>65000</v>
      </c>
      <c r="M195" s="429">
        <v>1721850</v>
      </c>
    </row>
    <row r="196" spans="1:13" ht="41.4">
      <c r="A196" s="285"/>
      <c r="B196" s="280" t="s">
        <v>505</v>
      </c>
      <c r="C196" s="361">
        <f>0.9*2.7</f>
        <v>2.4300000000000002</v>
      </c>
      <c r="D196" s="280" t="s">
        <v>5</v>
      </c>
      <c r="E196" s="281">
        <f>'BQ MAPLE POOL'!E195</f>
        <v>431653.84113680152</v>
      </c>
      <c r="F196" s="281">
        <f t="shared" si="11"/>
        <v>1048918.8339624277</v>
      </c>
      <c r="I196" s="429" t="s">
        <v>505</v>
      </c>
      <c r="J196" s="429">
        <v>2.4300000000000002</v>
      </c>
      <c r="K196" s="429" t="s">
        <v>5</v>
      </c>
      <c r="L196" s="429">
        <v>431653.84113680152</v>
      </c>
      <c r="M196" s="429">
        <v>1048918.8339624277</v>
      </c>
    </row>
    <row r="197" spans="1:13" ht="41.4">
      <c r="A197" s="285"/>
      <c r="B197" s="280" t="s">
        <v>506</v>
      </c>
      <c r="C197" s="361">
        <f>0.9*2.7*0+4.29</f>
        <v>4.29</v>
      </c>
      <c r="D197" s="280" t="s">
        <v>5</v>
      </c>
      <c r="E197" s="281">
        <f>'BQ MAPLE POOL'!E196</f>
        <v>431653.84113680152</v>
      </c>
      <c r="F197" s="281">
        <f>+C197*E197</f>
        <v>1851794.9784768785</v>
      </c>
      <c r="I197" s="429" t="s">
        <v>506</v>
      </c>
      <c r="J197" s="429">
        <v>4.29</v>
      </c>
      <c r="K197" s="429" t="s">
        <v>5</v>
      </c>
      <c r="L197" s="429">
        <v>431653.84113680152</v>
      </c>
      <c r="M197" s="429">
        <v>1851794.9784768785</v>
      </c>
    </row>
    <row r="198" spans="1:13" ht="27.6">
      <c r="A198" s="285"/>
      <c r="B198" s="280" t="s">
        <v>507</v>
      </c>
      <c r="C198" s="361">
        <f>4.15*2.55</f>
        <v>10.5825</v>
      </c>
      <c r="D198" s="280" t="s">
        <v>5</v>
      </c>
      <c r="E198" s="281">
        <f>'BQ MAPLE POOL'!E197</f>
        <v>175000</v>
      </c>
      <c r="F198" s="281">
        <f t="shared" si="11"/>
        <v>1851937.5</v>
      </c>
      <c r="I198" s="429" t="s">
        <v>507</v>
      </c>
      <c r="J198" s="429">
        <v>10.5825</v>
      </c>
      <c r="K198" s="429" t="s">
        <v>5</v>
      </c>
      <c r="L198" s="429">
        <v>175000</v>
      </c>
      <c r="M198" s="429">
        <v>1851937.5</v>
      </c>
    </row>
    <row r="199" spans="1:13">
      <c r="A199" s="285"/>
      <c r="B199" s="285"/>
      <c r="C199" s="361"/>
      <c r="D199" s="285"/>
      <c r="E199" s="281"/>
      <c r="F199" s="281">
        <f t="shared" si="11"/>
        <v>0</v>
      </c>
      <c r="I199" s="429"/>
      <c r="J199" s="429"/>
      <c r="K199" s="429"/>
      <c r="L199" s="429"/>
      <c r="M199" s="429">
        <v>0</v>
      </c>
    </row>
    <row r="200" spans="1:13">
      <c r="A200" s="285"/>
      <c r="B200" s="280" t="s">
        <v>508</v>
      </c>
      <c r="C200" s="361"/>
      <c r="D200" s="285"/>
      <c r="E200" s="281"/>
      <c r="F200" s="281">
        <f t="shared" si="11"/>
        <v>0</v>
      </c>
      <c r="I200" s="429" t="s">
        <v>508</v>
      </c>
      <c r="J200" s="429"/>
      <c r="K200" s="429"/>
      <c r="L200" s="429"/>
      <c r="M200" s="429">
        <v>0</v>
      </c>
    </row>
    <row r="201" spans="1:13" ht="27.6">
      <c r="A201" s="285"/>
      <c r="B201" s="280" t="s">
        <v>854</v>
      </c>
      <c r="C201" s="374">
        <f>3.9*5.1</f>
        <v>19.889999999999997</v>
      </c>
      <c r="D201" s="280" t="s">
        <v>5</v>
      </c>
      <c r="E201" s="281">
        <f>E182</f>
        <v>245653.84113680152</v>
      </c>
      <c r="F201" s="281">
        <f t="shared" si="11"/>
        <v>4886054.9002109813</v>
      </c>
      <c r="I201" s="429" t="s">
        <v>854</v>
      </c>
      <c r="J201" s="429">
        <v>19.889999999999997</v>
      </c>
      <c r="K201" s="429" t="s">
        <v>5</v>
      </c>
      <c r="L201" s="429">
        <v>245653.84113680152</v>
      </c>
      <c r="M201" s="429">
        <v>4886054.9002109813</v>
      </c>
    </row>
    <row r="202" spans="1:13" ht="27.6">
      <c r="A202" s="285"/>
      <c r="B202" s="280" t="s">
        <v>509</v>
      </c>
      <c r="C202" s="374">
        <f>4.7*4.5+0.6*2.85</f>
        <v>22.860000000000003</v>
      </c>
      <c r="D202" s="280" t="s">
        <v>5</v>
      </c>
      <c r="E202" s="281">
        <f>E174</f>
        <v>411099.34113680152</v>
      </c>
      <c r="F202" s="281">
        <f t="shared" si="11"/>
        <v>9397730.9383872841</v>
      </c>
      <c r="I202" s="429" t="s">
        <v>509</v>
      </c>
      <c r="J202" s="429">
        <v>22.860000000000003</v>
      </c>
      <c r="K202" s="429" t="s">
        <v>5</v>
      </c>
      <c r="L202" s="429">
        <v>411099.34113680152</v>
      </c>
      <c r="M202" s="429">
        <v>9397730.9383872841</v>
      </c>
    </row>
    <row r="203" spans="1:13">
      <c r="A203" s="285"/>
      <c r="B203" s="280" t="s">
        <v>510</v>
      </c>
      <c r="C203" s="374">
        <v>9</v>
      </c>
      <c r="D203" s="280" t="s">
        <v>8</v>
      </c>
      <c r="E203" s="281">
        <f>E167</f>
        <v>59215.384113680149</v>
      </c>
      <c r="F203" s="281">
        <f t="shared" si="11"/>
        <v>532938.4570231213</v>
      </c>
      <c r="I203" s="429" t="s">
        <v>510</v>
      </c>
      <c r="J203" s="429">
        <v>9</v>
      </c>
      <c r="K203" s="429" t="s">
        <v>8</v>
      </c>
      <c r="L203" s="429">
        <v>59215.384113680149</v>
      </c>
      <c r="M203" s="429">
        <v>532938.4570231213</v>
      </c>
    </row>
    <row r="204" spans="1:13" ht="27.6">
      <c r="A204" s="285"/>
      <c r="B204" s="280" t="s">
        <v>511</v>
      </c>
      <c r="C204" s="361">
        <v>54.55</v>
      </c>
      <c r="D204" s="280" t="s">
        <v>5</v>
      </c>
      <c r="E204" s="281">
        <f>'BQ MAPLE POOL'!E203</f>
        <v>66147.193181818177</v>
      </c>
      <c r="F204" s="281">
        <f t="shared" si="11"/>
        <v>3608329.3880681815</v>
      </c>
      <c r="I204" s="429" t="s">
        <v>511</v>
      </c>
      <c r="J204" s="429">
        <v>54.55</v>
      </c>
      <c r="K204" s="429" t="s">
        <v>5</v>
      </c>
      <c r="L204" s="429">
        <v>67497.475000000006</v>
      </c>
      <c r="M204" s="429">
        <v>3681987.26125</v>
      </c>
    </row>
    <row r="205" spans="1:13">
      <c r="A205" s="285"/>
      <c r="B205" s="286" t="s">
        <v>397</v>
      </c>
      <c r="C205" s="361"/>
      <c r="D205" s="280"/>
      <c r="E205" s="281"/>
      <c r="F205" s="281">
        <f t="shared" si="11"/>
        <v>0</v>
      </c>
      <c r="I205" s="429" t="s">
        <v>397</v>
      </c>
      <c r="J205" s="429"/>
      <c r="K205" s="429"/>
      <c r="L205" s="429"/>
      <c r="M205" s="429">
        <v>0</v>
      </c>
    </row>
    <row r="206" spans="1:13">
      <c r="A206" s="285"/>
      <c r="B206" s="286" t="s">
        <v>398</v>
      </c>
      <c r="C206" s="361"/>
      <c r="D206" s="280"/>
      <c r="E206" s="281"/>
      <c r="F206" s="281">
        <f>+C206*E206</f>
        <v>0</v>
      </c>
      <c r="I206" s="429" t="s">
        <v>398</v>
      </c>
      <c r="J206" s="429"/>
      <c r="K206" s="429"/>
      <c r="L206" s="429"/>
      <c r="M206" s="429">
        <v>0</v>
      </c>
    </row>
    <row r="207" spans="1:13">
      <c r="A207" s="285"/>
      <c r="B207" s="286" t="s">
        <v>399</v>
      </c>
      <c r="C207" s="361"/>
      <c r="D207" s="280"/>
      <c r="E207" s="281"/>
      <c r="F207" s="281">
        <f>+C207*E207</f>
        <v>0</v>
      </c>
      <c r="I207" s="429" t="s">
        <v>399</v>
      </c>
      <c r="J207" s="429"/>
      <c r="K207" s="429"/>
      <c r="L207" s="429"/>
      <c r="M207" s="429">
        <v>0</v>
      </c>
    </row>
    <row r="208" spans="1:13">
      <c r="A208" s="285"/>
      <c r="B208" s="280"/>
      <c r="C208" s="361"/>
      <c r="D208" s="280"/>
      <c r="E208" s="281"/>
      <c r="F208" s="281"/>
      <c r="I208" s="429"/>
      <c r="J208" s="429"/>
      <c r="K208" s="429"/>
      <c r="L208" s="429"/>
      <c r="M208" s="429"/>
    </row>
    <row r="209" spans="1:13">
      <c r="A209" s="282" t="s">
        <v>17</v>
      </c>
      <c r="B209" s="282" t="s">
        <v>18</v>
      </c>
      <c r="C209" s="375"/>
      <c r="D209" s="282" t="s">
        <v>5</v>
      </c>
      <c r="E209" s="283"/>
      <c r="F209" s="284">
        <f>SUM(F210:F217)</f>
        <v>7625183.7500000009</v>
      </c>
      <c r="I209" s="429" t="s">
        <v>18</v>
      </c>
      <c r="J209" s="429"/>
      <c r="K209" s="429" t="s">
        <v>5</v>
      </c>
      <c r="L209" s="429"/>
      <c r="M209" s="429">
        <v>8778503.7500000019</v>
      </c>
    </row>
    <row r="210" spans="1:13">
      <c r="A210" s="285"/>
      <c r="B210" s="280" t="s">
        <v>209</v>
      </c>
      <c r="C210" s="361"/>
      <c r="D210" s="280" t="s">
        <v>5</v>
      </c>
      <c r="E210" s="281"/>
      <c r="F210" s="281">
        <f>+C210*E210</f>
        <v>0</v>
      </c>
      <c r="I210" s="429" t="s">
        <v>209</v>
      </c>
      <c r="J210" s="429"/>
      <c r="K210" s="429" t="s">
        <v>5</v>
      </c>
      <c r="L210" s="429"/>
      <c r="M210" s="429">
        <v>0</v>
      </c>
    </row>
    <row r="211" spans="1:13" ht="27.6">
      <c r="A211" s="285"/>
      <c r="B211" s="280" t="s">
        <v>210</v>
      </c>
      <c r="C211" s="361">
        <f>4.5*9.8+3.85*2.3-1.12*2.85+3.5*7.8-0.7*2.6-1.6*1-1.35*2.4</f>
        <v>70.40300000000002</v>
      </c>
      <c r="D211" s="280" t="s">
        <v>5</v>
      </c>
      <c r="E211" s="281">
        <f>'BQ MAPLE POOL'!E210</f>
        <v>67500</v>
      </c>
      <c r="F211" s="281">
        <f t="shared" ref="F211:F217" si="12">+C211*E211</f>
        <v>4752202.5000000009</v>
      </c>
      <c r="H211" s="358"/>
      <c r="I211" s="429" t="s">
        <v>210</v>
      </c>
      <c r="J211" s="429">
        <v>70.40300000000002</v>
      </c>
      <c r="K211" s="429" t="s">
        <v>5</v>
      </c>
      <c r="L211" s="429">
        <v>75000</v>
      </c>
      <c r="M211" s="429">
        <v>5280225.0000000019</v>
      </c>
    </row>
    <row r="212" spans="1:13" ht="41.4">
      <c r="A212" s="285"/>
      <c r="B212" s="280" t="s">
        <v>512</v>
      </c>
      <c r="C212" s="361">
        <f>7.55*0.975+2.4*1.35+1.7*1.05</f>
        <v>12.38625</v>
      </c>
      <c r="D212" s="280" t="s">
        <v>5</v>
      </c>
      <c r="E212" s="281">
        <f>'BQ MAPLE POOL'!E211</f>
        <v>85000</v>
      </c>
      <c r="F212" s="281">
        <f t="shared" si="12"/>
        <v>1052831.25</v>
      </c>
      <c r="I212" s="429" t="s">
        <v>512</v>
      </c>
      <c r="J212" s="429">
        <v>12.38625</v>
      </c>
      <c r="K212" s="429" t="s">
        <v>5</v>
      </c>
      <c r="L212" s="429">
        <v>95000</v>
      </c>
      <c r="M212" s="429">
        <v>1176693.75</v>
      </c>
    </row>
    <row r="213" spans="1:13">
      <c r="A213" s="285"/>
      <c r="B213" s="280" t="s">
        <v>211</v>
      </c>
      <c r="C213" s="361">
        <f>101.3</f>
        <v>101.3</v>
      </c>
      <c r="D213" s="280" t="s">
        <v>8</v>
      </c>
      <c r="E213" s="281">
        <f>'BQ MAPLE POOL'!E212</f>
        <v>15500</v>
      </c>
      <c r="F213" s="281">
        <f t="shared" si="12"/>
        <v>1570150</v>
      </c>
      <c r="I213" s="429" t="s">
        <v>211</v>
      </c>
      <c r="J213" s="429">
        <v>101.3</v>
      </c>
      <c r="K213" s="429" t="s">
        <v>8</v>
      </c>
      <c r="L213" s="429">
        <v>20450</v>
      </c>
      <c r="M213" s="429">
        <v>2071585</v>
      </c>
    </row>
    <row r="214" spans="1:13">
      <c r="A214" s="285"/>
      <c r="B214" s="280" t="s">
        <v>513</v>
      </c>
      <c r="C214" s="361">
        <v>1</v>
      </c>
      <c r="D214" s="280" t="s">
        <v>204</v>
      </c>
      <c r="E214" s="281">
        <f>'BQ MAPLE POOL'!E213</f>
        <v>250000</v>
      </c>
      <c r="F214" s="281">
        <f t="shared" si="12"/>
        <v>250000</v>
      </c>
      <c r="I214" s="429" t="s">
        <v>513</v>
      </c>
      <c r="J214" s="429">
        <v>1</v>
      </c>
      <c r="K214" s="429" t="s">
        <v>204</v>
      </c>
      <c r="L214" s="429">
        <v>250000</v>
      </c>
      <c r="M214" s="429">
        <v>250000</v>
      </c>
    </row>
    <row r="215" spans="1:13">
      <c r="A215" s="285"/>
      <c r="B215" s="286" t="s">
        <v>397</v>
      </c>
      <c r="C215" s="361"/>
      <c r="D215" s="280"/>
      <c r="E215" s="281"/>
      <c r="F215" s="281">
        <f t="shared" si="12"/>
        <v>0</v>
      </c>
      <c r="I215" s="429" t="s">
        <v>397</v>
      </c>
      <c r="J215" s="429"/>
      <c r="K215" s="429"/>
      <c r="L215" s="429"/>
      <c r="M215" s="429">
        <v>0</v>
      </c>
    </row>
    <row r="216" spans="1:13">
      <c r="A216" s="285"/>
      <c r="B216" s="286" t="s">
        <v>398</v>
      </c>
      <c r="C216" s="361"/>
      <c r="D216" s="280"/>
      <c r="E216" s="281"/>
      <c r="F216" s="281">
        <f t="shared" si="12"/>
        <v>0</v>
      </c>
      <c r="I216" s="429" t="s">
        <v>398</v>
      </c>
      <c r="J216" s="429"/>
      <c r="K216" s="429"/>
      <c r="L216" s="429"/>
      <c r="M216" s="429">
        <v>0</v>
      </c>
    </row>
    <row r="217" spans="1:13">
      <c r="A217" s="285"/>
      <c r="B217" s="286" t="s">
        <v>399</v>
      </c>
      <c r="C217" s="361"/>
      <c r="D217" s="280"/>
      <c r="E217" s="281"/>
      <c r="F217" s="281">
        <f t="shared" si="12"/>
        <v>0</v>
      </c>
      <c r="I217" s="429" t="s">
        <v>399</v>
      </c>
      <c r="J217" s="429"/>
      <c r="K217" s="429"/>
      <c r="L217" s="429"/>
      <c r="M217" s="429">
        <v>0</v>
      </c>
    </row>
    <row r="218" spans="1:13">
      <c r="A218" s="285"/>
      <c r="B218" s="280"/>
      <c r="C218" s="361"/>
      <c r="D218" s="280"/>
      <c r="E218" s="281"/>
      <c r="F218" s="281"/>
      <c r="I218" s="429"/>
      <c r="J218" s="429"/>
      <c r="K218" s="429"/>
      <c r="L218" s="429"/>
      <c r="M218" s="429"/>
    </row>
    <row r="219" spans="1:13">
      <c r="A219" s="282" t="s">
        <v>19</v>
      </c>
      <c r="B219" s="282" t="s">
        <v>20</v>
      </c>
      <c r="C219" s="375"/>
      <c r="D219" s="282" t="s">
        <v>5</v>
      </c>
      <c r="E219" s="283"/>
      <c r="F219" s="284">
        <f>SUM(F220:F234)</f>
        <v>10991237.5</v>
      </c>
      <c r="I219" s="429" t="s">
        <v>20</v>
      </c>
      <c r="J219" s="429"/>
      <c r="K219" s="429" t="s">
        <v>5</v>
      </c>
      <c r="L219" s="429"/>
      <c r="M219" s="429">
        <v>12631080</v>
      </c>
    </row>
    <row r="220" spans="1:13">
      <c r="A220" s="285"/>
      <c r="B220" s="280" t="s">
        <v>212</v>
      </c>
      <c r="C220" s="361"/>
      <c r="D220" s="280" t="s">
        <v>5</v>
      </c>
      <c r="E220" s="281"/>
      <c r="F220" s="281">
        <f t="shared" ref="F220:F224" si="13">+C220*E220</f>
        <v>0</v>
      </c>
      <c r="I220" s="429" t="s">
        <v>212</v>
      </c>
      <c r="J220" s="429"/>
      <c r="K220" s="429" t="s">
        <v>5</v>
      </c>
      <c r="L220" s="429"/>
      <c r="M220" s="429">
        <v>0</v>
      </c>
    </row>
    <row r="221" spans="1:13" ht="27.6">
      <c r="A221" s="285"/>
      <c r="B221" s="280" t="s">
        <v>210</v>
      </c>
      <c r="C221" s="361">
        <f>4.65*2.3+1.6*0.75+1.5*2.4+1.75*1.3+3.75*3.1+3.8*3+4.5*5.15+3*0.65+1*2.05</f>
        <v>67.97</v>
      </c>
      <c r="D221" s="280" t="s">
        <v>5</v>
      </c>
      <c r="E221" s="281">
        <f>'BQ MAPLE POOL'!E220</f>
        <v>67500</v>
      </c>
      <c r="F221" s="281">
        <f t="shared" si="13"/>
        <v>4587975</v>
      </c>
      <c r="I221" s="429" t="s">
        <v>210</v>
      </c>
      <c r="J221" s="429">
        <v>67.97</v>
      </c>
      <c r="K221" s="429" t="s">
        <v>5</v>
      </c>
      <c r="L221" s="429">
        <v>75000</v>
      </c>
      <c r="M221" s="429">
        <v>5097750</v>
      </c>
    </row>
    <row r="222" spans="1:13" ht="41.4">
      <c r="A222" s="285"/>
      <c r="B222" s="280" t="s">
        <v>512</v>
      </c>
      <c r="C222" s="361">
        <f>1*3.75+3*1.75+1.75*1.9+1*0.6+1.7*1.1</f>
        <v>14.794999999999998</v>
      </c>
      <c r="D222" s="280" t="s">
        <v>5</v>
      </c>
      <c r="E222" s="281">
        <f>'BQ MAPLE POOL'!E221</f>
        <v>85000</v>
      </c>
      <c r="F222" s="281">
        <f t="shared" si="13"/>
        <v>1257574.9999999998</v>
      </c>
      <c r="I222" s="429" t="s">
        <v>512</v>
      </c>
      <c r="J222" s="429">
        <v>14.794999999999998</v>
      </c>
      <c r="K222" s="429" t="s">
        <v>5</v>
      </c>
      <c r="L222" s="429">
        <v>95000</v>
      </c>
      <c r="M222" s="429">
        <v>1405524.9999999998</v>
      </c>
    </row>
    <row r="223" spans="1:13">
      <c r="A223" s="285"/>
      <c r="B223" s="280" t="s">
        <v>211</v>
      </c>
      <c r="C223" s="361">
        <f>112.3</f>
        <v>112.3</v>
      </c>
      <c r="D223" s="280" t="s">
        <v>8</v>
      </c>
      <c r="E223" s="281">
        <f>'BQ MAPLE POOL'!E222</f>
        <v>15500</v>
      </c>
      <c r="F223" s="281">
        <f t="shared" si="13"/>
        <v>1740650</v>
      </c>
      <c r="I223" s="429" t="s">
        <v>211</v>
      </c>
      <c r="J223" s="429">
        <v>112.3</v>
      </c>
      <c r="K223" s="429" t="s">
        <v>8</v>
      </c>
      <c r="L223" s="429">
        <v>20450</v>
      </c>
      <c r="M223" s="429">
        <v>2296535</v>
      </c>
    </row>
    <row r="224" spans="1:13">
      <c r="A224" s="285"/>
      <c r="B224" s="280" t="s">
        <v>513</v>
      </c>
      <c r="C224" s="361">
        <v>1</v>
      </c>
      <c r="D224" s="280" t="s">
        <v>204</v>
      </c>
      <c r="E224" s="281">
        <f>'BQ MAPLE POOL'!E223</f>
        <v>250000</v>
      </c>
      <c r="F224" s="281">
        <f t="shared" si="13"/>
        <v>250000</v>
      </c>
      <c r="I224" s="429" t="s">
        <v>513</v>
      </c>
      <c r="J224" s="429">
        <v>1</v>
      </c>
      <c r="K224" s="429" t="s">
        <v>204</v>
      </c>
      <c r="L224" s="429">
        <v>250000</v>
      </c>
      <c r="M224" s="429">
        <v>250000</v>
      </c>
    </row>
    <row r="225" spans="1:13">
      <c r="A225" s="285"/>
      <c r="B225" s="285"/>
      <c r="C225" s="361"/>
      <c r="D225" s="285"/>
      <c r="E225" s="281"/>
      <c r="F225" s="281"/>
      <c r="I225" s="429"/>
      <c r="J225" s="429"/>
      <c r="K225" s="429"/>
      <c r="L225" s="429"/>
      <c r="M225" s="429"/>
    </row>
    <row r="226" spans="1:13">
      <c r="A226" s="285"/>
      <c r="B226" s="280" t="s">
        <v>514</v>
      </c>
      <c r="C226" s="361"/>
      <c r="D226" s="285"/>
      <c r="E226" s="281"/>
      <c r="F226" s="281"/>
      <c r="I226" s="429" t="s">
        <v>514</v>
      </c>
      <c r="J226" s="429"/>
      <c r="K226" s="429"/>
      <c r="L226" s="429"/>
      <c r="M226" s="429"/>
    </row>
    <row r="227" spans="1:13" ht="27.6">
      <c r="A227" s="285"/>
      <c r="B227" s="280" t="s">
        <v>210</v>
      </c>
      <c r="C227" s="374">
        <f>3.9*2.85+17.83</f>
        <v>28.945</v>
      </c>
      <c r="D227" s="280" t="s">
        <v>5</v>
      </c>
      <c r="E227" s="281">
        <f>E221</f>
        <v>67500</v>
      </c>
      <c r="F227" s="281">
        <f t="shared" ref="F227:F234" si="14">+C227*E227</f>
        <v>1953787.5</v>
      </c>
      <c r="I227" s="429" t="s">
        <v>210</v>
      </c>
      <c r="J227" s="429">
        <v>28.945</v>
      </c>
      <c r="K227" s="429" t="s">
        <v>5</v>
      </c>
      <c r="L227" s="429">
        <v>75000</v>
      </c>
      <c r="M227" s="429">
        <v>2170875</v>
      </c>
    </row>
    <row r="228" spans="1:13" ht="41.4">
      <c r="A228" s="285"/>
      <c r="B228" s="280" t="s">
        <v>512</v>
      </c>
      <c r="C228" s="374">
        <f>9.2*0.6</f>
        <v>5.52</v>
      </c>
      <c r="D228" s="280" t="s">
        <v>5</v>
      </c>
      <c r="E228" s="281">
        <f>E222</f>
        <v>85000</v>
      </c>
      <c r="F228" s="281">
        <f t="shared" si="14"/>
        <v>469199.99999999994</v>
      </c>
      <c r="I228" s="429" t="s">
        <v>512</v>
      </c>
      <c r="J228" s="429">
        <v>5.52</v>
      </c>
      <c r="K228" s="429" t="s">
        <v>5</v>
      </c>
      <c r="L228" s="429">
        <v>95000</v>
      </c>
      <c r="M228" s="429">
        <v>524400</v>
      </c>
    </row>
    <row r="229" spans="1:13">
      <c r="A229" s="285"/>
      <c r="B229" s="280" t="s">
        <v>211</v>
      </c>
      <c r="C229" s="374">
        <v>31.1</v>
      </c>
      <c r="D229" s="280" t="s">
        <v>8</v>
      </c>
      <c r="E229" s="281">
        <f>E223</f>
        <v>15500</v>
      </c>
      <c r="F229" s="281">
        <f t="shared" si="14"/>
        <v>482050</v>
      </c>
      <c r="I229" s="429" t="s">
        <v>211</v>
      </c>
      <c r="J229" s="429">
        <v>31.1</v>
      </c>
      <c r="K229" s="429" t="s">
        <v>8</v>
      </c>
      <c r="L229" s="429">
        <v>20450</v>
      </c>
      <c r="M229" s="429">
        <v>635995</v>
      </c>
    </row>
    <row r="230" spans="1:13" ht="27.6">
      <c r="A230" s="285"/>
      <c r="B230" s="280" t="s">
        <v>515</v>
      </c>
      <c r="C230" s="359">
        <v>0</v>
      </c>
      <c r="D230" s="280" t="s">
        <v>5</v>
      </c>
      <c r="E230" s="281">
        <f>E227</f>
        <v>67500</v>
      </c>
      <c r="F230" s="281">
        <f t="shared" si="14"/>
        <v>0</v>
      </c>
      <c r="I230" s="429" t="s">
        <v>515</v>
      </c>
      <c r="J230" s="429">
        <v>0</v>
      </c>
      <c r="K230" s="429" t="s">
        <v>5</v>
      </c>
      <c r="L230" s="429">
        <v>75000</v>
      </c>
      <c r="M230" s="429">
        <v>0</v>
      </c>
    </row>
    <row r="231" spans="1:13">
      <c r="A231" s="285"/>
      <c r="B231" s="280" t="s">
        <v>516</v>
      </c>
      <c r="C231" s="374">
        <v>1</v>
      </c>
      <c r="D231" s="280" t="s">
        <v>204</v>
      </c>
      <c r="E231" s="281">
        <f>E224</f>
        <v>250000</v>
      </c>
      <c r="F231" s="281">
        <f>+C231*E231</f>
        <v>250000</v>
      </c>
      <c r="I231" s="429" t="s">
        <v>516</v>
      </c>
      <c r="J231" s="429">
        <v>1</v>
      </c>
      <c r="K231" s="429" t="s">
        <v>204</v>
      </c>
      <c r="L231" s="429">
        <v>250000</v>
      </c>
      <c r="M231" s="429">
        <v>250000</v>
      </c>
    </row>
    <row r="232" spans="1:13">
      <c r="A232" s="285"/>
      <c r="B232" s="286" t="s">
        <v>397</v>
      </c>
      <c r="C232" s="361"/>
      <c r="D232" s="280"/>
      <c r="E232" s="281"/>
      <c r="F232" s="281">
        <f t="shared" si="14"/>
        <v>0</v>
      </c>
      <c r="I232" s="429" t="s">
        <v>397</v>
      </c>
      <c r="J232" s="429"/>
      <c r="K232" s="429"/>
      <c r="L232" s="429"/>
      <c r="M232" s="429">
        <v>0</v>
      </c>
    </row>
    <row r="233" spans="1:13">
      <c r="A233" s="285"/>
      <c r="B233" s="286" t="s">
        <v>398</v>
      </c>
      <c r="C233" s="359">
        <v>0</v>
      </c>
      <c r="D233" s="280" t="s">
        <v>5</v>
      </c>
      <c r="E233" s="360">
        <f>525000+150000+75000</f>
        <v>750000</v>
      </c>
      <c r="F233" s="281">
        <f t="shared" si="14"/>
        <v>0</v>
      </c>
      <c r="G233" s="358"/>
      <c r="I233" s="429" t="s">
        <v>398</v>
      </c>
      <c r="J233" s="429">
        <v>0</v>
      </c>
      <c r="K233" s="429" t="s">
        <v>5</v>
      </c>
      <c r="L233" s="429">
        <v>750000</v>
      </c>
      <c r="M233" s="429">
        <v>0</v>
      </c>
    </row>
    <row r="234" spans="1:13">
      <c r="A234" s="285"/>
      <c r="B234" s="286" t="s">
        <v>399</v>
      </c>
      <c r="C234" s="361"/>
      <c r="D234" s="280"/>
      <c r="E234" s="281"/>
      <c r="F234" s="281">
        <f t="shared" si="14"/>
        <v>0</v>
      </c>
      <c r="I234" s="429" t="s">
        <v>399</v>
      </c>
      <c r="J234" s="429"/>
      <c r="K234" s="429"/>
      <c r="L234" s="429"/>
      <c r="M234" s="429">
        <v>0</v>
      </c>
    </row>
    <row r="235" spans="1:13">
      <c r="A235" s="285"/>
      <c r="B235" s="280"/>
      <c r="C235" s="361"/>
      <c r="D235" s="280"/>
      <c r="E235" s="281"/>
      <c r="F235" s="281"/>
      <c r="I235" s="429"/>
      <c r="J235" s="429"/>
      <c r="K235" s="429"/>
      <c r="L235" s="429"/>
      <c r="M235" s="429"/>
    </row>
    <row r="236" spans="1:13" ht="27.6">
      <c r="A236" s="282" t="s">
        <v>21</v>
      </c>
      <c r="B236" s="282" t="s">
        <v>22</v>
      </c>
      <c r="C236" s="375"/>
      <c r="D236" s="282" t="s">
        <v>5</v>
      </c>
      <c r="E236" s="283"/>
      <c r="F236" s="284">
        <f>SUM(F237:F244)</f>
        <v>69947503.299999997</v>
      </c>
      <c r="I236" s="429" t="s">
        <v>22</v>
      </c>
      <c r="J236" s="429"/>
      <c r="K236" s="429" t="s">
        <v>5</v>
      </c>
      <c r="L236" s="429"/>
      <c r="M236" s="429">
        <v>69947503.299999997</v>
      </c>
    </row>
    <row r="237" spans="1:13">
      <c r="A237" s="285"/>
      <c r="B237" s="280" t="s">
        <v>213</v>
      </c>
      <c r="C237" s="361"/>
      <c r="D237" s="280" t="s">
        <v>5</v>
      </c>
      <c r="E237" s="281"/>
      <c r="F237" s="281">
        <f t="shared" ref="F237:F244" si="15">+C237*E237</f>
        <v>0</v>
      </c>
      <c r="I237" s="429" t="s">
        <v>213</v>
      </c>
      <c r="J237" s="429"/>
      <c r="K237" s="429" t="s">
        <v>5</v>
      </c>
      <c r="L237" s="429"/>
      <c r="M237" s="429">
        <v>0</v>
      </c>
    </row>
    <row r="238" spans="1:13" ht="27.6">
      <c r="A238" s="285"/>
      <c r="B238" s="280" t="s">
        <v>214</v>
      </c>
      <c r="C238" s="421">
        <f>(88.9*4.25-51.98)*0+300</f>
        <v>300</v>
      </c>
      <c r="D238" s="280" t="s">
        <v>5</v>
      </c>
      <c r="E238" s="281">
        <f>'BQ MAPLE POOL'!E237</f>
        <v>106861.25</v>
      </c>
      <c r="F238" s="281">
        <f t="shared" si="15"/>
        <v>32058375</v>
      </c>
      <c r="I238" s="429" t="s">
        <v>214</v>
      </c>
      <c r="J238" s="429">
        <v>300</v>
      </c>
      <c r="K238" s="429" t="s">
        <v>5</v>
      </c>
      <c r="L238" s="429">
        <v>106861.25</v>
      </c>
      <c r="M238" s="429">
        <v>32058375</v>
      </c>
    </row>
    <row r="239" spans="1:13">
      <c r="A239" s="285"/>
      <c r="B239" s="280" t="s">
        <v>215</v>
      </c>
      <c r="C239" s="361">
        <f>C238*2-38.8*4.25-138*0.35+100-16</f>
        <v>470.8</v>
      </c>
      <c r="D239" s="280" t="s">
        <v>5</v>
      </c>
      <c r="E239" s="281">
        <f>'BQ MAPLE POOL'!E238</f>
        <v>56880</v>
      </c>
      <c r="F239" s="281">
        <f t="shared" si="15"/>
        <v>26779104</v>
      </c>
      <c r="I239" s="429" t="s">
        <v>215</v>
      </c>
      <c r="J239" s="429">
        <v>470.8</v>
      </c>
      <c r="K239" s="429" t="s">
        <v>5</v>
      </c>
      <c r="L239" s="429">
        <v>56880</v>
      </c>
      <c r="M239" s="429">
        <v>26779104</v>
      </c>
    </row>
    <row r="240" spans="1:13">
      <c r="A240" s="285"/>
      <c r="B240" s="280" t="s">
        <v>216</v>
      </c>
      <c r="C240" s="361">
        <f>371</f>
        <v>371</v>
      </c>
      <c r="D240" s="280" t="s">
        <v>5</v>
      </c>
      <c r="E240" s="281">
        <f>'BQ MAPLE POOL'!E239</f>
        <v>14391.2</v>
      </c>
      <c r="F240" s="281">
        <f t="shared" si="15"/>
        <v>5339135.2</v>
      </c>
      <c r="I240" s="429" t="s">
        <v>216</v>
      </c>
      <c r="J240" s="429">
        <v>371</v>
      </c>
      <c r="K240" s="429" t="s">
        <v>5</v>
      </c>
      <c r="L240" s="429">
        <v>14391.2</v>
      </c>
      <c r="M240" s="429">
        <v>5339135.2</v>
      </c>
    </row>
    <row r="241" spans="1:13">
      <c r="A241" s="285"/>
      <c r="B241" s="280" t="s">
        <v>217</v>
      </c>
      <c r="C241" s="361">
        <v>265</v>
      </c>
      <c r="D241" s="280" t="s">
        <v>8</v>
      </c>
      <c r="E241" s="281">
        <f>'BQ MAPLE POOL'!E240</f>
        <v>21776.94</v>
      </c>
      <c r="F241" s="281">
        <f t="shared" si="15"/>
        <v>5770889.0999999996</v>
      </c>
      <c r="I241" s="429" t="s">
        <v>217</v>
      </c>
      <c r="J241" s="429">
        <v>265</v>
      </c>
      <c r="K241" s="429" t="s">
        <v>8</v>
      </c>
      <c r="L241" s="429">
        <v>21776.94</v>
      </c>
      <c r="M241" s="429">
        <v>5770889.0999999996</v>
      </c>
    </row>
    <row r="242" spans="1:13">
      <c r="A242" s="285"/>
      <c r="B242" s="286" t="s">
        <v>397</v>
      </c>
      <c r="C242" s="361"/>
      <c r="D242" s="280"/>
      <c r="E242" s="281"/>
      <c r="F242" s="281">
        <f t="shared" si="15"/>
        <v>0</v>
      </c>
      <c r="I242" s="429" t="s">
        <v>397</v>
      </c>
      <c r="J242" s="429"/>
      <c r="K242" s="429"/>
      <c r="L242" s="429"/>
      <c r="M242" s="429">
        <v>0</v>
      </c>
    </row>
    <row r="243" spans="1:13">
      <c r="A243" s="285"/>
      <c r="B243" s="286" t="s">
        <v>398</v>
      </c>
      <c r="C243" s="361"/>
      <c r="D243" s="280"/>
      <c r="E243" s="281"/>
      <c r="F243" s="281">
        <f t="shared" si="15"/>
        <v>0</v>
      </c>
      <c r="I243" s="429" t="s">
        <v>398</v>
      </c>
      <c r="J243" s="429"/>
      <c r="K243" s="429"/>
      <c r="L243" s="429"/>
      <c r="M243" s="429">
        <v>0</v>
      </c>
    </row>
    <row r="244" spans="1:13">
      <c r="A244" s="285"/>
      <c r="B244" s="286" t="s">
        <v>399</v>
      </c>
      <c r="C244" s="361"/>
      <c r="D244" s="280"/>
      <c r="E244" s="281"/>
      <c r="F244" s="281">
        <f t="shared" si="15"/>
        <v>0</v>
      </c>
      <c r="I244" s="429" t="s">
        <v>399</v>
      </c>
      <c r="J244" s="429"/>
      <c r="K244" s="429"/>
      <c r="L244" s="429"/>
      <c r="M244" s="429">
        <v>0</v>
      </c>
    </row>
    <row r="245" spans="1:13">
      <c r="A245" s="285"/>
      <c r="B245" s="280"/>
      <c r="C245" s="361"/>
      <c r="D245" s="280"/>
      <c r="E245" s="281"/>
      <c r="F245" s="281"/>
      <c r="I245" s="429"/>
      <c r="J245" s="429"/>
      <c r="K245" s="429"/>
      <c r="L245" s="429"/>
      <c r="M245" s="429"/>
    </row>
    <row r="246" spans="1:13" ht="27.6">
      <c r="A246" s="282" t="s">
        <v>23</v>
      </c>
      <c r="B246" s="282" t="s">
        <v>24</v>
      </c>
      <c r="C246" s="375"/>
      <c r="D246" s="282" t="s">
        <v>5</v>
      </c>
      <c r="E246" s="283"/>
      <c r="F246" s="284">
        <f>SUM(F247:F255)</f>
        <v>70735143.219999999</v>
      </c>
      <c r="I246" s="429" t="s">
        <v>24</v>
      </c>
      <c r="J246" s="429"/>
      <c r="K246" s="429" t="s">
        <v>5</v>
      </c>
      <c r="L246" s="429"/>
      <c r="M246" s="429">
        <v>70735143.219999999</v>
      </c>
    </row>
    <row r="247" spans="1:13">
      <c r="A247" s="285"/>
      <c r="B247" s="280" t="s">
        <v>218</v>
      </c>
      <c r="C247" s="361"/>
      <c r="D247" s="280" t="s">
        <v>5</v>
      </c>
      <c r="E247" s="281"/>
      <c r="F247" s="281">
        <f t="shared" ref="F247:F255" si="16">+C247*E247</f>
        <v>0</v>
      </c>
      <c r="I247" s="429" t="s">
        <v>218</v>
      </c>
      <c r="J247" s="429"/>
      <c r="K247" s="429" t="s">
        <v>5</v>
      </c>
      <c r="L247" s="429"/>
      <c r="M247" s="429">
        <v>0</v>
      </c>
    </row>
    <row r="248" spans="1:13" ht="27.6">
      <c r="A248" s="285"/>
      <c r="B248" s="280" t="s">
        <v>517</v>
      </c>
      <c r="C248" s="421">
        <f>(87.25*3.8+7.7*1.9-49.39)*0+288</f>
        <v>288</v>
      </c>
      <c r="D248" s="280" t="s">
        <v>5</v>
      </c>
      <c r="E248" s="281">
        <f>'BQ MAPLE POOL'!E247</f>
        <v>106861.25</v>
      </c>
      <c r="F248" s="281">
        <f t="shared" si="16"/>
        <v>30776040</v>
      </c>
      <c r="I248" s="429" t="s">
        <v>517</v>
      </c>
      <c r="J248" s="429">
        <v>288</v>
      </c>
      <c r="K248" s="429" t="s">
        <v>5</v>
      </c>
      <c r="L248" s="429">
        <v>106861.25</v>
      </c>
      <c r="M248" s="429">
        <v>30776040</v>
      </c>
    </row>
    <row r="249" spans="1:13">
      <c r="A249" s="285"/>
      <c r="B249" s="280" t="s">
        <v>215</v>
      </c>
      <c r="C249" s="421">
        <f>(C248*2-23.8*3.8-7.7*1.9+35)*0+490</f>
        <v>490</v>
      </c>
      <c r="D249" s="280" t="s">
        <v>5</v>
      </c>
      <c r="E249" s="281">
        <f>'BQ MAPLE POOL'!E248</f>
        <v>56880</v>
      </c>
      <c r="F249" s="281">
        <f t="shared" si="16"/>
        <v>27871200</v>
      </c>
      <c r="I249" s="429" t="s">
        <v>215</v>
      </c>
      <c r="J249" s="429">
        <v>490</v>
      </c>
      <c r="K249" s="429" t="s">
        <v>5</v>
      </c>
      <c r="L249" s="429">
        <v>56880</v>
      </c>
      <c r="M249" s="429">
        <v>27871200</v>
      </c>
    </row>
    <row r="250" spans="1:13">
      <c r="A250" s="285"/>
      <c r="B250" s="280" t="s">
        <v>216</v>
      </c>
      <c r="C250" s="421">
        <f>C249-40</f>
        <v>450</v>
      </c>
      <c r="D250" s="280" t="s">
        <v>5</v>
      </c>
      <c r="E250" s="281">
        <f>'BQ MAPLE POOL'!E249</f>
        <v>14391.2</v>
      </c>
      <c r="F250" s="281">
        <f t="shared" si="16"/>
        <v>6476040</v>
      </c>
      <c r="I250" s="429" t="s">
        <v>216</v>
      </c>
      <c r="J250" s="429">
        <v>450</v>
      </c>
      <c r="K250" s="429" t="s">
        <v>5</v>
      </c>
      <c r="L250" s="429">
        <v>14391.2</v>
      </c>
      <c r="M250" s="429">
        <v>6476040</v>
      </c>
    </row>
    <row r="251" spans="1:13">
      <c r="A251" s="285"/>
      <c r="B251" s="280" t="s">
        <v>217</v>
      </c>
      <c r="C251" s="361">
        <v>213</v>
      </c>
      <c r="D251" s="280" t="s">
        <v>8</v>
      </c>
      <c r="E251" s="281">
        <f>'BQ MAPLE POOL'!E250</f>
        <v>21776.94</v>
      </c>
      <c r="F251" s="281">
        <f t="shared" si="16"/>
        <v>4638488.22</v>
      </c>
      <c r="I251" s="429" t="s">
        <v>217</v>
      </c>
      <c r="J251" s="429">
        <v>213</v>
      </c>
      <c r="K251" s="429" t="s">
        <v>8</v>
      </c>
      <c r="L251" s="429">
        <v>21776.94</v>
      </c>
      <c r="M251" s="429">
        <v>4638488.22</v>
      </c>
    </row>
    <row r="252" spans="1:13">
      <c r="A252" s="285"/>
      <c r="B252" s="280" t="s">
        <v>518</v>
      </c>
      <c r="C252" s="361">
        <f>3.75*1+1.75*4+1.9*1.75+1*0.9</f>
        <v>14.975</v>
      </c>
      <c r="D252" s="280" t="s">
        <v>5</v>
      </c>
      <c r="E252" s="281">
        <f>'BQ MAPLE POOL'!E251</f>
        <v>65000</v>
      </c>
      <c r="F252" s="281">
        <f t="shared" si="16"/>
        <v>973375</v>
      </c>
      <c r="I252" s="429" t="s">
        <v>518</v>
      </c>
      <c r="J252" s="429">
        <v>14.975</v>
      </c>
      <c r="K252" s="429" t="s">
        <v>5</v>
      </c>
      <c r="L252" s="429">
        <v>65000</v>
      </c>
      <c r="M252" s="429">
        <v>973375</v>
      </c>
    </row>
    <row r="253" spans="1:13">
      <c r="A253" s="285"/>
      <c r="B253" s="286" t="s">
        <v>397</v>
      </c>
      <c r="C253" s="361"/>
      <c r="D253" s="280"/>
      <c r="E253" s="281"/>
      <c r="F253" s="281">
        <f t="shared" si="16"/>
        <v>0</v>
      </c>
      <c r="I253" s="429" t="s">
        <v>397</v>
      </c>
      <c r="J253" s="429"/>
      <c r="K253" s="429"/>
      <c r="L253" s="429"/>
      <c r="M253" s="429">
        <v>0</v>
      </c>
    </row>
    <row r="254" spans="1:13">
      <c r="A254" s="285"/>
      <c r="B254" s="286" t="s">
        <v>398</v>
      </c>
      <c r="C254" s="361"/>
      <c r="D254" s="280"/>
      <c r="E254" s="281"/>
      <c r="F254" s="281">
        <f t="shared" si="16"/>
        <v>0</v>
      </c>
      <c r="I254" s="429" t="s">
        <v>398</v>
      </c>
      <c r="J254" s="429"/>
      <c r="K254" s="429"/>
      <c r="L254" s="429"/>
      <c r="M254" s="429">
        <v>0</v>
      </c>
    </row>
    <row r="255" spans="1:13">
      <c r="A255" s="285"/>
      <c r="B255" s="286" t="s">
        <v>399</v>
      </c>
      <c r="C255" s="361"/>
      <c r="D255" s="280"/>
      <c r="E255" s="281"/>
      <c r="F255" s="281">
        <f t="shared" si="16"/>
        <v>0</v>
      </c>
      <c r="I255" s="429" t="s">
        <v>399</v>
      </c>
      <c r="J255" s="429"/>
      <c r="K255" s="429"/>
      <c r="L255" s="429"/>
      <c r="M255" s="429">
        <v>0</v>
      </c>
    </row>
    <row r="256" spans="1:13">
      <c r="A256" s="285"/>
      <c r="B256" s="280"/>
      <c r="C256" s="361"/>
      <c r="D256" s="280"/>
      <c r="E256" s="281"/>
      <c r="F256" s="281"/>
      <c r="I256" s="429"/>
      <c r="J256" s="429"/>
      <c r="K256" s="429"/>
      <c r="L256" s="429"/>
      <c r="M256" s="429"/>
    </row>
    <row r="257" spans="1:13" ht="27.6">
      <c r="A257" s="282" t="s">
        <v>519</v>
      </c>
      <c r="B257" s="282" t="s">
        <v>520</v>
      </c>
      <c r="C257" s="375">
        <v>1</v>
      </c>
      <c r="D257" s="282" t="s">
        <v>8</v>
      </c>
      <c r="E257" s="283"/>
      <c r="F257" s="284">
        <f>SUM(F258:F265)</f>
        <v>21567484.5625</v>
      </c>
      <c r="I257" s="429" t="s">
        <v>520</v>
      </c>
      <c r="J257" s="429">
        <v>1</v>
      </c>
      <c r="K257" s="429" t="s">
        <v>8</v>
      </c>
      <c r="L257" s="429"/>
      <c r="M257" s="429">
        <v>21567484.5625</v>
      </c>
    </row>
    <row r="258" spans="1:13">
      <c r="A258" s="285"/>
      <c r="B258" s="280" t="s">
        <v>521</v>
      </c>
      <c r="C258" s="361">
        <v>1</v>
      </c>
      <c r="D258" s="280" t="s">
        <v>8</v>
      </c>
      <c r="E258" s="281"/>
      <c r="F258" s="281">
        <f>+C258*E258</f>
        <v>0</v>
      </c>
      <c r="I258" s="429" t="s">
        <v>521</v>
      </c>
      <c r="J258" s="429">
        <v>1</v>
      </c>
      <c r="K258" s="429" t="s">
        <v>8</v>
      </c>
      <c r="L258" s="429"/>
      <c r="M258" s="429">
        <v>0</v>
      </c>
    </row>
    <row r="259" spans="1:13" ht="27.6">
      <c r="A259" s="285"/>
      <c r="B259" s="280" t="s">
        <v>517</v>
      </c>
      <c r="C259" s="428">
        <f>30.9*1.5+17.25*2.8-5</f>
        <v>89.649999999999991</v>
      </c>
      <c r="D259" s="280" t="s">
        <v>5</v>
      </c>
      <c r="E259" s="281">
        <f>'BQ MAPLE POOL'!E258</f>
        <v>106861.25</v>
      </c>
      <c r="F259" s="281">
        <f t="shared" ref="F259:F265" si="17">+C259*E259</f>
        <v>9580111.0625</v>
      </c>
      <c r="I259" s="429" t="s">
        <v>517</v>
      </c>
      <c r="J259" s="429">
        <v>89.649999999999991</v>
      </c>
      <c r="K259" s="429" t="s">
        <v>5</v>
      </c>
      <c r="L259" s="429">
        <v>106861.25</v>
      </c>
      <c r="M259" s="429">
        <v>9580111.0625</v>
      </c>
    </row>
    <row r="260" spans="1:13">
      <c r="A260" s="285"/>
      <c r="B260" s="280" t="s">
        <v>215</v>
      </c>
      <c r="C260" s="428">
        <v>130</v>
      </c>
      <c r="D260" s="280" t="s">
        <v>5</v>
      </c>
      <c r="E260" s="281">
        <f>'BQ MAPLE POOL'!E259</f>
        <v>56880</v>
      </c>
      <c r="F260" s="281">
        <f t="shared" si="17"/>
        <v>7394400</v>
      </c>
      <c r="I260" s="429" t="s">
        <v>215</v>
      </c>
      <c r="J260" s="429">
        <v>130</v>
      </c>
      <c r="K260" s="429" t="s">
        <v>5</v>
      </c>
      <c r="L260" s="429">
        <v>56880</v>
      </c>
      <c r="M260" s="429">
        <v>7394400</v>
      </c>
    </row>
    <row r="261" spans="1:13">
      <c r="A261" s="285"/>
      <c r="B261" s="280" t="s">
        <v>216</v>
      </c>
      <c r="C261" s="428">
        <f>C260</f>
        <v>130</v>
      </c>
      <c r="D261" s="280" t="s">
        <v>5</v>
      </c>
      <c r="E261" s="281">
        <f>'BQ MAPLE POOL'!E260</f>
        <v>14391.2</v>
      </c>
      <c r="F261" s="281">
        <f t="shared" si="17"/>
        <v>1870856</v>
      </c>
      <c r="I261" s="429" t="s">
        <v>216</v>
      </c>
      <c r="J261" s="429">
        <v>130</v>
      </c>
      <c r="K261" s="429" t="s">
        <v>5</v>
      </c>
      <c r="L261" s="429">
        <v>14391.2</v>
      </c>
      <c r="M261" s="429">
        <v>1870856</v>
      </c>
    </row>
    <row r="262" spans="1:13">
      <c r="A262" s="285"/>
      <c r="B262" s="280" t="s">
        <v>217</v>
      </c>
      <c r="C262" s="361">
        <v>125</v>
      </c>
      <c r="D262" s="280" t="s">
        <v>8</v>
      </c>
      <c r="E262" s="281">
        <f>'BQ MAPLE POOL'!E261</f>
        <v>21776.94</v>
      </c>
      <c r="F262" s="281">
        <f t="shared" si="17"/>
        <v>2722117.5</v>
      </c>
      <c r="I262" s="429" t="s">
        <v>217</v>
      </c>
      <c r="J262" s="429">
        <v>125</v>
      </c>
      <c r="K262" s="429" t="s">
        <v>8</v>
      </c>
      <c r="L262" s="429">
        <v>21776.94</v>
      </c>
      <c r="M262" s="429">
        <v>2722117.5</v>
      </c>
    </row>
    <row r="263" spans="1:13">
      <c r="A263" s="285"/>
      <c r="B263" s="286" t="s">
        <v>397</v>
      </c>
      <c r="C263" s="361"/>
      <c r="D263" s="280"/>
      <c r="E263" s="281"/>
      <c r="F263" s="281">
        <f t="shared" si="17"/>
        <v>0</v>
      </c>
      <c r="I263" s="429" t="s">
        <v>397</v>
      </c>
      <c r="J263" s="429"/>
      <c r="K263" s="429"/>
      <c r="L263" s="429"/>
      <c r="M263" s="429">
        <v>0</v>
      </c>
    </row>
    <row r="264" spans="1:13">
      <c r="A264" s="285"/>
      <c r="B264" s="286" t="s">
        <v>398</v>
      </c>
      <c r="C264" s="361"/>
      <c r="D264" s="280"/>
      <c r="E264" s="281"/>
      <c r="F264" s="281">
        <f t="shared" si="17"/>
        <v>0</v>
      </c>
      <c r="I264" s="429" t="s">
        <v>398</v>
      </c>
      <c r="J264" s="429"/>
      <c r="K264" s="429"/>
      <c r="L264" s="429"/>
      <c r="M264" s="429">
        <v>0</v>
      </c>
    </row>
    <row r="265" spans="1:13">
      <c r="A265" s="285"/>
      <c r="B265" s="286" t="s">
        <v>399</v>
      </c>
      <c r="C265" s="361"/>
      <c r="D265" s="280"/>
      <c r="E265" s="281"/>
      <c r="F265" s="281">
        <f t="shared" si="17"/>
        <v>0</v>
      </c>
      <c r="I265" s="429" t="s">
        <v>399</v>
      </c>
      <c r="J265" s="429"/>
      <c r="K265" s="429"/>
      <c r="L265" s="429"/>
      <c r="M265" s="429">
        <v>0</v>
      </c>
    </row>
    <row r="266" spans="1:13">
      <c r="A266" s="285"/>
      <c r="B266" s="280"/>
      <c r="C266" s="361"/>
      <c r="D266" s="280"/>
      <c r="E266" s="281"/>
      <c r="F266" s="281"/>
      <c r="I266" s="429"/>
      <c r="J266" s="429"/>
      <c r="K266" s="429"/>
      <c r="L266" s="429"/>
      <c r="M266" s="429"/>
    </row>
    <row r="267" spans="1:13" ht="27.6">
      <c r="A267" s="282" t="s">
        <v>219</v>
      </c>
      <c r="B267" s="282" t="s">
        <v>220</v>
      </c>
      <c r="C267" s="375">
        <v>1</v>
      </c>
      <c r="D267" s="282" t="s">
        <v>6</v>
      </c>
      <c r="E267" s="283"/>
      <c r="F267" s="284">
        <f>SUM(F268:F278)</f>
        <v>8978438.432</v>
      </c>
      <c r="I267" s="429" t="s">
        <v>220</v>
      </c>
      <c r="J267" s="429">
        <v>1</v>
      </c>
      <c r="K267" s="429" t="s">
        <v>6</v>
      </c>
      <c r="L267" s="429"/>
      <c r="M267" s="429">
        <v>8978438.432</v>
      </c>
    </row>
    <row r="268" spans="1:13">
      <c r="A268" s="285"/>
      <c r="B268" s="280" t="s">
        <v>522</v>
      </c>
      <c r="C268" s="361"/>
      <c r="D268" s="280" t="s">
        <v>6</v>
      </c>
      <c r="E268" s="281"/>
      <c r="F268" s="281">
        <f>+C268*E268</f>
        <v>0</v>
      </c>
      <c r="I268" s="429" t="s">
        <v>522</v>
      </c>
      <c r="J268" s="429"/>
      <c r="K268" s="429" t="s">
        <v>6</v>
      </c>
      <c r="L268" s="429"/>
      <c r="M268" s="429">
        <v>0</v>
      </c>
    </row>
    <row r="269" spans="1:13">
      <c r="A269" s="285"/>
      <c r="B269" s="280" t="s">
        <v>221</v>
      </c>
      <c r="C269" s="361">
        <f>20*2+28</f>
        <v>68</v>
      </c>
      <c r="D269" s="280" t="s">
        <v>6</v>
      </c>
      <c r="E269" s="360">
        <f>'BQ MAPLE POOL'!E268</f>
        <v>21776.94</v>
      </c>
      <c r="F269" s="281">
        <f t="shared" ref="F269:F278" si="18">+C269*E269</f>
        <v>1480831.92</v>
      </c>
      <c r="I269" s="429" t="s">
        <v>221</v>
      </c>
      <c r="J269" s="429">
        <v>68</v>
      </c>
      <c r="K269" s="429" t="s">
        <v>6</v>
      </c>
      <c r="L269" s="429">
        <v>21776.94</v>
      </c>
      <c r="M269" s="429">
        <v>1480831.92</v>
      </c>
    </row>
    <row r="270" spans="1:13" ht="27.6">
      <c r="A270" s="285"/>
      <c r="B270" s="280" t="s">
        <v>222</v>
      </c>
      <c r="C270" s="361">
        <f>3*2.15+1.75*0.82+4</f>
        <v>11.884999999999998</v>
      </c>
      <c r="D270" s="280" t="s">
        <v>5</v>
      </c>
      <c r="E270" s="360">
        <f>'BQ MAPLE POOL'!E269</f>
        <v>115600</v>
      </c>
      <c r="F270" s="281">
        <f t="shared" si="18"/>
        <v>1373905.9999999998</v>
      </c>
      <c r="I270" s="429" t="s">
        <v>222</v>
      </c>
      <c r="J270" s="429">
        <v>11.884999999999998</v>
      </c>
      <c r="K270" s="429" t="s">
        <v>5</v>
      </c>
      <c r="L270" s="429">
        <v>115600</v>
      </c>
      <c r="M270" s="429">
        <v>1373905.9999999998</v>
      </c>
    </row>
    <row r="271" spans="1:13" ht="27.6">
      <c r="A271" s="285"/>
      <c r="B271" s="280" t="s">
        <v>223</v>
      </c>
      <c r="C271" s="361">
        <f>20+14</f>
        <v>34</v>
      </c>
      <c r="D271" s="280" t="s">
        <v>8</v>
      </c>
      <c r="E271" s="360">
        <f>'BQ MAPLE POOL'!E270</f>
        <v>27150</v>
      </c>
      <c r="F271" s="281">
        <f t="shared" si="18"/>
        <v>923100</v>
      </c>
      <c r="I271" s="429" t="s">
        <v>223</v>
      </c>
      <c r="J271" s="429">
        <v>34</v>
      </c>
      <c r="K271" s="429" t="s">
        <v>8</v>
      </c>
      <c r="L271" s="429">
        <v>27150</v>
      </c>
      <c r="M271" s="429">
        <v>923100</v>
      </c>
    </row>
    <row r="272" spans="1:13" ht="27.6">
      <c r="A272" s="285"/>
      <c r="B272" s="280" t="s">
        <v>224</v>
      </c>
      <c r="C272" s="361">
        <f>2.5*3.1+0.3*3+4</f>
        <v>12.65</v>
      </c>
      <c r="D272" s="280" t="s">
        <v>5</v>
      </c>
      <c r="E272" s="360">
        <f>'BQ MAPLE POOL'!E271</f>
        <v>24434.400000000001</v>
      </c>
      <c r="F272" s="281">
        <f t="shared" si="18"/>
        <v>309095.16000000003</v>
      </c>
      <c r="I272" s="429" t="s">
        <v>224</v>
      </c>
      <c r="J272" s="429">
        <v>12.65</v>
      </c>
      <c r="K272" s="429" t="s">
        <v>5</v>
      </c>
      <c r="L272" s="429">
        <v>24434.400000000001</v>
      </c>
      <c r="M272" s="429">
        <v>309095.16000000003</v>
      </c>
    </row>
    <row r="273" spans="1:13">
      <c r="A273" s="285"/>
      <c r="B273" s="280" t="s">
        <v>523</v>
      </c>
      <c r="C273" s="401">
        <v>0</v>
      </c>
      <c r="D273" s="280" t="s">
        <v>8</v>
      </c>
      <c r="E273" s="360">
        <f>'BQ MAPLE POOL'!E272</f>
        <v>27150</v>
      </c>
      <c r="F273" s="281">
        <f t="shared" si="18"/>
        <v>0</v>
      </c>
      <c r="I273" s="429" t="s">
        <v>523</v>
      </c>
      <c r="J273" s="429">
        <v>0</v>
      </c>
      <c r="K273" s="429" t="s">
        <v>8</v>
      </c>
      <c r="L273" s="429">
        <v>27150</v>
      </c>
      <c r="M273" s="429">
        <v>0</v>
      </c>
    </row>
    <row r="274" spans="1:13">
      <c r="A274" s="285"/>
      <c r="B274" s="280" t="s">
        <v>524</v>
      </c>
      <c r="C274" s="402">
        <v>52.5</v>
      </c>
      <c r="D274" s="280" t="s">
        <v>8</v>
      </c>
      <c r="E274" s="360">
        <f>'BQ MAPLE POOL'!E273</f>
        <v>33750</v>
      </c>
      <c r="F274" s="281">
        <f t="shared" si="18"/>
        <v>1771875</v>
      </c>
      <c r="G274" s="358"/>
      <c r="I274" s="429" t="s">
        <v>524</v>
      </c>
      <c r="J274" s="429">
        <v>52.5</v>
      </c>
      <c r="K274" s="429" t="s">
        <v>8</v>
      </c>
      <c r="L274" s="429">
        <v>33750</v>
      </c>
      <c r="M274" s="429">
        <v>1771875</v>
      </c>
    </row>
    <row r="275" spans="1:13">
      <c r="A275" s="285"/>
      <c r="B275" s="280" t="s">
        <v>525</v>
      </c>
      <c r="C275" s="361">
        <f>8.6*1.4*2</f>
        <v>24.08</v>
      </c>
      <c r="D275" s="280" t="s">
        <v>5</v>
      </c>
      <c r="E275" s="360">
        <f>'BQ MAPLE POOL'!E274</f>
        <v>24434.400000000001</v>
      </c>
      <c r="F275" s="281">
        <f t="shared" si="18"/>
        <v>588380.35199999996</v>
      </c>
      <c r="I275" s="429" t="s">
        <v>525</v>
      </c>
      <c r="J275" s="429">
        <v>24.08</v>
      </c>
      <c r="K275" s="429" t="s">
        <v>5</v>
      </c>
      <c r="L275" s="429">
        <v>24434.400000000001</v>
      </c>
      <c r="M275" s="429">
        <v>588380.35199999996</v>
      </c>
    </row>
    <row r="276" spans="1:13">
      <c r="A276" s="285"/>
      <c r="B276" s="286" t="s">
        <v>397</v>
      </c>
      <c r="C276" s="361"/>
      <c r="D276" s="280"/>
      <c r="E276" s="281"/>
      <c r="F276" s="281">
        <f t="shared" si="18"/>
        <v>0</v>
      </c>
      <c r="I276" s="429" t="s">
        <v>397</v>
      </c>
      <c r="J276" s="429"/>
      <c r="K276" s="429"/>
      <c r="L276" s="429"/>
      <c r="M276" s="429">
        <v>0</v>
      </c>
    </row>
    <row r="277" spans="1:13">
      <c r="A277" s="285"/>
      <c r="B277" s="286" t="s">
        <v>834</v>
      </c>
      <c r="C277" s="361">
        <v>75</v>
      </c>
      <c r="D277" s="280" t="s">
        <v>8</v>
      </c>
      <c r="E277" s="281">
        <f>E274</f>
        <v>33750</v>
      </c>
      <c r="F277" s="281">
        <f t="shared" si="18"/>
        <v>2531250</v>
      </c>
      <c r="I277" s="429" t="s">
        <v>834</v>
      </c>
      <c r="J277" s="429">
        <v>75</v>
      </c>
      <c r="K277" s="429" t="s">
        <v>8</v>
      </c>
      <c r="L277" s="429">
        <v>33750</v>
      </c>
      <c r="M277" s="429">
        <v>2531250</v>
      </c>
    </row>
    <row r="278" spans="1:13">
      <c r="A278" s="285"/>
      <c r="B278" s="286" t="s">
        <v>399</v>
      </c>
      <c r="C278" s="361"/>
      <c r="D278" s="280"/>
      <c r="E278" s="281"/>
      <c r="F278" s="281">
        <f t="shared" si="18"/>
        <v>0</v>
      </c>
      <c r="I278" s="429" t="s">
        <v>399</v>
      </c>
      <c r="J278" s="429"/>
      <c r="K278" s="429"/>
      <c r="L278" s="429"/>
      <c r="M278" s="429">
        <v>0</v>
      </c>
    </row>
    <row r="279" spans="1:13">
      <c r="A279" s="285"/>
      <c r="B279" s="280"/>
      <c r="C279" s="361"/>
      <c r="D279" s="280"/>
      <c r="E279" s="281"/>
      <c r="F279" s="281"/>
      <c r="I279" s="429"/>
      <c r="J279" s="429"/>
      <c r="K279" s="429"/>
      <c r="L279" s="429"/>
      <c r="M279" s="429"/>
    </row>
    <row r="280" spans="1:13">
      <c r="A280" s="282" t="s">
        <v>25</v>
      </c>
      <c r="B280" s="282" t="s">
        <v>26</v>
      </c>
      <c r="C280" s="375"/>
      <c r="D280" s="282" t="s">
        <v>5</v>
      </c>
      <c r="E280" s="283"/>
      <c r="F280" s="284">
        <f>SUM(F281:F298)</f>
        <v>26490103.569819819</v>
      </c>
      <c r="I280" s="429" t="s">
        <v>26</v>
      </c>
      <c r="J280" s="429"/>
      <c r="K280" s="429" t="s">
        <v>5</v>
      </c>
      <c r="L280" s="429"/>
      <c r="M280" s="429">
        <v>26490103.569819819</v>
      </c>
    </row>
    <row r="281" spans="1:13">
      <c r="A281" s="285"/>
      <c r="B281" s="280" t="s">
        <v>225</v>
      </c>
      <c r="C281" s="361"/>
      <c r="D281" s="280" t="s">
        <v>5</v>
      </c>
      <c r="E281" s="281"/>
      <c r="F281" s="281">
        <f t="shared" ref="F281:F298" si="19">+C281*E281</f>
        <v>0</v>
      </c>
      <c r="I281" s="429" t="s">
        <v>225</v>
      </c>
      <c r="J281" s="429"/>
      <c r="K281" s="429" t="s">
        <v>5</v>
      </c>
      <c r="L281" s="429"/>
      <c r="M281" s="429">
        <v>0</v>
      </c>
    </row>
    <row r="282" spans="1:13" ht="27.6">
      <c r="A282" s="285"/>
      <c r="B282" s="280" t="s">
        <v>526</v>
      </c>
      <c r="C282" s="361">
        <v>42.3</v>
      </c>
      <c r="D282" s="280" t="s">
        <v>5</v>
      </c>
      <c r="E282" s="360">
        <f>'BQ MAPLE POOL'!E281</f>
        <v>115315.31531531531</v>
      </c>
      <c r="F282" s="281">
        <f t="shared" si="19"/>
        <v>4877837.8378378376</v>
      </c>
      <c r="I282" s="429" t="s">
        <v>526</v>
      </c>
      <c r="J282" s="429">
        <v>42.3</v>
      </c>
      <c r="K282" s="429" t="s">
        <v>5</v>
      </c>
      <c r="L282" s="429">
        <v>115315.31531531531</v>
      </c>
      <c r="M282" s="429">
        <v>4877837.8378378376</v>
      </c>
    </row>
    <row r="283" spans="1:13" ht="27.6">
      <c r="A283" s="285"/>
      <c r="B283" s="280" t="s">
        <v>527</v>
      </c>
      <c r="C283" s="361">
        <f>C282*1.05</f>
        <v>44.414999999999999</v>
      </c>
      <c r="D283" s="280" t="s">
        <v>5</v>
      </c>
      <c r="E283" s="360">
        <f>'BQ MAPLE POOL'!E282</f>
        <v>116317.56756756756</v>
      </c>
      <c r="F283" s="281">
        <f t="shared" si="19"/>
        <v>5166244.7635135129</v>
      </c>
      <c r="I283" s="429" t="s">
        <v>872</v>
      </c>
      <c r="J283" s="429">
        <v>44.414999999999999</v>
      </c>
      <c r="K283" s="429" t="s">
        <v>5</v>
      </c>
      <c r="L283" s="429">
        <v>116317.56756756756</v>
      </c>
      <c r="M283" s="429">
        <v>5166244.7635135129</v>
      </c>
    </row>
    <row r="284" spans="1:13" ht="27.6">
      <c r="A284" s="285"/>
      <c r="B284" s="280" t="s">
        <v>226</v>
      </c>
      <c r="C284" s="361">
        <f>2.45*4+1.5</f>
        <v>11.3</v>
      </c>
      <c r="D284" s="280" t="s">
        <v>8</v>
      </c>
      <c r="E284" s="360">
        <f>'BQ MAPLE POOL'!E283</f>
        <v>237572.07207207207</v>
      </c>
      <c r="F284" s="281">
        <f t="shared" si="19"/>
        <v>2684564.4144144147</v>
      </c>
      <c r="I284" s="429" t="s">
        <v>226</v>
      </c>
      <c r="J284" s="429">
        <v>11.3</v>
      </c>
      <c r="K284" s="429" t="s">
        <v>8</v>
      </c>
      <c r="L284" s="429">
        <v>237572.07207207207</v>
      </c>
      <c r="M284" s="429">
        <v>2684564.4144144147</v>
      </c>
    </row>
    <row r="285" spans="1:13">
      <c r="A285" s="285"/>
      <c r="B285" s="280" t="s">
        <v>227</v>
      </c>
      <c r="C285" s="398">
        <v>4</v>
      </c>
      <c r="D285" s="280" t="s">
        <v>204</v>
      </c>
      <c r="E285" s="360">
        <f>17400/1.11+20000</f>
        <v>35675.675675675673</v>
      </c>
      <c r="F285" s="281">
        <f t="shared" si="19"/>
        <v>142702.70270270269</v>
      </c>
      <c r="I285" s="429" t="s">
        <v>227</v>
      </c>
      <c r="J285" s="429">
        <v>4</v>
      </c>
      <c r="K285" s="429" t="s">
        <v>204</v>
      </c>
      <c r="L285" s="429">
        <v>35675.675675675673</v>
      </c>
      <c r="M285" s="429">
        <v>142702.70270270269</v>
      </c>
    </row>
    <row r="286" spans="1:13" ht="27.6">
      <c r="A286" s="285"/>
      <c r="B286" s="280" t="s">
        <v>528</v>
      </c>
      <c r="C286" s="398">
        <v>2</v>
      </c>
      <c r="D286" s="280" t="s">
        <v>204</v>
      </c>
      <c r="E286" s="360">
        <f>E285</f>
        <v>35675.675675675673</v>
      </c>
      <c r="F286" s="281">
        <f t="shared" si="19"/>
        <v>71351.351351351346</v>
      </c>
      <c r="I286" s="429" t="s">
        <v>528</v>
      </c>
      <c r="J286" s="429">
        <v>2</v>
      </c>
      <c r="K286" s="429" t="s">
        <v>204</v>
      </c>
      <c r="L286" s="429">
        <v>35675.675675675673</v>
      </c>
      <c r="M286" s="429">
        <v>71351.351351351346</v>
      </c>
    </row>
    <row r="287" spans="1:13">
      <c r="A287" s="285"/>
      <c r="B287" s="280" t="s">
        <v>529</v>
      </c>
      <c r="C287" s="359">
        <v>0</v>
      </c>
      <c r="D287" s="280" t="s">
        <v>8</v>
      </c>
      <c r="E287" s="360">
        <f>'BQ MAPLE POOL'!E286</f>
        <v>56000</v>
      </c>
      <c r="F287" s="281">
        <f t="shared" si="19"/>
        <v>0</v>
      </c>
      <c r="I287" s="429" t="s">
        <v>529</v>
      </c>
      <c r="J287" s="429">
        <v>0</v>
      </c>
      <c r="K287" s="429" t="s">
        <v>8</v>
      </c>
      <c r="L287" s="429">
        <v>69525</v>
      </c>
      <c r="M287" s="429">
        <v>0</v>
      </c>
    </row>
    <row r="288" spans="1:13">
      <c r="A288" s="285"/>
      <c r="B288" s="280" t="s">
        <v>530</v>
      </c>
      <c r="C288" s="359">
        <v>0</v>
      </c>
      <c r="D288" s="280" t="s">
        <v>8</v>
      </c>
      <c r="E288" s="360">
        <f>'BQ MAPLE POOL'!E287</f>
        <v>0</v>
      </c>
      <c r="F288" s="281">
        <f t="shared" si="19"/>
        <v>0</v>
      </c>
      <c r="I288" s="429" t="s">
        <v>530</v>
      </c>
      <c r="J288" s="429">
        <v>0</v>
      </c>
      <c r="K288" s="429" t="s">
        <v>8</v>
      </c>
      <c r="L288" s="429">
        <v>0</v>
      </c>
      <c r="M288" s="429">
        <v>0</v>
      </c>
    </row>
    <row r="289" spans="1:13">
      <c r="A289" s="285"/>
      <c r="B289" s="280" t="s">
        <v>531</v>
      </c>
      <c r="C289" s="361">
        <v>12.5</v>
      </c>
      <c r="D289" s="280" t="s">
        <v>8</v>
      </c>
      <c r="E289" s="360">
        <f>'BQ MAPLE POOL'!E288</f>
        <v>237125</v>
      </c>
      <c r="F289" s="281">
        <f t="shared" si="19"/>
        <v>2964062.5</v>
      </c>
      <c r="I289" s="429" t="s">
        <v>531</v>
      </c>
      <c r="J289" s="429">
        <v>12.5</v>
      </c>
      <c r="K289" s="429" t="s">
        <v>8</v>
      </c>
      <c r="L289" s="429">
        <v>237125</v>
      </c>
      <c r="M289" s="429">
        <v>2964062.5</v>
      </c>
    </row>
    <row r="290" spans="1:13" ht="27.6">
      <c r="A290" s="285"/>
      <c r="B290" s="280" t="s">
        <v>828</v>
      </c>
      <c r="C290" s="361">
        <f>0.75*2.75</f>
        <v>2.0625</v>
      </c>
      <c r="D290" s="280" t="s">
        <v>5</v>
      </c>
      <c r="E290" s="360">
        <f>'BQ MAPLE POOL'!E289</f>
        <v>850000</v>
      </c>
      <c r="F290" s="281">
        <f t="shared" si="19"/>
        <v>1753125</v>
      </c>
      <c r="I290" s="429" t="s">
        <v>873</v>
      </c>
      <c r="J290" s="429">
        <v>2.0625</v>
      </c>
      <c r="K290" s="429" t="s">
        <v>5</v>
      </c>
      <c r="L290" s="429">
        <v>850000</v>
      </c>
      <c r="M290" s="429">
        <v>1753125</v>
      </c>
    </row>
    <row r="291" spans="1:13" ht="27.6">
      <c r="A291" s="285"/>
      <c r="B291" s="280" t="s">
        <v>532</v>
      </c>
      <c r="C291" s="361">
        <f>0.5*1.1</f>
        <v>0.55000000000000004</v>
      </c>
      <c r="D291" s="280" t="s">
        <v>5</v>
      </c>
      <c r="E291" s="360">
        <f>'BQ MAPLE POOL'!E290</f>
        <v>850000</v>
      </c>
      <c r="F291" s="281">
        <f t="shared" si="19"/>
        <v>467500.00000000006</v>
      </c>
      <c r="I291" s="429" t="s">
        <v>532</v>
      </c>
      <c r="J291" s="429">
        <v>0.55000000000000004</v>
      </c>
      <c r="K291" s="429" t="s">
        <v>5</v>
      </c>
      <c r="L291" s="429">
        <v>850000</v>
      </c>
      <c r="M291" s="429">
        <v>467500.00000000006</v>
      </c>
    </row>
    <row r="292" spans="1:13" ht="27.6">
      <c r="A292" s="285"/>
      <c r="B292" s="280" t="s">
        <v>830</v>
      </c>
      <c r="C292" s="361">
        <f>1.73*0.95</f>
        <v>1.6435</v>
      </c>
      <c r="D292" s="280" t="s">
        <v>5</v>
      </c>
      <c r="E292" s="360">
        <f>'BQ MAPLE POOL'!E291</f>
        <v>850000</v>
      </c>
      <c r="F292" s="281">
        <f t="shared" si="19"/>
        <v>1396975</v>
      </c>
      <c r="I292" s="429" t="s">
        <v>874</v>
      </c>
      <c r="J292" s="429">
        <v>1.6435</v>
      </c>
      <c r="K292" s="429" t="s">
        <v>5</v>
      </c>
      <c r="L292" s="429">
        <v>850000</v>
      </c>
      <c r="M292" s="429">
        <v>1396975</v>
      </c>
    </row>
    <row r="293" spans="1:13" ht="27.6">
      <c r="A293" s="285"/>
      <c r="B293" s="280" t="s">
        <v>831</v>
      </c>
      <c r="C293" s="361">
        <f>2*2.25</f>
        <v>4.5</v>
      </c>
      <c r="D293" s="280" t="s">
        <v>5</v>
      </c>
      <c r="E293" s="360">
        <f>'BQ MAPLE POOL'!E292</f>
        <v>1050000</v>
      </c>
      <c r="F293" s="281">
        <f t="shared" si="19"/>
        <v>4725000</v>
      </c>
      <c r="I293" s="429" t="s">
        <v>875</v>
      </c>
      <c r="J293" s="429">
        <v>4.5</v>
      </c>
      <c r="K293" s="429" t="s">
        <v>5</v>
      </c>
      <c r="L293" s="429">
        <v>1050000</v>
      </c>
      <c r="M293" s="429">
        <v>4725000</v>
      </c>
    </row>
    <row r="294" spans="1:13" ht="27.6">
      <c r="A294" s="285"/>
      <c r="B294" s="280" t="s">
        <v>832</v>
      </c>
      <c r="C294" s="361">
        <f>0.6*2.35</f>
        <v>1.41</v>
      </c>
      <c r="D294" s="280" t="s">
        <v>5</v>
      </c>
      <c r="E294" s="360">
        <f>E293</f>
        <v>1050000</v>
      </c>
      <c r="F294" s="281">
        <f t="shared" si="19"/>
        <v>1480500</v>
      </c>
      <c r="I294" s="429" t="s">
        <v>876</v>
      </c>
      <c r="J294" s="429">
        <v>1.41</v>
      </c>
      <c r="K294" s="429" t="s">
        <v>5</v>
      </c>
      <c r="L294" s="429">
        <v>1050000</v>
      </c>
      <c r="M294" s="429">
        <v>1480500</v>
      </c>
    </row>
    <row r="295" spans="1:13" ht="27.6">
      <c r="A295" s="285"/>
      <c r="B295" s="280" t="s">
        <v>829</v>
      </c>
      <c r="C295" s="361">
        <f>1.72*0.52</f>
        <v>0.89439999999999997</v>
      </c>
      <c r="D295" s="280" t="s">
        <v>5</v>
      </c>
      <c r="E295" s="360">
        <f>'BQ MAPLE POOL'!E294</f>
        <v>850000</v>
      </c>
      <c r="F295" s="281">
        <f t="shared" si="19"/>
        <v>760240</v>
      </c>
      <c r="I295" s="429" t="s">
        <v>829</v>
      </c>
      <c r="J295" s="429">
        <v>0.89439999999999997</v>
      </c>
      <c r="K295" s="429" t="s">
        <v>5</v>
      </c>
      <c r="L295" s="429">
        <v>850000</v>
      </c>
      <c r="M295" s="429">
        <v>760240</v>
      </c>
    </row>
    <row r="296" spans="1:13">
      <c r="A296" s="285"/>
      <c r="B296" s="286" t="s">
        <v>397</v>
      </c>
      <c r="C296" s="361"/>
      <c r="D296" s="280"/>
      <c r="E296" s="281"/>
      <c r="F296" s="281">
        <f t="shared" si="19"/>
        <v>0</v>
      </c>
      <c r="I296" s="429" t="s">
        <v>397</v>
      </c>
      <c r="J296" s="429"/>
      <c r="K296" s="429"/>
      <c r="L296" s="429"/>
      <c r="M296" s="429">
        <v>0</v>
      </c>
    </row>
    <row r="297" spans="1:13">
      <c r="A297" s="285"/>
      <c r="B297" s="286" t="s">
        <v>398</v>
      </c>
      <c r="C297" s="361"/>
      <c r="D297" s="280"/>
      <c r="E297" s="281"/>
      <c r="F297" s="281">
        <f t="shared" si="19"/>
        <v>0</v>
      </c>
      <c r="I297" s="429" t="s">
        <v>398</v>
      </c>
      <c r="J297" s="429"/>
      <c r="K297" s="429"/>
      <c r="L297" s="429"/>
      <c r="M297" s="429">
        <v>0</v>
      </c>
    </row>
    <row r="298" spans="1:13">
      <c r="A298" s="285"/>
      <c r="B298" s="286" t="s">
        <v>399</v>
      </c>
      <c r="C298" s="361"/>
      <c r="D298" s="280"/>
      <c r="E298" s="281"/>
      <c r="F298" s="281">
        <f t="shared" si="19"/>
        <v>0</v>
      </c>
      <c r="I298" s="429" t="s">
        <v>399</v>
      </c>
      <c r="J298" s="429"/>
      <c r="K298" s="429"/>
      <c r="L298" s="429"/>
      <c r="M298" s="429">
        <v>0</v>
      </c>
    </row>
    <row r="299" spans="1:13">
      <c r="A299" s="285"/>
      <c r="B299" s="286"/>
      <c r="C299" s="361"/>
      <c r="D299" s="280"/>
      <c r="E299" s="281"/>
      <c r="F299" s="281"/>
      <c r="I299" s="429"/>
      <c r="J299" s="429"/>
      <c r="K299" s="429"/>
      <c r="L299" s="429"/>
      <c r="M299" s="429"/>
    </row>
    <row r="300" spans="1:13" ht="27.6">
      <c r="A300" s="282" t="s">
        <v>228</v>
      </c>
      <c r="B300" s="282" t="s">
        <v>229</v>
      </c>
      <c r="C300" s="375"/>
      <c r="D300" s="282" t="s">
        <v>7</v>
      </c>
      <c r="E300" s="283"/>
      <c r="F300" s="284">
        <f>SUM(F301:F340)+144200000</f>
        <v>205347733.52252251</v>
      </c>
      <c r="H300" s="403">
        <f>145488191</f>
        <v>145488191</v>
      </c>
      <c r="I300" s="429" t="s">
        <v>229</v>
      </c>
      <c r="J300" s="429"/>
      <c r="K300" s="429" t="s">
        <v>7</v>
      </c>
      <c r="L300" s="429"/>
      <c r="M300" s="429">
        <v>208347733.52252251</v>
      </c>
    </row>
    <row r="301" spans="1:13" ht="27.6">
      <c r="A301" s="285"/>
      <c r="B301" s="280" t="s">
        <v>535</v>
      </c>
      <c r="C301" s="361"/>
      <c r="D301" s="280" t="s">
        <v>7</v>
      </c>
      <c r="E301" s="281"/>
      <c r="F301" s="281">
        <f>+C301*E301</f>
        <v>0</v>
      </c>
      <c r="I301" s="429" t="s">
        <v>535</v>
      </c>
      <c r="J301" s="429"/>
      <c r="K301" s="429" t="s">
        <v>7</v>
      </c>
      <c r="L301" s="429"/>
      <c r="M301" s="429">
        <v>0</v>
      </c>
    </row>
    <row r="302" spans="1:13">
      <c r="A302" s="285"/>
      <c r="B302" s="280" t="s">
        <v>536</v>
      </c>
      <c r="C302" s="356">
        <v>1</v>
      </c>
      <c r="D302" s="280" t="s">
        <v>204</v>
      </c>
      <c r="E302" s="281">
        <f>4664234*0</f>
        <v>0</v>
      </c>
      <c r="F302" s="281">
        <f t="shared" ref="F302:F340" si="20">+C302*E302</f>
        <v>0</v>
      </c>
      <c r="I302" s="429" t="s">
        <v>536</v>
      </c>
      <c r="J302" s="429">
        <v>1</v>
      </c>
      <c r="K302" s="429" t="s">
        <v>204</v>
      </c>
      <c r="L302" s="429">
        <v>0</v>
      </c>
      <c r="M302" s="429">
        <v>0</v>
      </c>
    </row>
    <row r="303" spans="1:13">
      <c r="A303" s="285"/>
      <c r="B303" s="280" t="s">
        <v>537</v>
      </c>
      <c r="C303" s="356">
        <f>1</f>
        <v>1</v>
      </c>
      <c r="D303" s="280" t="s">
        <v>204</v>
      </c>
      <c r="E303" s="281">
        <f>28441018*0</f>
        <v>0</v>
      </c>
      <c r="F303" s="281">
        <f t="shared" si="20"/>
        <v>0</v>
      </c>
      <c r="I303" s="429" t="s">
        <v>537</v>
      </c>
      <c r="J303" s="429">
        <v>1</v>
      </c>
      <c r="K303" s="429" t="s">
        <v>204</v>
      </c>
      <c r="L303" s="429">
        <v>0</v>
      </c>
      <c r="M303" s="429">
        <v>0</v>
      </c>
    </row>
    <row r="304" spans="1:13">
      <c r="A304" s="285"/>
      <c r="B304" s="280" t="s">
        <v>538</v>
      </c>
      <c r="C304" s="356">
        <f>1</f>
        <v>1</v>
      </c>
      <c r="D304" s="280" t="s">
        <v>204</v>
      </c>
      <c r="E304" s="281">
        <f>10681808*0</f>
        <v>0</v>
      </c>
      <c r="F304" s="281">
        <f t="shared" si="20"/>
        <v>0</v>
      </c>
      <c r="I304" s="429" t="s">
        <v>538</v>
      </c>
      <c r="J304" s="429">
        <v>1</v>
      </c>
      <c r="K304" s="429" t="s">
        <v>204</v>
      </c>
      <c r="L304" s="429">
        <v>0</v>
      </c>
      <c r="M304" s="429">
        <v>0</v>
      </c>
    </row>
    <row r="305" spans="1:13">
      <c r="A305" s="285"/>
      <c r="B305" s="280" t="s">
        <v>539</v>
      </c>
      <c r="C305" s="356">
        <v>0</v>
      </c>
      <c r="D305" s="280" t="s">
        <v>204</v>
      </c>
      <c r="E305" s="360">
        <v>0</v>
      </c>
      <c r="F305" s="281">
        <f t="shared" si="20"/>
        <v>0</v>
      </c>
      <c r="I305" s="429" t="s">
        <v>539</v>
      </c>
      <c r="J305" s="429">
        <v>0</v>
      </c>
      <c r="K305" s="429" t="s">
        <v>204</v>
      </c>
      <c r="L305" s="429">
        <v>0</v>
      </c>
      <c r="M305" s="429">
        <v>0</v>
      </c>
    </row>
    <row r="306" spans="1:13">
      <c r="A306" s="285"/>
      <c r="B306" s="280" t="s">
        <v>540</v>
      </c>
      <c r="C306" s="356">
        <f>0+1</f>
        <v>1</v>
      </c>
      <c r="D306" s="280" t="s">
        <v>204</v>
      </c>
      <c r="E306" s="281">
        <f>4795295*0</f>
        <v>0</v>
      </c>
      <c r="F306" s="281">
        <f t="shared" si="20"/>
        <v>0</v>
      </c>
      <c r="I306" s="429" t="s">
        <v>540</v>
      </c>
      <c r="J306" s="429">
        <v>1</v>
      </c>
      <c r="K306" s="429" t="s">
        <v>204</v>
      </c>
      <c r="L306" s="429">
        <v>0</v>
      </c>
      <c r="M306" s="429">
        <v>0</v>
      </c>
    </row>
    <row r="307" spans="1:13">
      <c r="A307" s="285"/>
      <c r="B307" s="280" t="s">
        <v>541</v>
      </c>
      <c r="C307" s="356">
        <f>0+1</f>
        <v>1</v>
      </c>
      <c r="D307" s="280" t="s">
        <v>204</v>
      </c>
      <c r="E307" s="281">
        <f>4453907*0</f>
        <v>0</v>
      </c>
      <c r="F307" s="281">
        <f t="shared" si="20"/>
        <v>0</v>
      </c>
      <c r="I307" s="429" t="s">
        <v>541</v>
      </c>
      <c r="J307" s="429">
        <v>1</v>
      </c>
      <c r="K307" s="429" t="s">
        <v>204</v>
      </c>
      <c r="L307" s="429">
        <v>0</v>
      </c>
      <c r="M307" s="429">
        <v>0</v>
      </c>
    </row>
    <row r="308" spans="1:13">
      <c r="A308" s="285"/>
      <c r="B308" s="280" t="s">
        <v>542</v>
      </c>
      <c r="C308" s="356">
        <f>0+1</f>
        <v>1</v>
      </c>
      <c r="D308" s="280" t="s">
        <v>204</v>
      </c>
      <c r="E308" s="281">
        <f>19094658*0</f>
        <v>0</v>
      </c>
      <c r="F308" s="281">
        <f t="shared" si="20"/>
        <v>0</v>
      </c>
      <c r="I308" s="429" t="s">
        <v>542</v>
      </c>
      <c r="J308" s="429">
        <v>1</v>
      </c>
      <c r="K308" s="429" t="s">
        <v>204</v>
      </c>
      <c r="L308" s="429">
        <v>0</v>
      </c>
      <c r="M308" s="429">
        <v>0</v>
      </c>
    </row>
    <row r="309" spans="1:13">
      <c r="A309" s="285"/>
      <c r="B309" s="280" t="s">
        <v>543</v>
      </c>
      <c r="C309" s="359">
        <v>1</v>
      </c>
      <c r="D309" s="280" t="s">
        <v>204</v>
      </c>
      <c r="E309" s="281">
        <f>5256232*0</f>
        <v>0</v>
      </c>
      <c r="F309" s="281">
        <f t="shared" si="20"/>
        <v>0</v>
      </c>
      <c r="I309" s="429" t="s">
        <v>543</v>
      </c>
      <c r="J309" s="429">
        <v>1</v>
      </c>
      <c r="K309" s="429" t="s">
        <v>204</v>
      </c>
      <c r="L309" s="429">
        <v>0</v>
      </c>
      <c r="M309" s="429">
        <v>0</v>
      </c>
    </row>
    <row r="310" spans="1:13">
      <c r="A310" s="285"/>
      <c r="B310" s="280" t="s">
        <v>544</v>
      </c>
      <c r="C310" s="359">
        <v>1</v>
      </c>
      <c r="D310" s="280" t="s">
        <v>204</v>
      </c>
      <c r="E310" s="281">
        <f>6951325*0</f>
        <v>0</v>
      </c>
      <c r="F310" s="281">
        <f t="shared" si="20"/>
        <v>0</v>
      </c>
      <c r="I310" s="429" t="s">
        <v>544</v>
      </c>
      <c r="J310" s="429">
        <v>1</v>
      </c>
      <c r="K310" s="429" t="s">
        <v>204</v>
      </c>
      <c r="L310" s="429">
        <v>0</v>
      </c>
      <c r="M310" s="429">
        <v>0</v>
      </c>
    </row>
    <row r="311" spans="1:13">
      <c r="A311" s="285"/>
      <c r="B311" s="280" t="s">
        <v>545</v>
      </c>
      <c r="C311" s="359">
        <v>1</v>
      </c>
      <c r="D311" s="280" t="s">
        <v>204</v>
      </c>
      <c r="E311" s="281">
        <f>14189968*0</f>
        <v>0</v>
      </c>
      <c r="F311" s="281">
        <f t="shared" si="20"/>
        <v>0</v>
      </c>
      <c r="I311" s="429" t="s">
        <v>545</v>
      </c>
      <c r="J311" s="429">
        <v>1</v>
      </c>
      <c r="K311" s="429" t="s">
        <v>204</v>
      </c>
      <c r="L311" s="429">
        <v>0</v>
      </c>
      <c r="M311" s="429">
        <v>0</v>
      </c>
    </row>
    <row r="312" spans="1:13">
      <c r="A312" s="285"/>
      <c r="B312" s="280" t="s">
        <v>546</v>
      </c>
      <c r="C312" s="359">
        <v>1</v>
      </c>
      <c r="D312" s="280" t="s">
        <v>204</v>
      </c>
      <c r="E312" s="281">
        <f>8411650*0</f>
        <v>0</v>
      </c>
      <c r="F312" s="281">
        <f t="shared" si="20"/>
        <v>0</v>
      </c>
      <c r="I312" s="429" t="s">
        <v>546</v>
      </c>
      <c r="J312" s="429">
        <v>1</v>
      </c>
      <c r="K312" s="429" t="s">
        <v>204</v>
      </c>
      <c r="L312" s="429">
        <v>0</v>
      </c>
      <c r="M312" s="429">
        <v>0</v>
      </c>
    </row>
    <row r="313" spans="1:13">
      <c r="A313" s="285"/>
      <c r="B313" s="280" t="s">
        <v>547</v>
      </c>
      <c r="C313" s="359">
        <v>1</v>
      </c>
      <c r="D313" s="280" t="s">
        <v>204</v>
      </c>
      <c r="E313" s="281">
        <f>7043439*0</f>
        <v>0</v>
      </c>
      <c r="F313" s="281">
        <f t="shared" si="20"/>
        <v>0</v>
      </c>
      <c r="I313" s="429" t="s">
        <v>547</v>
      </c>
      <c r="J313" s="429">
        <v>1</v>
      </c>
      <c r="K313" s="429" t="s">
        <v>204</v>
      </c>
      <c r="L313" s="429">
        <v>0</v>
      </c>
      <c r="M313" s="429">
        <v>0</v>
      </c>
    </row>
    <row r="314" spans="1:13">
      <c r="A314" s="285"/>
      <c r="B314" s="280" t="s">
        <v>548</v>
      </c>
      <c r="C314" s="359">
        <v>1</v>
      </c>
      <c r="D314" s="280" t="s">
        <v>204</v>
      </c>
      <c r="E314" s="281">
        <f>1060040*0</f>
        <v>0</v>
      </c>
      <c r="F314" s="281">
        <f t="shared" si="20"/>
        <v>0</v>
      </c>
      <c r="I314" s="429" t="s">
        <v>548</v>
      </c>
      <c r="J314" s="429">
        <v>1</v>
      </c>
      <c r="K314" s="429" t="s">
        <v>204</v>
      </c>
      <c r="L314" s="429">
        <v>0</v>
      </c>
      <c r="M314" s="429">
        <v>0</v>
      </c>
    </row>
    <row r="315" spans="1:13">
      <c r="A315" s="285"/>
      <c r="B315" s="280" t="s">
        <v>549</v>
      </c>
      <c r="C315" s="359">
        <v>1</v>
      </c>
      <c r="D315" s="280" t="s">
        <v>204</v>
      </c>
      <c r="E315" s="281">
        <f>2872584*0</f>
        <v>0</v>
      </c>
      <c r="F315" s="281">
        <f t="shared" si="20"/>
        <v>0</v>
      </c>
      <c r="I315" s="429" t="s">
        <v>549</v>
      </c>
      <c r="J315" s="429">
        <v>1</v>
      </c>
      <c r="K315" s="429" t="s">
        <v>204</v>
      </c>
      <c r="L315" s="429">
        <v>0</v>
      </c>
      <c r="M315" s="429">
        <v>0</v>
      </c>
    </row>
    <row r="316" spans="1:13">
      <c r="A316" s="285"/>
      <c r="B316" s="280" t="s">
        <v>550</v>
      </c>
      <c r="C316" s="359">
        <v>1</v>
      </c>
      <c r="D316" s="280" t="s">
        <v>204</v>
      </c>
      <c r="E316" s="281">
        <f>3353630*0</f>
        <v>0</v>
      </c>
      <c r="F316" s="281">
        <f t="shared" si="20"/>
        <v>0</v>
      </c>
      <c r="I316" s="429" t="s">
        <v>550</v>
      </c>
      <c r="J316" s="429">
        <v>1</v>
      </c>
      <c r="K316" s="429" t="s">
        <v>204</v>
      </c>
      <c r="L316" s="429">
        <v>0</v>
      </c>
      <c r="M316" s="429">
        <v>0</v>
      </c>
    </row>
    <row r="317" spans="1:13">
      <c r="A317" s="285"/>
      <c r="B317" s="280" t="s">
        <v>551</v>
      </c>
      <c r="C317" s="359">
        <v>1</v>
      </c>
      <c r="D317" s="280" t="s">
        <v>204</v>
      </c>
      <c r="E317" s="281">
        <f>2877006*0</f>
        <v>0</v>
      </c>
      <c r="F317" s="281">
        <f t="shared" si="20"/>
        <v>0</v>
      </c>
      <c r="I317" s="429" t="s">
        <v>551</v>
      </c>
      <c r="J317" s="429">
        <v>1</v>
      </c>
      <c r="K317" s="429" t="s">
        <v>204</v>
      </c>
      <c r="L317" s="429">
        <v>0</v>
      </c>
      <c r="M317" s="429">
        <v>0</v>
      </c>
    </row>
    <row r="318" spans="1:13">
      <c r="A318" s="285"/>
      <c r="B318" s="280" t="s">
        <v>552</v>
      </c>
      <c r="C318" s="359">
        <v>1</v>
      </c>
      <c r="D318" s="280" t="s">
        <v>204</v>
      </c>
      <c r="E318" s="281">
        <f>3374719*0</f>
        <v>0</v>
      </c>
      <c r="F318" s="281">
        <f t="shared" si="20"/>
        <v>0</v>
      </c>
      <c r="I318" s="429" t="s">
        <v>552</v>
      </c>
      <c r="J318" s="429">
        <v>1</v>
      </c>
      <c r="K318" s="429" t="s">
        <v>204</v>
      </c>
      <c r="L318" s="429">
        <v>0</v>
      </c>
      <c r="M318" s="429">
        <v>0</v>
      </c>
    </row>
    <row r="319" spans="1:13">
      <c r="A319" s="285"/>
      <c r="B319" s="280" t="s">
        <v>553</v>
      </c>
      <c r="C319" s="359">
        <v>1</v>
      </c>
      <c r="D319" s="280" t="s">
        <v>204</v>
      </c>
      <c r="E319" s="281">
        <f>3401785*0</f>
        <v>0</v>
      </c>
      <c r="F319" s="281">
        <f t="shared" si="20"/>
        <v>0</v>
      </c>
      <c r="I319" s="429" t="s">
        <v>553</v>
      </c>
      <c r="J319" s="429">
        <v>1</v>
      </c>
      <c r="K319" s="429" t="s">
        <v>204</v>
      </c>
      <c r="L319" s="429">
        <v>0</v>
      </c>
      <c r="M319" s="429">
        <v>0</v>
      </c>
    </row>
    <row r="320" spans="1:13">
      <c r="A320" s="285"/>
      <c r="B320" s="280" t="s">
        <v>554</v>
      </c>
      <c r="C320" s="359">
        <v>1</v>
      </c>
      <c r="D320" s="280" t="s">
        <v>204</v>
      </c>
      <c r="E320" s="281">
        <f>5528272*0</f>
        <v>0</v>
      </c>
      <c r="F320" s="281">
        <f t="shared" si="20"/>
        <v>0</v>
      </c>
      <c r="I320" s="429" t="s">
        <v>554</v>
      </c>
      <c r="J320" s="429">
        <v>1</v>
      </c>
      <c r="K320" s="429" t="s">
        <v>204</v>
      </c>
      <c r="L320" s="429">
        <v>0</v>
      </c>
      <c r="M320" s="429">
        <v>0</v>
      </c>
    </row>
    <row r="321" spans="1:13">
      <c r="A321" s="285"/>
      <c r="B321" s="280" t="s">
        <v>555</v>
      </c>
      <c r="C321" s="359">
        <v>1</v>
      </c>
      <c r="D321" s="280" t="s">
        <v>204</v>
      </c>
      <c r="E321" s="281">
        <f>460334*0</f>
        <v>0</v>
      </c>
      <c r="F321" s="281">
        <f t="shared" si="20"/>
        <v>0</v>
      </c>
      <c r="I321" s="429" t="s">
        <v>555</v>
      </c>
      <c r="J321" s="429">
        <v>1</v>
      </c>
      <c r="K321" s="429" t="s">
        <v>204</v>
      </c>
      <c r="L321" s="429">
        <v>0</v>
      </c>
      <c r="M321" s="429">
        <v>0</v>
      </c>
    </row>
    <row r="322" spans="1:13">
      <c r="A322" s="285"/>
      <c r="B322" s="280" t="s">
        <v>556</v>
      </c>
      <c r="C322" s="359">
        <v>1</v>
      </c>
      <c r="D322" s="280" t="s">
        <v>204</v>
      </c>
      <c r="E322" s="281">
        <f>594236*0</f>
        <v>0</v>
      </c>
      <c r="F322" s="281">
        <f t="shared" si="20"/>
        <v>0</v>
      </c>
      <c r="I322" s="429" t="s">
        <v>556</v>
      </c>
      <c r="J322" s="429">
        <v>1</v>
      </c>
      <c r="K322" s="429" t="s">
        <v>204</v>
      </c>
      <c r="L322" s="429">
        <v>0</v>
      </c>
      <c r="M322" s="429">
        <v>0</v>
      </c>
    </row>
    <row r="323" spans="1:13">
      <c r="A323" s="285"/>
      <c r="B323" s="280" t="s">
        <v>557</v>
      </c>
      <c r="C323" s="359">
        <v>1</v>
      </c>
      <c r="D323" s="280" t="s">
        <v>204</v>
      </c>
      <c r="E323" s="281">
        <f>1250269*0</f>
        <v>0</v>
      </c>
      <c r="F323" s="281">
        <f t="shared" si="20"/>
        <v>0</v>
      </c>
      <c r="I323" s="429" t="s">
        <v>557</v>
      </c>
      <c r="J323" s="429">
        <v>1</v>
      </c>
      <c r="K323" s="429" t="s">
        <v>204</v>
      </c>
      <c r="L323" s="429">
        <v>0</v>
      </c>
      <c r="M323" s="429">
        <v>0</v>
      </c>
    </row>
    <row r="324" spans="1:13">
      <c r="A324" s="285"/>
      <c r="B324" s="285"/>
      <c r="C324" s="361"/>
      <c r="D324" s="285"/>
      <c r="E324" s="281"/>
      <c r="F324" s="281">
        <f t="shared" si="20"/>
        <v>0</v>
      </c>
      <c r="I324" s="429"/>
      <c r="J324" s="429"/>
      <c r="K324" s="429"/>
      <c r="L324" s="429"/>
      <c r="M324" s="429">
        <v>0</v>
      </c>
    </row>
    <row r="325" spans="1:13">
      <c r="A325" s="285"/>
      <c r="B325" s="280" t="s">
        <v>558</v>
      </c>
      <c r="C325" s="361"/>
      <c r="D325" s="285"/>
      <c r="E325" s="281"/>
      <c r="F325" s="281">
        <f t="shared" si="20"/>
        <v>0</v>
      </c>
      <c r="I325" s="429" t="s">
        <v>558</v>
      </c>
      <c r="J325" s="429"/>
      <c r="K325" s="429"/>
      <c r="L325" s="429"/>
      <c r="M325" s="429">
        <v>0</v>
      </c>
    </row>
    <row r="326" spans="1:13">
      <c r="A326" s="285"/>
      <c r="B326" s="280" t="s">
        <v>559</v>
      </c>
      <c r="C326" s="361"/>
      <c r="D326" s="285"/>
      <c r="E326" s="281"/>
      <c r="F326" s="281">
        <f t="shared" si="20"/>
        <v>0</v>
      </c>
      <c r="I326" s="429" t="s">
        <v>559</v>
      </c>
      <c r="J326" s="429"/>
      <c r="K326" s="429"/>
      <c r="L326" s="429"/>
      <c r="M326" s="429">
        <v>0</v>
      </c>
    </row>
    <row r="327" spans="1:13">
      <c r="A327" s="285"/>
      <c r="B327" s="280" t="s">
        <v>560</v>
      </c>
      <c r="C327" s="356">
        <f>1</f>
        <v>1</v>
      </c>
      <c r="D327" s="280" t="s">
        <v>204</v>
      </c>
      <c r="E327" s="281">
        <f>'BQ MAPLE POOL'!E326</f>
        <v>2802319.8198198196</v>
      </c>
      <c r="F327" s="281">
        <f t="shared" si="20"/>
        <v>2802319.8198198196</v>
      </c>
      <c r="I327" s="429" t="s">
        <v>560</v>
      </c>
      <c r="J327" s="429">
        <v>1</v>
      </c>
      <c r="K327" s="429" t="s">
        <v>204</v>
      </c>
      <c r="L327" s="429">
        <v>3052319.8198198196</v>
      </c>
      <c r="M327" s="429">
        <v>3052319.8198198196</v>
      </c>
    </row>
    <row r="328" spans="1:13">
      <c r="A328" s="285"/>
      <c r="B328" s="280" t="s">
        <v>561</v>
      </c>
      <c r="C328" s="356">
        <f>2</f>
        <v>2</v>
      </c>
      <c r="D328" s="280" t="s">
        <v>204</v>
      </c>
      <c r="E328" s="281">
        <f>'BQ MAPLE POOL'!E327</f>
        <v>4516261.261261262</v>
      </c>
      <c r="F328" s="281">
        <f t="shared" si="20"/>
        <v>9032522.522522524</v>
      </c>
      <c r="I328" s="429" t="s">
        <v>561</v>
      </c>
      <c r="J328" s="429">
        <v>2</v>
      </c>
      <c r="K328" s="429" t="s">
        <v>204</v>
      </c>
      <c r="L328" s="429">
        <v>4766261.261261262</v>
      </c>
      <c r="M328" s="429">
        <v>9532522.522522524</v>
      </c>
    </row>
    <row r="329" spans="1:13">
      <c r="A329" s="285"/>
      <c r="B329" s="280" t="s">
        <v>562</v>
      </c>
      <c r="C329" s="356">
        <f>1</f>
        <v>1</v>
      </c>
      <c r="D329" s="280" t="s">
        <v>204</v>
      </c>
      <c r="E329" s="281">
        <f>'BQ MAPLE POOL'!E328</f>
        <v>4705450.4504504511</v>
      </c>
      <c r="F329" s="281">
        <f t="shared" si="20"/>
        <v>4705450.4504504511</v>
      </c>
      <c r="I329" s="429" t="s">
        <v>562</v>
      </c>
      <c r="J329" s="429">
        <v>1</v>
      </c>
      <c r="K329" s="429" t="s">
        <v>204</v>
      </c>
      <c r="L329" s="429">
        <v>4955450.4504504511</v>
      </c>
      <c r="M329" s="429">
        <v>4955450.4504504511</v>
      </c>
    </row>
    <row r="330" spans="1:13">
      <c r="A330" s="285"/>
      <c r="B330" s="280" t="s">
        <v>563</v>
      </c>
      <c r="C330" s="356">
        <f>1</f>
        <v>1</v>
      </c>
      <c r="D330" s="280" t="s">
        <v>204</v>
      </c>
      <c r="E330" s="281">
        <f>'BQ MAPLE POOL'!E329</f>
        <v>4955450.4504504511</v>
      </c>
      <c r="F330" s="281">
        <f t="shared" si="20"/>
        <v>4955450.4504504511</v>
      </c>
      <c r="I330" s="429" t="s">
        <v>563</v>
      </c>
      <c r="J330" s="429">
        <v>1</v>
      </c>
      <c r="K330" s="429" t="s">
        <v>204</v>
      </c>
      <c r="L330" s="429">
        <v>5205450.4504504511</v>
      </c>
      <c r="M330" s="429">
        <v>5205450.4504504511</v>
      </c>
    </row>
    <row r="331" spans="1:13">
      <c r="A331" s="285"/>
      <c r="B331" s="280" t="s">
        <v>564</v>
      </c>
      <c r="C331" s="356">
        <f>1</f>
        <v>1</v>
      </c>
      <c r="D331" s="280" t="s">
        <v>204</v>
      </c>
      <c r="E331" s="281">
        <f>'BQ MAPLE POOL'!E330</f>
        <v>10837197.486486485</v>
      </c>
      <c r="F331" s="281">
        <f t="shared" si="20"/>
        <v>10837197.486486485</v>
      </c>
      <c r="I331" s="429" t="s">
        <v>564</v>
      </c>
      <c r="J331" s="429">
        <v>1</v>
      </c>
      <c r="K331" s="429" t="s">
        <v>204</v>
      </c>
      <c r="L331" s="429">
        <v>11087197.486486485</v>
      </c>
      <c r="M331" s="429">
        <v>11087197.486486485</v>
      </c>
    </row>
    <row r="332" spans="1:13">
      <c r="A332" s="285"/>
      <c r="B332" s="280" t="s">
        <v>565</v>
      </c>
      <c r="C332" s="356">
        <f>1</f>
        <v>1</v>
      </c>
      <c r="D332" s="280" t="s">
        <v>204</v>
      </c>
      <c r="E332" s="281">
        <f>'BQ MAPLE POOL'!E331</f>
        <v>4134819.8198198201</v>
      </c>
      <c r="F332" s="281">
        <f t="shared" si="20"/>
        <v>4134819.8198198201</v>
      </c>
      <c r="I332" s="429" t="s">
        <v>565</v>
      </c>
      <c r="J332" s="429">
        <v>1</v>
      </c>
      <c r="K332" s="429" t="s">
        <v>204</v>
      </c>
      <c r="L332" s="429">
        <v>4384819.8198198201</v>
      </c>
      <c r="M332" s="429">
        <v>4384819.8198198201</v>
      </c>
    </row>
    <row r="333" spans="1:13">
      <c r="A333" s="285"/>
      <c r="B333" s="285"/>
      <c r="C333" s="356"/>
      <c r="D333" s="285"/>
      <c r="E333" s="281">
        <f>'BQ MAPLE POOL'!E332</f>
        <v>0</v>
      </c>
      <c r="F333" s="281">
        <f t="shared" si="20"/>
        <v>0</v>
      </c>
      <c r="I333" s="429"/>
      <c r="J333" s="429"/>
      <c r="K333" s="429"/>
      <c r="L333" s="429">
        <v>0</v>
      </c>
      <c r="M333" s="429">
        <v>0</v>
      </c>
    </row>
    <row r="334" spans="1:13">
      <c r="A334" s="285"/>
      <c r="B334" s="280" t="s">
        <v>566</v>
      </c>
      <c r="C334" s="356"/>
      <c r="D334" s="285"/>
      <c r="E334" s="281">
        <f>'BQ MAPLE POOL'!E333</f>
        <v>0</v>
      </c>
      <c r="F334" s="281">
        <f t="shared" si="20"/>
        <v>0</v>
      </c>
      <c r="I334" s="429" t="s">
        <v>566</v>
      </c>
      <c r="J334" s="429"/>
      <c r="K334" s="429"/>
      <c r="L334" s="429">
        <v>0</v>
      </c>
      <c r="M334" s="429">
        <v>0</v>
      </c>
    </row>
    <row r="335" spans="1:13">
      <c r="A335" s="285"/>
      <c r="B335" s="280" t="s">
        <v>567</v>
      </c>
      <c r="C335" s="356">
        <f>3</f>
        <v>3</v>
      </c>
      <c r="D335" s="280" t="s">
        <v>204</v>
      </c>
      <c r="E335" s="281">
        <f>'BQ MAPLE POOL'!E334</f>
        <v>4955450.4504504511</v>
      </c>
      <c r="F335" s="281">
        <f t="shared" si="20"/>
        <v>14866351.351351354</v>
      </c>
      <c r="I335" s="429" t="s">
        <v>567</v>
      </c>
      <c r="J335" s="429">
        <v>3</v>
      </c>
      <c r="K335" s="429" t="s">
        <v>204</v>
      </c>
      <c r="L335" s="429">
        <v>5205450.4504504511</v>
      </c>
      <c r="M335" s="429">
        <v>15616351.351351354</v>
      </c>
    </row>
    <row r="336" spans="1:13">
      <c r="A336" s="285"/>
      <c r="B336" s="280" t="s">
        <v>568</v>
      </c>
      <c r="C336" s="356">
        <f>1</f>
        <v>1</v>
      </c>
      <c r="D336" s="280" t="s">
        <v>204</v>
      </c>
      <c r="E336" s="281">
        <f>'BQ MAPLE POOL'!E335</f>
        <v>4705450.4504504511</v>
      </c>
      <c r="F336" s="281">
        <f t="shared" si="20"/>
        <v>4705450.4504504511</v>
      </c>
      <c r="I336" s="429" t="s">
        <v>568</v>
      </c>
      <c r="J336" s="429">
        <v>1</v>
      </c>
      <c r="K336" s="429" t="s">
        <v>204</v>
      </c>
      <c r="L336" s="429">
        <v>4955450.4504504511</v>
      </c>
      <c r="M336" s="429">
        <v>4955450.4504504511</v>
      </c>
    </row>
    <row r="337" spans="1:13">
      <c r="A337" s="285"/>
      <c r="B337" s="280" t="s">
        <v>569</v>
      </c>
      <c r="C337" s="356">
        <f>1</f>
        <v>1</v>
      </c>
      <c r="D337" s="280" t="s">
        <v>204</v>
      </c>
      <c r="E337" s="281">
        <f>'BQ MAPLE POOL'!E336</f>
        <v>5108171.1711711707</v>
      </c>
      <c r="F337" s="281">
        <f t="shared" si="20"/>
        <v>5108171.1711711707</v>
      </c>
      <c r="I337" s="429" t="s">
        <v>569</v>
      </c>
      <c r="J337" s="429">
        <v>1</v>
      </c>
      <c r="K337" s="429" t="s">
        <v>204</v>
      </c>
      <c r="L337" s="429">
        <v>5358171.1711711707</v>
      </c>
      <c r="M337" s="429">
        <v>5358171.1711711707</v>
      </c>
    </row>
    <row r="338" spans="1:13">
      <c r="A338" s="285"/>
      <c r="B338" s="286" t="s">
        <v>397</v>
      </c>
      <c r="C338" s="356"/>
      <c r="D338" s="280"/>
      <c r="E338" s="281"/>
      <c r="F338" s="281">
        <f t="shared" si="20"/>
        <v>0</v>
      </c>
      <c r="I338" s="429" t="s">
        <v>397</v>
      </c>
      <c r="J338" s="429"/>
      <c r="K338" s="429"/>
      <c r="L338" s="429"/>
      <c r="M338" s="429">
        <v>0</v>
      </c>
    </row>
    <row r="339" spans="1:13">
      <c r="A339" s="285"/>
      <c r="B339" s="286"/>
      <c r="C339" s="359"/>
      <c r="D339" s="280"/>
      <c r="E339" s="360"/>
      <c r="F339" s="281">
        <f t="shared" si="20"/>
        <v>0</v>
      </c>
      <c r="I339" s="429"/>
      <c r="J339" s="429"/>
      <c r="K339" s="429"/>
      <c r="L339" s="429"/>
      <c r="M339" s="429">
        <v>0</v>
      </c>
    </row>
    <row r="340" spans="1:13">
      <c r="A340" s="285"/>
      <c r="B340" s="286"/>
      <c r="C340" s="361"/>
      <c r="D340" s="280"/>
      <c r="E340" s="360"/>
      <c r="F340" s="281">
        <f t="shared" si="20"/>
        <v>0</v>
      </c>
      <c r="I340" s="429"/>
      <c r="J340" s="429"/>
      <c r="K340" s="429"/>
      <c r="L340" s="429"/>
      <c r="M340" s="429">
        <v>0</v>
      </c>
    </row>
    <row r="341" spans="1:13">
      <c r="A341" s="285"/>
      <c r="B341" s="280"/>
      <c r="C341" s="361"/>
      <c r="D341" s="280"/>
      <c r="E341" s="281"/>
      <c r="F341" s="281"/>
      <c r="I341" s="429"/>
      <c r="J341" s="429"/>
      <c r="K341" s="429"/>
      <c r="L341" s="429"/>
      <c r="M341" s="429"/>
    </row>
    <row r="342" spans="1:13" ht="27.6">
      <c r="A342" s="282" t="s">
        <v>27</v>
      </c>
      <c r="B342" s="282" t="s">
        <v>28</v>
      </c>
      <c r="C342" s="375"/>
      <c r="D342" s="282" t="s">
        <v>5</v>
      </c>
      <c r="E342" s="283"/>
      <c r="F342" s="284">
        <f>SUM(F343:F350)</f>
        <v>13804241.77251984</v>
      </c>
      <c r="I342" s="429" t="s">
        <v>28</v>
      </c>
      <c r="J342" s="429"/>
      <c r="K342" s="429" t="s">
        <v>5</v>
      </c>
      <c r="L342" s="429"/>
      <c r="M342" s="429">
        <v>13804241.77251984</v>
      </c>
    </row>
    <row r="343" spans="1:13">
      <c r="A343" s="285"/>
      <c r="B343" s="280" t="s">
        <v>230</v>
      </c>
      <c r="C343" s="361"/>
      <c r="D343" s="280" t="s">
        <v>5</v>
      </c>
      <c r="E343" s="281"/>
      <c r="F343" s="281">
        <f t="shared" ref="F343:F350" si="21">+C343*E343</f>
        <v>0</v>
      </c>
      <c r="I343" s="429" t="s">
        <v>230</v>
      </c>
      <c r="J343" s="429"/>
      <c r="K343" s="429" t="s">
        <v>5</v>
      </c>
      <c r="L343" s="429"/>
      <c r="M343" s="429">
        <v>0</v>
      </c>
    </row>
    <row r="344" spans="1:13">
      <c r="A344" s="285"/>
      <c r="B344" s="280" t="s">
        <v>570</v>
      </c>
      <c r="C344" s="361">
        <v>54</v>
      </c>
      <c r="D344" s="280" t="s">
        <v>5</v>
      </c>
      <c r="E344" s="281">
        <f>'BQ MAPLE POOL'!E343</f>
        <v>41282.142857142855</v>
      </c>
      <c r="F344" s="281">
        <f t="shared" si="21"/>
        <v>2229235.7142857141</v>
      </c>
      <c r="I344" s="429" t="s">
        <v>570</v>
      </c>
      <c r="J344" s="429">
        <v>54</v>
      </c>
      <c r="K344" s="429" t="s">
        <v>5</v>
      </c>
      <c r="L344" s="429">
        <v>41282.142857142855</v>
      </c>
      <c r="M344" s="429">
        <v>2229235.7142857141</v>
      </c>
    </row>
    <row r="345" spans="1:13">
      <c r="A345" s="285"/>
      <c r="B345" s="280" t="s">
        <v>571</v>
      </c>
      <c r="C345" s="361">
        <f>(88.1*3.5-58.73-20.23)*0+330</f>
        <v>330</v>
      </c>
      <c r="D345" s="280" t="s">
        <v>5</v>
      </c>
      <c r="E345" s="281">
        <f>'BQ MAPLE POOL'!E344</f>
        <v>27631.349206349205</v>
      </c>
      <c r="F345" s="281">
        <f t="shared" si="21"/>
        <v>9118345.2380952369</v>
      </c>
      <c r="I345" s="429" t="s">
        <v>571</v>
      </c>
      <c r="J345" s="429">
        <v>330</v>
      </c>
      <c r="K345" s="429" t="s">
        <v>5</v>
      </c>
      <c r="L345" s="429">
        <v>27631.349206349205</v>
      </c>
      <c r="M345" s="429">
        <v>9118345.2380952369</v>
      </c>
    </row>
    <row r="346" spans="1:13">
      <c r="A346" s="285"/>
      <c r="B346" s="280" t="s">
        <v>572</v>
      </c>
      <c r="C346" s="361">
        <f>C211</f>
        <v>70.40300000000002</v>
      </c>
      <c r="D346" s="280" t="s">
        <v>5</v>
      </c>
      <c r="E346" s="281">
        <f>'BQ MAPLE POOL'!E345</f>
        <v>27631.349206349205</v>
      </c>
      <c r="F346" s="281">
        <f t="shared" si="21"/>
        <v>1945329.8781746037</v>
      </c>
      <c r="I346" s="429" t="s">
        <v>572</v>
      </c>
      <c r="J346" s="429">
        <v>70.40300000000002</v>
      </c>
      <c r="K346" s="429" t="s">
        <v>5</v>
      </c>
      <c r="L346" s="429">
        <v>27631.349206349205</v>
      </c>
      <c r="M346" s="429">
        <v>1945329.8781746037</v>
      </c>
    </row>
    <row r="347" spans="1:13">
      <c r="A347" s="285"/>
      <c r="B347" s="280" t="s">
        <v>573</v>
      </c>
      <c r="C347" s="361">
        <f>C212</f>
        <v>12.38625</v>
      </c>
      <c r="D347" s="280" t="s">
        <v>5</v>
      </c>
      <c r="E347" s="281">
        <f>'BQ MAPLE POOL'!E346</f>
        <v>41282.142857142855</v>
      </c>
      <c r="F347" s="281">
        <f>+C347*E347</f>
        <v>511330.94196428568</v>
      </c>
      <c r="I347" s="429" t="s">
        <v>573</v>
      </c>
      <c r="J347" s="429">
        <v>12.38625</v>
      </c>
      <c r="K347" s="429" t="s">
        <v>5</v>
      </c>
      <c r="L347" s="429">
        <v>41282.142857142855</v>
      </c>
      <c r="M347" s="429">
        <v>511330.94196428568</v>
      </c>
    </row>
    <row r="348" spans="1:13">
      <c r="A348" s="285"/>
      <c r="B348" s="286" t="s">
        <v>397</v>
      </c>
      <c r="C348" s="361"/>
      <c r="D348" s="280"/>
      <c r="E348" s="281"/>
      <c r="F348" s="281">
        <f t="shared" si="21"/>
        <v>0</v>
      </c>
      <c r="I348" s="429" t="s">
        <v>397</v>
      </c>
      <c r="J348" s="429"/>
      <c r="K348" s="429"/>
      <c r="L348" s="429"/>
      <c r="M348" s="429">
        <v>0</v>
      </c>
    </row>
    <row r="349" spans="1:13">
      <c r="A349" s="285"/>
      <c r="B349" s="286" t="s">
        <v>398</v>
      </c>
      <c r="C349" s="361"/>
      <c r="D349" s="280"/>
      <c r="E349" s="281"/>
      <c r="F349" s="281">
        <f t="shared" si="21"/>
        <v>0</v>
      </c>
      <c r="I349" s="429" t="s">
        <v>398</v>
      </c>
      <c r="J349" s="429"/>
      <c r="K349" s="429"/>
      <c r="L349" s="429"/>
      <c r="M349" s="429">
        <v>0</v>
      </c>
    </row>
    <row r="350" spans="1:13">
      <c r="A350" s="285"/>
      <c r="B350" s="286" t="s">
        <v>399</v>
      </c>
      <c r="C350" s="361"/>
      <c r="D350" s="280"/>
      <c r="E350" s="281"/>
      <c r="F350" s="281">
        <f t="shared" si="21"/>
        <v>0</v>
      </c>
      <c r="I350" s="429" t="s">
        <v>399</v>
      </c>
      <c r="J350" s="429"/>
      <c r="K350" s="429"/>
      <c r="L350" s="429"/>
      <c r="M350" s="429">
        <v>0</v>
      </c>
    </row>
    <row r="351" spans="1:13">
      <c r="A351" s="285"/>
      <c r="B351" s="280"/>
      <c r="C351" s="361"/>
      <c r="D351" s="280"/>
      <c r="E351" s="281"/>
      <c r="F351" s="281"/>
      <c r="I351" s="429"/>
      <c r="J351" s="429"/>
      <c r="K351" s="429"/>
      <c r="L351" s="429"/>
      <c r="M351" s="429"/>
    </row>
    <row r="352" spans="1:13" ht="27.6">
      <c r="A352" s="282" t="s">
        <v>231</v>
      </c>
      <c r="B352" s="282" t="s">
        <v>232</v>
      </c>
      <c r="C352" s="375"/>
      <c r="D352" s="282" t="s">
        <v>5</v>
      </c>
      <c r="E352" s="283"/>
      <c r="F352" s="284">
        <f>SUM(F353:F360)</f>
        <v>16284760.998015873</v>
      </c>
      <c r="I352" s="429" t="s">
        <v>232</v>
      </c>
      <c r="J352" s="429"/>
      <c r="K352" s="429" t="s">
        <v>5</v>
      </c>
      <c r="L352" s="429"/>
      <c r="M352" s="429">
        <v>16284760.998015873</v>
      </c>
    </row>
    <row r="353" spans="1:13">
      <c r="A353" s="285"/>
      <c r="B353" s="280" t="s">
        <v>233</v>
      </c>
      <c r="C353" s="361"/>
      <c r="D353" s="280" t="s">
        <v>5</v>
      </c>
      <c r="E353" s="281"/>
      <c r="F353" s="281">
        <f t="shared" ref="F353:F360" si="22">+C353*E353</f>
        <v>0</v>
      </c>
      <c r="I353" s="429" t="s">
        <v>233</v>
      </c>
      <c r="J353" s="429"/>
      <c r="K353" s="429" t="s">
        <v>5</v>
      </c>
      <c r="L353" s="429"/>
      <c r="M353" s="429">
        <v>0</v>
      </c>
    </row>
    <row r="354" spans="1:13">
      <c r="A354" s="285"/>
      <c r="B354" s="280" t="s">
        <v>570</v>
      </c>
      <c r="C354" s="361">
        <v>120</v>
      </c>
      <c r="D354" s="280" t="s">
        <v>5</v>
      </c>
      <c r="E354" s="281">
        <f>'BQ MAPLE POOL'!E353</f>
        <v>41282.142857142855</v>
      </c>
      <c r="F354" s="281">
        <f t="shared" si="22"/>
        <v>4953857.1428571427</v>
      </c>
      <c r="I354" s="429" t="s">
        <v>570</v>
      </c>
      <c r="J354" s="429">
        <v>120</v>
      </c>
      <c r="K354" s="429" t="s">
        <v>5</v>
      </c>
      <c r="L354" s="429">
        <v>41282.142857142855</v>
      </c>
      <c r="M354" s="429">
        <v>4953857.1428571427</v>
      </c>
    </row>
    <row r="355" spans="1:13">
      <c r="A355" s="285"/>
      <c r="B355" s="280" t="s">
        <v>571</v>
      </c>
      <c r="C355" s="361">
        <f>(105.95*3.2-57.75-19-22)*0+320</f>
        <v>320</v>
      </c>
      <c r="D355" s="280" t="s">
        <v>5</v>
      </c>
      <c r="E355" s="281">
        <f>'BQ MAPLE POOL'!E354</f>
        <v>27631.349206349205</v>
      </c>
      <c r="F355" s="281">
        <f t="shared" si="22"/>
        <v>8842031.7460317463</v>
      </c>
      <c r="I355" s="429" t="s">
        <v>571</v>
      </c>
      <c r="J355" s="429">
        <v>320</v>
      </c>
      <c r="K355" s="429" t="s">
        <v>5</v>
      </c>
      <c r="L355" s="429">
        <v>27631.349206349205</v>
      </c>
      <c r="M355" s="429">
        <v>8842031.7460317463</v>
      </c>
    </row>
    <row r="356" spans="1:13">
      <c r="A356" s="285"/>
      <c r="B356" s="280" t="s">
        <v>572</v>
      </c>
      <c r="C356" s="361">
        <f>C221</f>
        <v>67.97</v>
      </c>
      <c r="D356" s="280" t="s">
        <v>5</v>
      </c>
      <c r="E356" s="281">
        <f>'BQ MAPLE POOL'!E355</f>
        <v>27631.349206349205</v>
      </c>
      <c r="F356" s="281">
        <f t="shared" si="22"/>
        <v>1878102.8055555555</v>
      </c>
      <c r="I356" s="429" t="s">
        <v>572</v>
      </c>
      <c r="J356" s="429">
        <v>67.97</v>
      </c>
      <c r="K356" s="429" t="s">
        <v>5</v>
      </c>
      <c r="L356" s="429">
        <v>27631.349206349205</v>
      </c>
      <c r="M356" s="429">
        <v>1878102.8055555555</v>
      </c>
    </row>
    <row r="357" spans="1:13">
      <c r="A357" s="285"/>
      <c r="B357" s="280" t="s">
        <v>573</v>
      </c>
      <c r="C357" s="361">
        <f>C222</f>
        <v>14.794999999999998</v>
      </c>
      <c r="D357" s="280" t="s">
        <v>5</v>
      </c>
      <c r="E357" s="281">
        <f>'BQ MAPLE POOL'!E356</f>
        <v>41282.142857142855</v>
      </c>
      <c r="F357" s="281">
        <f t="shared" si="22"/>
        <v>610769.30357142852</v>
      </c>
      <c r="I357" s="429" t="s">
        <v>573</v>
      </c>
      <c r="J357" s="429">
        <v>14.794999999999998</v>
      </c>
      <c r="K357" s="429" t="s">
        <v>5</v>
      </c>
      <c r="L357" s="429">
        <v>41282.142857142855</v>
      </c>
      <c r="M357" s="429">
        <v>610769.30357142852</v>
      </c>
    </row>
    <row r="358" spans="1:13">
      <c r="A358" s="285"/>
      <c r="B358" s="286" t="s">
        <v>397</v>
      </c>
      <c r="C358" s="361"/>
      <c r="D358" s="280"/>
      <c r="E358" s="281"/>
      <c r="F358" s="281">
        <f t="shared" si="22"/>
        <v>0</v>
      </c>
      <c r="I358" s="429" t="s">
        <v>397</v>
      </c>
      <c r="J358" s="429"/>
      <c r="K358" s="429"/>
      <c r="L358" s="429"/>
      <c r="M358" s="429">
        <v>0</v>
      </c>
    </row>
    <row r="359" spans="1:13">
      <c r="A359" s="285"/>
      <c r="B359" s="286" t="s">
        <v>398</v>
      </c>
      <c r="C359" s="361"/>
      <c r="D359" s="280"/>
      <c r="E359" s="281"/>
      <c r="F359" s="281">
        <f t="shared" si="22"/>
        <v>0</v>
      </c>
      <c r="I359" s="429" t="s">
        <v>398</v>
      </c>
      <c r="J359" s="429"/>
      <c r="K359" s="429"/>
      <c r="L359" s="429"/>
      <c r="M359" s="429">
        <v>0</v>
      </c>
    </row>
    <row r="360" spans="1:13">
      <c r="A360" s="285"/>
      <c r="B360" s="286" t="s">
        <v>399</v>
      </c>
      <c r="C360" s="361"/>
      <c r="D360" s="280"/>
      <c r="E360" s="281"/>
      <c r="F360" s="281">
        <f t="shared" si="22"/>
        <v>0</v>
      </c>
      <c r="I360" s="429" t="s">
        <v>399</v>
      </c>
      <c r="J360" s="429"/>
      <c r="K360" s="429"/>
      <c r="L360" s="429"/>
      <c r="M360" s="429">
        <v>0</v>
      </c>
    </row>
    <row r="361" spans="1:13">
      <c r="A361" s="285"/>
      <c r="B361" s="280"/>
      <c r="C361" s="361"/>
      <c r="D361" s="280"/>
      <c r="E361" s="281"/>
      <c r="F361" s="281"/>
      <c r="I361" s="429"/>
      <c r="J361" s="429"/>
      <c r="K361" s="429"/>
      <c r="L361" s="429"/>
      <c r="M361" s="429"/>
    </row>
    <row r="362" spans="1:13" ht="27.6">
      <c r="A362" s="282" t="s">
        <v>574</v>
      </c>
      <c r="B362" s="282" t="s">
        <v>575</v>
      </c>
      <c r="C362" s="375">
        <v>1</v>
      </c>
      <c r="D362" s="282" t="s">
        <v>8</v>
      </c>
      <c r="E362" s="283"/>
      <c r="F362" s="284">
        <f>SUM(F363:F370)</f>
        <v>4095714.5297619044</v>
      </c>
      <c r="I362" s="429" t="s">
        <v>575</v>
      </c>
      <c r="J362" s="429">
        <v>1</v>
      </c>
      <c r="K362" s="429" t="s">
        <v>8</v>
      </c>
      <c r="L362" s="429"/>
      <c r="M362" s="429">
        <v>4095714.5297619044</v>
      </c>
    </row>
    <row r="363" spans="1:13">
      <c r="A363" s="285"/>
      <c r="B363" s="280" t="s">
        <v>576</v>
      </c>
      <c r="C363" s="361">
        <v>1</v>
      </c>
      <c r="D363" s="280" t="s">
        <v>8</v>
      </c>
      <c r="E363" s="281"/>
      <c r="F363" s="281">
        <f t="shared" ref="F363:F370" si="23">+C363*E363</f>
        <v>0</v>
      </c>
      <c r="I363" s="429" t="s">
        <v>576</v>
      </c>
      <c r="J363" s="429">
        <v>1</v>
      </c>
      <c r="K363" s="429" t="s">
        <v>8</v>
      </c>
      <c r="L363" s="429"/>
      <c r="M363" s="429">
        <v>0</v>
      </c>
    </row>
    <row r="364" spans="1:13">
      <c r="A364" s="285"/>
      <c r="B364" s="280" t="s">
        <v>570</v>
      </c>
      <c r="C364" s="402">
        <f>(56+7.3*2.8+16.5*1.5)*0+50</f>
        <v>50</v>
      </c>
      <c r="D364" s="280" t="s">
        <v>5</v>
      </c>
      <c r="E364" s="281">
        <f>'BQ MAPLE POOL'!E363</f>
        <v>41282.142857142855</v>
      </c>
      <c r="F364" s="281">
        <f t="shared" si="23"/>
        <v>2064107.1428571427</v>
      </c>
      <c r="I364" s="429" t="s">
        <v>570</v>
      </c>
      <c r="J364" s="429">
        <v>50</v>
      </c>
      <c r="K364" s="429" t="s">
        <v>5</v>
      </c>
      <c r="L364" s="429">
        <v>41282.142857142855</v>
      </c>
      <c r="M364" s="429">
        <v>2064107.1428571427</v>
      </c>
    </row>
    <row r="365" spans="1:13">
      <c r="A365" s="285"/>
      <c r="B365" s="280" t="s">
        <v>571</v>
      </c>
      <c r="C365" s="374">
        <f>14.7*2.8+8.4*1.5</f>
        <v>53.76</v>
      </c>
      <c r="D365" s="280" t="s">
        <v>5</v>
      </c>
      <c r="E365" s="281">
        <f>'BQ MAPLE POOL'!E364</f>
        <v>27631.349206349205</v>
      </c>
      <c r="F365" s="281">
        <f t="shared" si="23"/>
        <v>1485461.3333333333</v>
      </c>
      <c r="I365" s="429" t="s">
        <v>571</v>
      </c>
      <c r="J365" s="429">
        <v>53.76</v>
      </c>
      <c r="K365" s="429" t="s">
        <v>5</v>
      </c>
      <c r="L365" s="429">
        <v>27631.349206349205</v>
      </c>
      <c r="M365" s="429">
        <v>1485461.3333333333</v>
      </c>
    </row>
    <row r="366" spans="1:13">
      <c r="A366" s="285"/>
      <c r="B366" s="280" t="s">
        <v>572</v>
      </c>
      <c r="C366" s="374">
        <f>3.9*2.85</f>
        <v>11.115</v>
      </c>
      <c r="D366" s="280" t="s">
        <v>5</v>
      </c>
      <c r="E366" s="281">
        <f>'BQ MAPLE POOL'!E365</f>
        <v>27631.349206349205</v>
      </c>
      <c r="F366" s="281">
        <f t="shared" si="23"/>
        <v>307122.44642857142</v>
      </c>
      <c r="I366" s="429" t="s">
        <v>572</v>
      </c>
      <c r="J366" s="429">
        <v>11.115</v>
      </c>
      <c r="K366" s="429" t="s">
        <v>5</v>
      </c>
      <c r="L366" s="429">
        <v>27631.349206349205</v>
      </c>
      <c r="M366" s="429">
        <v>307122.44642857142</v>
      </c>
    </row>
    <row r="367" spans="1:13">
      <c r="A367" s="285"/>
      <c r="B367" s="280" t="s">
        <v>573</v>
      </c>
      <c r="C367" s="374">
        <f>9.65*0.6</f>
        <v>5.79</v>
      </c>
      <c r="D367" s="280" t="s">
        <v>5</v>
      </c>
      <c r="E367" s="281">
        <f>'BQ MAPLE POOL'!E366</f>
        <v>41282.142857142855</v>
      </c>
      <c r="F367" s="281">
        <f t="shared" si="23"/>
        <v>239023.60714285713</v>
      </c>
      <c r="I367" s="429" t="s">
        <v>573</v>
      </c>
      <c r="J367" s="429">
        <v>5.79</v>
      </c>
      <c r="K367" s="429" t="s">
        <v>5</v>
      </c>
      <c r="L367" s="429">
        <v>41282.142857142855</v>
      </c>
      <c r="M367" s="429">
        <v>239023.60714285713</v>
      </c>
    </row>
    <row r="368" spans="1:13">
      <c r="A368" s="285"/>
      <c r="B368" s="286" t="s">
        <v>397</v>
      </c>
      <c r="C368" s="361"/>
      <c r="D368" s="280"/>
      <c r="E368" s="281"/>
      <c r="F368" s="281">
        <f t="shared" si="23"/>
        <v>0</v>
      </c>
      <c r="I368" s="429" t="s">
        <v>397</v>
      </c>
      <c r="J368" s="429"/>
      <c r="K368" s="429"/>
      <c r="L368" s="429"/>
      <c r="M368" s="429">
        <v>0</v>
      </c>
    </row>
    <row r="369" spans="1:13">
      <c r="A369" s="285"/>
      <c r="B369" s="286" t="s">
        <v>398</v>
      </c>
      <c r="C369" s="361"/>
      <c r="D369" s="280"/>
      <c r="E369" s="281"/>
      <c r="F369" s="281">
        <f t="shared" si="23"/>
        <v>0</v>
      </c>
      <c r="I369" s="429" t="s">
        <v>398</v>
      </c>
      <c r="J369" s="429"/>
      <c r="K369" s="429"/>
      <c r="L369" s="429"/>
      <c r="M369" s="429">
        <v>0</v>
      </c>
    </row>
    <row r="370" spans="1:13">
      <c r="A370" s="285"/>
      <c r="B370" s="286" t="s">
        <v>399</v>
      </c>
      <c r="C370" s="361"/>
      <c r="D370" s="280"/>
      <c r="E370" s="281"/>
      <c r="F370" s="281">
        <f t="shared" si="23"/>
        <v>0</v>
      </c>
      <c r="I370" s="429" t="s">
        <v>399</v>
      </c>
      <c r="J370" s="429"/>
      <c r="K370" s="429"/>
      <c r="L370" s="429"/>
      <c r="M370" s="429">
        <v>0</v>
      </c>
    </row>
    <row r="371" spans="1:13">
      <c r="A371" s="285"/>
      <c r="B371" s="280"/>
      <c r="C371" s="361"/>
      <c r="D371" s="280"/>
      <c r="E371" s="281"/>
      <c r="F371" s="281"/>
      <c r="I371" s="429"/>
      <c r="J371" s="429"/>
      <c r="K371" s="429"/>
      <c r="L371" s="429"/>
      <c r="M371" s="429"/>
    </row>
    <row r="372" spans="1:13">
      <c r="A372" s="282" t="s">
        <v>234</v>
      </c>
      <c r="B372" s="282" t="s">
        <v>235</v>
      </c>
      <c r="C372" s="375"/>
      <c r="D372" s="282" t="s">
        <v>6</v>
      </c>
      <c r="E372" s="283"/>
      <c r="F372" s="284">
        <f>SUM(F373:F381)</f>
        <v>4244321.6785714291</v>
      </c>
      <c r="I372" s="429" t="s">
        <v>235</v>
      </c>
      <c r="J372" s="429"/>
      <c r="K372" s="429" t="s">
        <v>6</v>
      </c>
      <c r="L372" s="429"/>
      <c r="M372" s="429">
        <v>4244321.6785714291</v>
      </c>
    </row>
    <row r="373" spans="1:13">
      <c r="A373" s="285"/>
      <c r="B373" s="280" t="s">
        <v>577</v>
      </c>
      <c r="C373" s="361"/>
      <c r="D373" s="280" t="s">
        <v>6</v>
      </c>
      <c r="E373" s="281"/>
      <c r="F373" s="281">
        <f t="shared" ref="F373:F381" si="24">+C373*E373</f>
        <v>0</v>
      </c>
      <c r="I373" s="429" t="s">
        <v>577</v>
      </c>
      <c r="J373" s="429"/>
      <c r="K373" s="429" t="s">
        <v>6</v>
      </c>
      <c r="L373" s="429"/>
      <c r="M373" s="429">
        <v>0</v>
      </c>
    </row>
    <row r="374" spans="1:13">
      <c r="A374" s="285"/>
      <c r="B374" s="280" t="s">
        <v>236</v>
      </c>
      <c r="C374" s="356">
        <v>0</v>
      </c>
      <c r="D374" s="280" t="s">
        <v>5</v>
      </c>
      <c r="E374" s="281">
        <f>'BQ MAPLE POOL'!E373</f>
        <v>30953.571428571428</v>
      </c>
      <c r="F374" s="281">
        <f t="shared" si="24"/>
        <v>0</v>
      </c>
      <c r="I374" s="429" t="s">
        <v>236</v>
      </c>
      <c r="J374" s="429">
        <v>0</v>
      </c>
      <c r="K374" s="429" t="s">
        <v>5</v>
      </c>
      <c r="L374" s="429">
        <v>30953.571428571428</v>
      </c>
      <c r="M374" s="429">
        <v>0</v>
      </c>
    </row>
    <row r="375" spans="1:13">
      <c r="A375" s="285"/>
      <c r="B375" s="280" t="s">
        <v>237</v>
      </c>
      <c r="C375" s="361">
        <f>C272+C275</f>
        <v>36.729999999999997</v>
      </c>
      <c r="D375" s="280" t="s">
        <v>5</v>
      </c>
      <c r="E375" s="281">
        <f>'BQ MAPLE POOL'!E374</f>
        <v>41282.142857142855</v>
      </c>
      <c r="F375" s="281">
        <f t="shared" si="24"/>
        <v>1516293.107142857</v>
      </c>
      <c r="I375" s="429" t="s">
        <v>237</v>
      </c>
      <c r="J375" s="429">
        <v>36.729999999999997</v>
      </c>
      <c r="K375" s="429" t="s">
        <v>5</v>
      </c>
      <c r="L375" s="429">
        <v>41282.142857142855</v>
      </c>
      <c r="M375" s="429">
        <v>1516293.107142857</v>
      </c>
    </row>
    <row r="376" spans="1:13">
      <c r="A376" s="285"/>
      <c r="B376" s="280" t="s">
        <v>238</v>
      </c>
      <c r="C376" s="361">
        <f>7*2</f>
        <v>14</v>
      </c>
      <c r="D376" s="280" t="s">
        <v>8</v>
      </c>
      <c r="E376" s="281">
        <f>'BQ MAPLE POOL'!E375</f>
        <v>55000</v>
      </c>
      <c r="F376" s="281">
        <f t="shared" si="24"/>
        <v>770000</v>
      </c>
      <c r="I376" s="429" t="s">
        <v>238</v>
      </c>
      <c r="J376" s="429">
        <v>14</v>
      </c>
      <c r="K376" s="429" t="s">
        <v>8</v>
      </c>
      <c r="L376" s="429">
        <v>55000</v>
      </c>
      <c r="M376" s="429">
        <v>770000</v>
      </c>
    </row>
    <row r="377" spans="1:13">
      <c r="A377" s="285"/>
      <c r="B377" s="280" t="s">
        <v>578</v>
      </c>
      <c r="C377" s="361">
        <v>18</v>
      </c>
      <c r="D377" s="280" t="s">
        <v>8</v>
      </c>
      <c r="E377" s="281">
        <f>'BQ MAPLE POOL'!E376</f>
        <v>41282.142857142855</v>
      </c>
      <c r="F377" s="281">
        <f t="shared" si="24"/>
        <v>743078.57142857136</v>
      </c>
      <c r="I377" s="429" t="s">
        <v>578</v>
      </c>
      <c r="J377" s="429">
        <v>18</v>
      </c>
      <c r="K377" s="429" t="s">
        <v>8</v>
      </c>
      <c r="L377" s="429">
        <v>41282.142857142855</v>
      </c>
      <c r="M377" s="429">
        <v>743078.57142857136</v>
      </c>
    </row>
    <row r="378" spans="1:13">
      <c r="A378" s="285"/>
      <c r="B378" s="280" t="s">
        <v>579</v>
      </c>
      <c r="C378" s="374">
        <v>14</v>
      </c>
      <c r="D378" s="280" t="s">
        <v>8</v>
      </c>
      <c r="E378" s="281">
        <f>E377</f>
        <v>41282.142857142855</v>
      </c>
      <c r="F378" s="281">
        <f t="shared" si="24"/>
        <v>577950</v>
      </c>
      <c r="I378" s="429" t="s">
        <v>579</v>
      </c>
      <c r="J378" s="429">
        <v>14</v>
      </c>
      <c r="K378" s="429" t="s">
        <v>8</v>
      </c>
      <c r="L378" s="429">
        <v>41282.142857142855</v>
      </c>
      <c r="M378" s="429">
        <v>577950</v>
      </c>
    </row>
    <row r="379" spans="1:13">
      <c r="A379" s="285"/>
      <c r="B379" s="286" t="s">
        <v>397</v>
      </c>
      <c r="C379" s="361"/>
      <c r="D379" s="280"/>
      <c r="E379" s="281"/>
      <c r="F379" s="281">
        <f t="shared" si="24"/>
        <v>0</v>
      </c>
      <c r="I379" s="429" t="s">
        <v>397</v>
      </c>
      <c r="J379" s="429"/>
      <c r="K379" s="429"/>
      <c r="L379" s="429"/>
      <c r="M379" s="429">
        <v>0</v>
      </c>
    </row>
    <row r="380" spans="1:13">
      <c r="A380" s="285"/>
      <c r="B380" s="367" t="s">
        <v>835</v>
      </c>
      <c r="C380" s="280">
        <f>C170*2</f>
        <v>9.8000000000000007</v>
      </c>
      <c r="D380" s="280" t="s">
        <v>5</v>
      </c>
      <c r="E380" s="360">
        <f>'BQ MAPLE POOL'!E379</f>
        <v>65000</v>
      </c>
      <c r="F380" s="281">
        <f t="shared" si="24"/>
        <v>637000</v>
      </c>
      <c r="I380" s="429" t="s">
        <v>835</v>
      </c>
      <c r="J380" s="429">
        <v>9.8000000000000007</v>
      </c>
      <c r="K380" s="429" t="s">
        <v>5</v>
      </c>
      <c r="L380" s="429">
        <v>65000</v>
      </c>
      <c r="M380" s="429">
        <v>637000</v>
      </c>
    </row>
    <row r="381" spans="1:13">
      <c r="A381" s="285"/>
      <c r="B381" s="286" t="s">
        <v>399</v>
      </c>
      <c r="C381" s="280"/>
      <c r="D381" s="280"/>
      <c r="E381" s="281"/>
      <c r="F381" s="281">
        <f t="shared" si="24"/>
        <v>0</v>
      </c>
      <c r="I381" s="429" t="s">
        <v>399</v>
      </c>
      <c r="J381" s="429"/>
      <c r="K381" s="429"/>
      <c r="L381" s="429"/>
      <c r="M381" s="429">
        <v>0</v>
      </c>
    </row>
    <row r="382" spans="1:13">
      <c r="A382" s="285"/>
      <c r="B382" s="280"/>
      <c r="C382" s="280"/>
      <c r="D382" s="280"/>
      <c r="E382" s="281"/>
      <c r="F382" s="281"/>
      <c r="I382" s="429"/>
      <c r="J382" s="429"/>
      <c r="K382" s="429"/>
      <c r="L382" s="429"/>
      <c r="M382" s="429"/>
    </row>
    <row r="383" spans="1:13" ht="27.6">
      <c r="A383" s="282" t="s">
        <v>29</v>
      </c>
      <c r="B383" s="282" t="s">
        <v>30</v>
      </c>
      <c r="C383" s="282"/>
      <c r="D383" s="282" t="s">
        <v>7</v>
      </c>
      <c r="E383" s="283"/>
      <c r="F383" s="284">
        <f>SUM(F384:F416)</f>
        <v>48170350</v>
      </c>
      <c r="I383" s="429" t="s">
        <v>30</v>
      </c>
      <c r="J383" s="429"/>
      <c r="K383" s="429" t="s">
        <v>7</v>
      </c>
      <c r="L383" s="429"/>
      <c r="M383" s="429">
        <v>48170350</v>
      </c>
    </row>
    <row r="384" spans="1:13">
      <c r="A384" s="285"/>
      <c r="B384" s="280" t="s">
        <v>580</v>
      </c>
      <c r="C384" s="280"/>
      <c r="D384" s="280" t="s">
        <v>7</v>
      </c>
      <c r="E384" s="281"/>
      <c r="F384" s="281">
        <f t="shared" ref="F384:F392" si="25">+C384*E384</f>
        <v>0</v>
      </c>
      <c r="I384" s="429" t="s">
        <v>580</v>
      </c>
      <c r="J384" s="429"/>
      <c r="K384" s="429" t="s">
        <v>7</v>
      </c>
      <c r="L384" s="429"/>
      <c r="M384" s="429">
        <v>0</v>
      </c>
    </row>
    <row r="385" spans="1:13">
      <c r="A385" s="285"/>
      <c r="B385" s="280" t="s">
        <v>239</v>
      </c>
      <c r="C385" s="280"/>
      <c r="D385" s="285"/>
      <c r="E385" s="281"/>
      <c r="F385" s="281">
        <f t="shared" si="25"/>
        <v>0</v>
      </c>
      <c r="I385" s="429" t="s">
        <v>239</v>
      </c>
      <c r="J385" s="429"/>
      <c r="K385" s="429"/>
      <c r="L385" s="429"/>
      <c r="M385" s="429">
        <v>0</v>
      </c>
    </row>
    <row r="386" spans="1:13">
      <c r="A386" s="285"/>
      <c r="B386" s="280" t="s">
        <v>581</v>
      </c>
      <c r="C386" s="280">
        <f>1+1</f>
        <v>2</v>
      </c>
      <c r="D386" s="280" t="s">
        <v>7</v>
      </c>
      <c r="E386" s="281">
        <f>'BQ MAPLE POOL'!E385</f>
        <v>1244000</v>
      </c>
      <c r="F386" s="281">
        <f t="shared" si="25"/>
        <v>2488000</v>
      </c>
      <c r="I386" s="429" t="s">
        <v>581</v>
      </c>
      <c r="J386" s="429">
        <v>2</v>
      </c>
      <c r="K386" s="429" t="s">
        <v>7</v>
      </c>
      <c r="L386" s="429">
        <v>1244000</v>
      </c>
      <c r="M386" s="429">
        <v>2488000</v>
      </c>
    </row>
    <row r="387" spans="1:13">
      <c r="A387" s="285"/>
      <c r="B387" s="280" t="s">
        <v>582</v>
      </c>
      <c r="C387" s="280">
        <f>1+1</f>
        <v>2</v>
      </c>
      <c r="D387" s="280" t="s">
        <v>7</v>
      </c>
      <c r="E387" s="281">
        <f>'BQ MAPLE POOL'!E386</f>
        <v>2317000</v>
      </c>
      <c r="F387" s="281">
        <f t="shared" si="25"/>
        <v>4634000</v>
      </c>
      <c r="I387" s="429" t="s">
        <v>582</v>
      </c>
      <c r="J387" s="429">
        <v>2</v>
      </c>
      <c r="K387" s="429" t="s">
        <v>7</v>
      </c>
      <c r="L387" s="429">
        <v>2317000</v>
      </c>
      <c r="M387" s="429">
        <v>4634000</v>
      </c>
    </row>
    <row r="388" spans="1:13">
      <c r="A388" s="285"/>
      <c r="B388" s="280" t="s">
        <v>240</v>
      </c>
      <c r="C388" s="280">
        <v>1</v>
      </c>
      <c r="D388" s="280" t="s">
        <v>7</v>
      </c>
      <c r="E388" s="281">
        <f>'BQ MAPLE POOL'!E387</f>
        <v>1619600.0000000002</v>
      </c>
      <c r="F388" s="281">
        <f t="shared" si="25"/>
        <v>1619600.0000000002</v>
      </c>
      <c r="I388" s="429" t="s">
        <v>240</v>
      </c>
      <c r="J388" s="429">
        <v>1</v>
      </c>
      <c r="K388" s="429" t="s">
        <v>7</v>
      </c>
      <c r="L388" s="429">
        <v>1619600.0000000002</v>
      </c>
      <c r="M388" s="429">
        <v>1619600.0000000002</v>
      </c>
    </row>
    <row r="389" spans="1:13">
      <c r="A389" s="285"/>
      <c r="B389" s="280" t="s">
        <v>241</v>
      </c>
      <c r="C389" s="280">
        <f>1+1</f>
        <v>2</v>
      </c>
      <c r="D389" s="280" t="s">
        <v>7</v>
      </c>
      <c r="E389" s="281">
        <f>'BQ MAPLE POOL'!E388</f>
        <v>513400.00000000006</v>
      </c>
      <c r="F389" s="281">
        <f t="shared" si="25"/>
        <v>1026800.0000000001</v>
      </c>
      <c r="I389" s="429" t="s">
        <v>241</v>
      </c>
      <c r="J389" s="429">
        <v>2</v>
      </c>
      <c r="K389" s="429" t="s">
        <v>7</v>
      </c>
      <c r="L389" s="429">
        <v>513400.00000000006</v>
      </c>
      <c r="M389" s="429">
        <v>1026800.0000000001</v>
      </c>
    </row>
    <row r="390" spans="1:13">
      <c r="A390" s="285"/>
      <c r="B390" s="280" t="s">
        <v>242</v>
      </c>
      <c r="C390" s="280">
        <f>1+1</f>
        <v>2</v>
      </c>
      <c r="D390" s="280" t="s">
        <v>7</v>
      </c>
      <c r="E390" s="281">
        <f>'BQ MAPLE POOL'!E389</f>
        <v>205950.00000000003</v>
      </c>
      <c r="F390" s="281">
        <f t="shared" si="25"/>
        <v>411900.00000000006</v>
      </c>
      <c r="I390" s="429" t="s">
        <v>242</v>
      </c>
      <c r="J390" s="429">
        <v>2</v>
      </c>
      <c r="K390" s="429" t="s">
        <v>7</v>
      </c>
      <c r="L390" s="429">
        <v>205950.00000000003</v>
      </c>
      <c r="M390" s="429">
        <v>411900.00000000006</v>
      </c>
    </row>
    <row r="391" spans="1:13">
      <c r="A391" s="285"/>
      <c r="B391" s="280" t="s">
        <v>583</v>
      </c>
      <c r="C391" s="280">
        <v>4</v>
      </c>
      <c r="D391" s="280" t="s">
        <v>7</v>
      </c>
      <c r="E391" s="281">
        <f>'BQ MAPLE POOL'!E390</f>
        <v>297950</v>
      </c>
      <c r="F391" s="281">
        <f t="shared" si="25"/>
        <v>1191800</v>
      </c>
      <c r="I391" s="429" t="s">
        <v>583</v>
      </c>
      <c r="J391" s="429">
        <v>4</v>
      </c>
      <c r="K391" s="429" t="s">
        <v>7</v>
      </c>
      <c r="L391" s="429">
        <v>297950</v>
      </c>
      <c r="M391" s="429">
        <v>1191800</v>
      </c>
    </row>
    <row r="392" spans="1:13">
      <c r="A392" s="285"/>
      <c r="B392" s="280" t="s">
        <v>243</v>
      </c>
      <c r="C392" s="280">
        <f>1+1</f>
        <v>2</v>
      </c>
      <c r="D392" s="280" t="s">
        <v>7</v>
      </c>
      <c r="E392" s="281">
        <f>'BQ MAPLE POOL'!E391</f>
        <v>250000</v>
      </c>
      <c r="F392" s="281">
        <f t="shared" si="25"/>
        <v>500000</v>
      </c>
      <c r="I392" s="429" t="s">
        <v>243</v>
      </c>
      <c r="J392" s="429">
        <v>2</v>
      </c>
      <c r="K392" s="429" t="s">
        <v>7</v>
      </c>
      <c r="L392" s="429">
        <v>250000</v>
      </c>
      <c r="M392" s="429">
        <v>500000</v>
      </c>
    </row>
    <row r="393" spans="1:13" ht="27.6">
      <c r="A393" s="285"/>
      <c r="B393" s="280" t="s">
        <v>584</v>
      </c>
      <c r="C393" s="280">
        <v>1</v>
      </c>
      <c r="D393" s="280" t="s">
        <v>7</v>
      </c>
      <c r="E393" s="281">
        <f>'BQ MAPLE POOL'!E392</f>
        <v>1569600</v>
      </c>
      <c r="F393" s="281">
        <f>+C393*E393</f>
        <v>1569600</v>
      </c>
      <c r="I393" s="429" t="s">
        <v>877</v>
      </c>
      <c r="J393" s="429">
        <v>1</v>
      </c>
      <c r="K393" s="429" t="s">
        <v>7</v>
      </c>
      <c r="L393" s="429">
        <v>1569600</v>
      </c>
      <c r="M393" s="429">
        <v>1569600</v>
      </c>
    </row>
    <row r="394" spans="1:13" ht="27.6">
      <c r="A394" s="285"/>
      <c r="B394" s="280" t="s">
        <v>585</v>
      </c>
      <c r="C394" s="280">
        <v>1</v>
      </c>
      <c r="D394" s="280" t="s">
        <v>7</v>
      </c>
      <c r="E394" s="281">
        <f>'BQ MAPLE POOL'!E393</f>
        <v>5598400</v>
      </c>
      <c r="F394" s="281">
        <f>+C394*E394</f>
        <v>5598400</v>
      </c>
      <c r="I394" s="429" t="s">
        <v>878</v>
      </c>
      <c r="J394" s="429">
        <v>1</v>
      </c>
      <c r="K394" s="429" t="s">
        <v>7</v>
      </c>
      <c r="L394" s="429">
        <v>5598400</v>
      </c>
      <c r="M394" s="429">
        <v>5598400</v>
      </c>
    </row>
    <row r="395" spans="1:13">
      <c r="A395" s="285"/>
      <c r="B395" s="285"/>
      <c r="C395" s="280"/>
      <c r="D395" s="285"/>
      <c r="E395" s="281"/>
      <c r="F395" s="281"/>
      <c r="I395" s="429"/>
      <c r="J395" s="429"/>
      <c r="K395" s="429"/>
      <c r="L395" s="429"/>
      <c r="M395" s="429"/>
    </row>
    <row r="396" spans="1:13">
      <c r="A396" s="285"/>
      <c r="B396" s="280" t="s">
        <v>586</v>
      </c>
      <c r="C396" s="280"/>
      <c r="D396" s="285"/>
      <c r="E396" s="281"/>
      <c r="F396" s="281"/>
      <c r="I396" s="429" t="s">
        <v>586</v>
      </c>
      <c r="J396" s="429"/>
      <c r="K396" s="429"/>
      <c r="L396" s="429"/>
      <c r="M396" s="429"/>
    </row>
    <row r="397" spans="1:13">
      <c r="A397" s="285"/>
      <c r="B397" s="280" t="s">
        <v>305</v>
      </c>
      <c r="C397" s="280">
        <v>1</v>
      </c>
      <c r="D397" s="280" t="s">
        <v>7</v>
      </c>
      <c r="E397" s="281">
        <f>'BQ MAPLE POOL'!E396</f>
        <v>4247000</v>
      </c>
      <c r="F397" s="281">
        <f>+C397*E397</f>
        <v>4247000</v>
      </c>
      <c r="I397" s="429" t="s">
        <v>305</v>
      </c>
      <c r="J397" s="429">
        <v>1</v>
      </c>
      <c r="K397" s="429" t="s">
        <v>7</v>
      </c>
      <c r="L397" s="429">
        <v>4247000</v>
      </c>
      <c r="M397" s="429">
        <v>4247000</v>
      </c>
    </row>
    <row r="398" spans="1:13">
      <c r="A398" s="285"/>
      <c r="B398" s="280" t="s">
        <v>244</v>
      </c>
      <c r="C398" s="280">
        <v>1</v>
      </c>
      <c r="D398" s="280" t="s">
        <v>7</v>
      </c>
      <c r="E398" s="281">
        <f>'BQ MAPLE POOL'!E397</f>
        <v>205950.00000000003</v>
      </c>
      <c r="F398" s="281">
        <f t="shared" ref="F398:F413" si="26">+C398*E398</f>
        <v>205950.00000000003</v>
      </c>
      <c r="I398" s="429" t="s">
        <v>244</v>
      </c>
      <c r="J398" s="429">
        <v>1</v>
      </c>
      <c r="K398" s="429" t="s">
        <v>7</v>
      </c>
      <c r="L398" s="429">
        <v>205950.00000000003</v>
      </c>
      <c r="M398" s="429">
        <v>205950.00000000003</v>
      </c>
    </row>
    <row r="399" spans="1:13">
      <c r="A399" s="285"/>
      <c r="B399" s="280" t="s">
        <v>587</v>
      </c>
      <c r="C399" s="280">
        <v>1</v>
      </c>
      <c r="D399" s="280" t="s">
        <v>7</v>
      </c>
      <c r="E399" s="281">
        <f>'BQ MAPLE POOL'!E398</f>
        <v>5925000.0000000009</v>
      </c>
      <c r="F399" s="281">
        <f t="shared" si="26"/>
        <v>5925000.0000000009</v>
      </c>
      <c r="I399" s="429" t="s">
        <v>587</v>
      </c>
      <c r="J399" s="429">
        <v>1</v>
      </c>
      <c r="K399" s="429" t="s">
        <v>7</v>
      </c>
      <c r="L399" s="429">
        <v>5925000.0000000009</v>
      </c>
      <c r="M399" s="429">
        <v>5925000.0000000009</v>
      </c>
    </row>
    <row r="400" spans="1:13">
      <c r="A400" s="285"/>
      <c r="B400" s="280" t="s">
        <v>306</v>
      </c>
      <c r="C400" s="280">
        <v>1</v>
      </c>
      <c r="D400" s="280" t="s">
        <v>7</v>
      </c>
      <c r="E400" s="281">
        <f>'BQ MAPLE POOL'!E399</f>
        <v>1608600.0000000002</v>
      </c>
      <c r="F400" s="281">
        <f t="shared" si="26"/>
        <v>1608600.0000000002</v>
      </c>
      <c r="I400" s="429" t="s">
        <v>306</v>
      </c>
      <c r="J400" s="429">
        <v>1</v>
      </c>
      <c r="K400" s="429" t="s">
        <v>7</v>
      </c>
      <c r="L400" s="429">
        <v>1608600.0000000002</v>
      </c>
      <c r="M400" s="429">
        <v>1608600.0000000002</v>
      </c>
    </row>
    <row r="401" spans="1:13">
      <c r="A401" s="285"/>
      <c r="B401" s="280" t="s">
        <v>588</v>
      </c>
      <c r="C401" s="280">
        <v>1</v>
      </c>
      <c r="D401" s="280" t="s">
        <v>7</v>
      </c>
      <c r="E401" s="281">
        <f>'BQ MAPLE POOL'!E400</f>
        <v>1262500</v>
      </c>
      <c r="F401" s="281">
        <f t="shared" si="26"/>
        <v>1262500</v>
      </c>
      <c r="I401" s="429" t="s">
        <v>588</v>
      </c>
      <c r="J401" s="429">
        <v>1</v>
      </c>
      <c r="K401" s="429" t="s">
        <v>7</v>
      </c>
      <c r="L401" s="429">
        <v>1262500</v>
      </c>
      <c r="M401" s="429">
        <v>1262500</v>
      </c>
    </row>
    <row r="402" spans="1:13">
      <c r="A402" s="285"/>
      <c r="B402" s="280" t="s">
        <v>583</v>
      </c>
      <c r="C402" s="280">
        <v>2</v>
      </c>
      <c r="D402" s="280" t="s">
        <v>7</v>
      </c>
      <c r="E402" s="281">
        <f>'BQ MAPLE POOL'!E401</f>
        <v>297950</v>
      </c>
      <c r="F402" s="281">
        <f t="shared" si="26"/>
        <v>595900</v>
      </c>
      <c r="I402" s="429" t="s">
        <v>583</v>
      </c>
      <c r="J402" s="429">
        <v>2</v>
      </c>
      <c r="K402" s="429" t="s">
        <v>7</v>
      </c>
      <c r="L402" s="429">
        <v>297950</v>
      </c>
      <c r="M402" s="429">
        <v>595900</v>
      </c>
    </row>
    <row r="403" spans="1:13">
      <c r="A403" s="285"/>
      <c r="B403" s="280" t="s">
        <v>243</v>
      </c>
      <c r="C403" s="280">
        <v>1</v>
      </c>
      <c r="D403" s="280" t="s">
        <v>7</v>
      </c>
      <c r="E403" s="281">
        <f>'BQ MAPLE POOL'!E402</f>
        <v>250000</v>
      </c>
      <c r="F403" s="281">
        <f t="shared" si="26"/>
        <v>250000</v>
      </c>
      <c r="I403" s="429" t="s">
        <v>243</v>
      </c>
      <c r="J403" s="429">
        <v>1</v>
      </c>
      <c r="K403" s="429" t="s">
        <v>7</v>
      </c>
      <c r="L403" s="429">
        <v>250000</v>
      </c>
      <c r="M403" s="429">
        <v>250000</v>
      </c>
    </row>
    <row r="404" spans="1:13">
      <c r="A404" s="285"/>
      <c r="B404" s="280" t="s">
        <v>589</v>
      </c>
      <c r="C404" s="280">
        <v>1</v>
      </c>
      <c r="D404" s="280" t="s">
        <v>7</v>
      </c>
      <c r="E404" s="281">
        <f>'BQ MAPLE POOL'!E403</f>
        <v>6007600</v>
      </c>
      <c r="F404" s="281">
        <f t="shared" si="26"/>
        <v>6007600</v>
      </c>
      <c r="I404" s="429" t="s">
        <v>589</v>
      </c>
      <c r="J404" s="429">
        <v>1</v>
      </c>
      <c r="K404" s="429" t="s">
        <v>7</v>
      </c>
      <c r="L404" s="429">
        <v>6007600</v>
      </c>
      <c r="M404" s="429">
        <v>6007600</v>
      </c>
    </row>
    <row r="405" spans="1:13">
      <c r="A405" s="285"/>
      <c r="B405" s="280" t="s">
        <v>590</v>
      </c>
      <c r="C405" s="280">
        <v>1</v>
      </c>
      <c r="D405" s="280" t="s">
        <v>7</v>
      </c>
      <c r="E405" s="281">
        <f>'BQ MAPLE POOL'!E404</f>
        <v>3302500.0000000005</v>
      </c>
      <c r="F405" s="281">
        <f t="shared" si="26"/>
        <v>3302500.0000000005</v>
      </c>
      <c r="I405" s="429" t="s">
        <v>590</v>
      </c>
      <c r="J405" s="429">
        <v>1</v>
      </c>
      <c r="K405" s="429" t="s">
        <v>7</v>
      </c>
      <c r="L405" s="429">
        <v>3302500.0000000005</v>
      </c>
      <c r="M405" s="429">
        <v>3302500.0000000005</v>
      </c>
    </row>
    <row r="406" spans="1:13">
      <c r="A406" s="285"/>
      <c r="B406" s="280" t="s">
        <v>591</v>
      </c>
      <c r="C406" s="280">
        <v>1</v>
      </c>
      <c r="D406" s="280" t="s">
        <v>7</v>
      </c>
      <c r="E406" s="281">
        <f>'BQ MAPLE POOL'!E405</f>
        <v>1482500.0000000002</v>
      </c>
      <c r="F406" s="281">
        <f t="shared" si="26"/>
        <v>1482500.0000000002</v>
      </c>
      <c r="I406" s="429" t="s">
        <v>591</v>
      </c>
      <c r="J406" s="429">
        <v>1</v>
      </c>
      <c r="K406" s="429" t="s">
        <v>7</v>
      </c>
      <c r="L406" s="429">
        <v>1482500.0000000002</v>
      </c>
      <c r="M406" s="429">
        <v>1482500.0000000002</v>
      </c>
    </row>
    <row r="407" spans="1:13" ht="27.6">
      <c r="A407" s="285"/>
      <c r="B407" s="280" t="s">
        <v>592</v>
      </c>
      <c r="C407" s="280">
        <v>1</v>
      </c>
      <c r="D407" s="280" t="s">
        <v>6</v>
      </c>
      <c r="E407" s="281">
        <f>'BQ MAPLE POOL'!E406</f>
        <v>1200000</v>
      </c>
      <c r="F407" s="281">
        <f t="shared" si="26"/>
        <v>1200000</v>
      </c>
      <c r="I407" s="429" t="s">
        <v>592</v>
      </c>
      <c r="J407" s="429">
        <v>1</v>
      </c>
      <c r="K407" s="429" t="s">
        <v>6</v>
      </c>
      <c r="L407" s="429">
        <v>1200000</v>
      </c>
      <c r="M407" s="429">
        <v>1200000</v>
      </c>
    </row>
    <row r="408" spans="1:13">
      <c r="A408" s="285"/>
      <c r="B408" s="285"/>
      <c r="C408" s="280"/>
      <c r="D408" s="285"/>
      <c r="E408" s="281"/>
      <c r="F408" s="281">
        <f t="shared" si="26"/>
        <v>0</v>
      </c>
      <c r="I408" s="429"/>
      <c r="J408" s="429"/>
      <c r="K408" s="429"/>
      <c r="L408" s="429"/>
      <c r="M408" s="429">
        <v>0</v>
      </c>
    </row>
    <row r="409" spans="1:13">
      <c r="A409" s="285"/>
      <c r="B409" s="280" t="s">
        <v>245</v>
      </c>
      <c r="C409" s="280"/>
      <c r="D409" s="285"/>
      <c r="E409" s="281"/>
      <c r="F409" s="281">
        <f t="shared" si="26"/>
        <v>0</v>
      </c>
      <c r="I409" s="429" t="s">
        <v>245</v>
      </c>
      <c r="J409" s="429"/>
      <c r="K409" s="429"/>
      <c r="L409" s="429"/>
      <c r="M409" s="429">
        <v>0</v>
      </c>
    </row>
    <row r="410" spans="1:13">
      <c r="A410" s="285"/>
      <c r="B410" s="280" t="s">
        <v>593</v>
      </c>
      <c r="C410" s="280">
        <v>1</v>
      </c>
      <c r="D410" s="280" t="s">
        <v>7</v>
      </c>
      <c r="E410" s="281">
        <f>'BQ MAPLE POOL'!E409</f>
        <v>550400</v>
      </c>
      <c r="F410" s="281">
        <f t="shared" si="26"/>
        <v>550400</v>
      </c>
      <c r="I410" s="429" t="s">
        <v>593</v>
      </c>
      <c r="J410" s="429">
        <v>1</v>
      </c>
      <c r="K410" s="429" t="s">
        <v>7</v>
      </c>
      <c r="L410" s="429">
        <v>550400</v>
      </c>
      <c r="M410" s="429">
        <v>550400</v>
      </c>
    </row>
    <row r="411" spans="1:13">
      <c r="A411" s="285"/>
      <c r="B411" s="280" t="s">
        <v>246</v>
      </c>
      <c r="C411" s="280">
        <v>1</v>
      </c>
      <c r="D411" s="280" t="s">
        <v>7</v>
      </c>
      <c r="E411" s="281">
        <f>'BQ MAPLE POOL'!E410</f>
        <v>246000</v>
      </c>
      <c r="F411" s="281">
        <f t="shared" si="26"/>
        <v>246000</v>
      </c>
      <c r="I411" s="429" t="s">
        <v>246</v>
      </c>
      <c r="J411" s="429">
        <v>1</v>
      </c>
      <c r="K411" s="429" t="s">
        <v>7</v>
      </c>
      <c r="L411" s="429">
        <v>246000</v>
      </c>
      <c r="M411" s="429">
        <v>246000</v>
      </c>
    </row>
    <row r="412" spans="1:13">
      <c r="A412" s="285"/>
      <c r="B412" s="280" t="s">
        <v>247</v>
      </c>
      <c r="C412" s="280">
        <v>1</v>
      </c>
      <c r="D412" s="280" t="s">
        <v>7</v>
      </c>
      <c r="E412" s="281">
        <f>'BQ MAPLE POOL'!E411</f>
        <v>327200</v>
      </c>
      <c r="F412" s="281">
        <f t="shared" si="26"/>
        <v>327200</v>
      </c>
      <c r="I412" s="429" t="s">
        <v>247</v>
      </c>
      <c r="J412" s="429">
        <v>1</v>
      </c>
      <c r="K412" s="429" t="s">
        <v>7</v>
      </c>
      <c r="L412" s="429">
        <v>327200</v>
      </c>
      <c r="M412" s="429">
        <v>327200</v>
      </c>
    </row>
    <row r="413" spans="1:13">
      <c r="A413" s="285"/>
      <c r="B413" s="280" t="s">
        <v>248</v>
      </c>
      <c r="C413" s="280">
        <v>1</v>
      </c>
      <c r="D413" s="280" t="s">
        <v>7</v>
      </c>
      <c r="E413" s="281">
        <f>'BQ MAPLE POOL'!E412</f>
        <v>250000</v>
      </c>
      <c r="F413" s="281">
        <f t="shared" si="26"/>
        <v>250000</v>
      </c>
      <c r="I413" s="429" t="s">
        <v>248</v>
      </c>
      <c r="J413" s="429">
        <v>1</v>
      </c>
      <c r="K413" s="429" t="s">
        <v>7</v>
      </c>
      <c r="L413" s="429">
        <v>250000</v>
      </c>
      <c r="M413" s="429">
        <v>250000</v>
      </c>
    </row>
    <row r="414" spans="1:13">
      <c r="A414" s="285"/>
      <c r="B414" s="286" t="s">
        <v>397</v>
      </c>
      <c r="C414" s="280"/>
      <c r="D414" s="280"/>
      <c r="E414" s="281"/>
      <c r="F414" s="281">
        <f t="shared" ref="F414:F416" si="27">+C414*E414</f>
        <v>0</v>
      </c>
      <c r="I414" s="429" t="s">
        <v>397</v>
      </c>
      <c r="J414" s="429"/>
      <c r="K414" s="429"/>
      <c r="L414" s="429"/>
      <c r="M414" s="429">
        <v>0</v>
      </c>
    </row>
    <row r="415" spans="1:13">
      <c r="A415" s="285"/>
      <c r="B415" s="286" t="s">
        <v>789</v>
      </c>
      <c r="C415" s="280">
        <v>1</v>
      </c>
      <c r="D415" s="280" t="s">
        <v>7</v>
      </c>
      <c r="E415" s="281">
        <f>'BQ MAPLE POOL'!E414</f>
        <v>1669100.0000000002</v>
      </c>
      <c r="F415" s="281">
        <f t="shared" si="27"/>
        <v>1669100.0000000002</v>
      </c>
      <c r="I415" s="429" t="s">
        <v>789</v>
      </c>
      <c r="J415" s="429">
        <v>1</v>
      </c>
      <c r="K415" s="429" t="s">
        <v>7</v>
      </c>
      <c r="L415" s="429">
        <v>1669100.0000000002</v>
      </c>
      <c r="M415" s="429">
        <v>1669100.0000000002</v>
      </c>
    </row>
    <row r="416" spans="1:13">
      <c r="A416" s="285"/>
      <c r="B416" s="286" t="s">
        <v>399</v>
      </c>
      <c r="C416" s="280"/>
      <c r="D416" s="280"/>
      <c r="E416" s="281"/>
      <c r="F416" s="281">
        <f t="shared" si="27"/>
        <v>0</v>
      </c>
      <c r="I416" s="429" t="s">
        <v>399</v>
      </c>
      <c r="J416" s="429"/>
      <c r="K416" s="429"/>
      <c r="L416" s="429"/>
      <c r="M416" s="429">
        <v>0</v>
      </c>
    </row>
    <row r="417" spans="1:13">
      <c r="A417" s="285"/>
      <c r="B417" s="280"/>
      <c r="C417" s="280"/>
      <c r="D417" s="280"/>
      <c r="E417" s="281"/>
      <c r="F417" s="281"/>
      <c r="I417" s="429"/>
      <c r="J417" s="429"/>
      <c r="K417" s="429"/>
      <c r="L417" s="429"/>
      <c r="M417" s="429"/>
    </row>
    <row r="418" spans="1:13">
      <c r="A418" s="282" t="s">
        <v>594</v>
      </c>
      <c r="B418" s="282" t="s">
        <v>595</v>
      </c>
      <c r="C418" s="282"/>
      <c r="D418" s="282" t="s">
        <v>7</v>
      </c>
      <c r="E418" s="283"/>
      <c r="F418" s="284">
        <f>SUM(F419:F427)</f>
        <v>1965600</v>
      </c>
      <c r="I418" s="429" t="s">
        <v>595</v>
      </c>
      <c r="J418" s="429"/>
      <c r="K418" s="429" t="s">
        <v>7</v>
      </c>
      <c r="L418" s="429"/>
      <c r="M418" s="429">
        <v>1965600</v>
      </c>
    </row>
    <row r="419" spans="1:13">
      <c r="A419" s="285"/>
      <c r="B419" s="280" t="s">
        <v>249</v>
      </c>
      <c r="C419" s="280"/>
      <c r="D419" s="280" t="s">
        <v>7</v>
      </c>
      <c r="E419" s="281"/>
      <c r="F419" s="281">
        <f t="shared" ref="F419:F427" si="28">+C419*E419</f>
        <v>0</v>
      </c>
      <c r="I419" s="429" t="s">
        <v>249</v>
      </c>
      <c r="J419" s="429"/>
      <c r="K419" s="429" t="s">
        <v>7</v>
      </c>
      <c r="L419" s="429"/>
      <c r="M419" s="429">
        <v>0</v>
      </c>
    </row>
    <row r="420" spans="1:13">
      <c r="A420" s="285"/>
      <c r="B420" s="280" t="s">
        <v>250</v>
      </c>
      <c r="C420" s="280"/>
      <c r="D420" s="285"/>
      <c r="E420" s="281"/>
      <c r="F420" s="281">
        <f t="shared" si="28"/>
        <v>0</v>
      </c>
      <c r="I420" s="429" t="s">
        <v>250</v>
      </c>
      <c r="J420" s="429"/>
      <c r="K420" s="429"/>
      <c r="L420" s="429"/>
      <c r="M420" s="429">
        <v>0</v>
      </c>
    </row>
    <row r="421" spans="1:13">
      <c r="A421" s="285"/>
      <c r="B421" s="280" t="s">
        <v>251</v>
      </c>
      <c r="C421" s="280">
        <v>4</v>
      </c>
      <c r="D421" s="280" t="s">
        <v>7</v>
      </c>
      <c r="E421" s="281">
        <f>'BQ MAPLE POOL'!E420</f>
        <v>246000</v>
      </c>
      <c r="F421" s="281">
        <f t="shared" si="28"/>
        <v>984000</v>
      </c>
      <c r="I421" s="429" t="s">
        <v>251</v>
      </c>
      <c r="J421" s="429">
        <v>4</v>
      </c>
      <c r="K421" s="429" t="s">
        <v>7</v>
      </c>
      <c r="L421" s="429">
        <v>246000</v>
      </c>
      <c r="M421" s="429">
        <v>984000</v>
      </c>
    </row>
    <row r="422" spans="1:13">
      <c r="A422" s="285"/>
      <c r="B422" s="285"/>
      <c r="C422" s="280"/>
      <c r="D422" s="285"/>
      <c r="E422" s="281">
        <f>'BQ MAPLE POOL'!E421</f>
        <v>0</v>
      </c>
      <c r="F422" s="281">
        <f t="shared" si="28"/>
        <v>0</v>
      </c>
      <c r="I422" s="429"/>
      <c r="J422" s="429"/>
      <c r="K422" s="429"/>
      <c r="L422" s="429">
        <v>0</v>
      </c>
      <c r="M422" s="429">
        <v>0</v>
      </c>
    </row>
    <row r="423" spans="1:13">
      <c r="A423" s="285"/>
      <c r="B423" s="280" t="s">
        <v>596</v>
      </c>
      <c r="C423" s="280"/>
      <c r="D423" s="285"/>
      <c r="E423" s="281">
        <f>'BQ MAPLE POOL'!E422</f>
        <v>0</v>
      </c>
      <c r="F423" s="281">
        <f t="shared" si="28"/>
        <v>0</v>
      </c>
      <c r="I423" s="429" t="s">
        <v>596</v>
      </c>
      <c r="J423" s="429"/>
      <c r="K423" s="429"/>
      <c r="L423" s="429">
        <v>0</v>
      </c>
      <c r="M423" s="429">
        <v>0</v>
      </c>
    </row>
    <row r="424" spans="1:13">
      <c r="A424" s="285"/>
      <c r="B424" s="280" t="s">
        <v>597</v>
      </c>
      <c r="C424" s="280">
        <v>3</v>
      </c>
      <c r="D424" s="280" t="s">
        <v>7</v>
      </c>
      <c r="E424" s="281">
        <f>'BQ MAPLE POOL'!E423</f>
        <v>327200</v>
      </c>
      <c r="F424" s="281">
        <f t="shared" si="28"/>
        <v>981600</v>
      </c>
      <c r="I424" s="429" t="s">
        <v>597</v>
      </c>
      <c r="J424" s="429">
        <v>3</v>
      </c>
      <c r="K424" s="429" t="s">
        <v>7</v>
      </c>
      <c r="L424" s="429">
        <v>327200</v>
      </c>
      <c r="M424" s="429">
        <v>981600</v>
      </c>
    </row>
    <row r="425" spans="1:13">
      <c r="A425" s="285"/>
      <c r="B425" s="286" t="s">
        <v>397</v>
      </c>
      <c r="C425" s="280"/>
      <c r="D425" s="280"/>
      <c r="E425" s="281"/>
      <c r="F425" s="281">
        <f t="shared" si="28"/>
        <v>0</v>
      </c>
      <c r="I425" s="429" t="s">
        <v>397</v>
      </c>
      <c r="J425" s="429"/>
      <c r="K425" s="429"/>
      <c r="L425" s="429"/>
      <c r="M425" s="429">
        <v>0</v>
      </c>
    </row>
    <row r="426" spans="1:13">
      <c r="A426" s="285"/>
      <c r="B426" s="286" t="s">
        <v>398</v>
      </c>
      <c r="C426" s="280"/>
      <c r="D426" s="280"/>
      <c r="E426" s="281"/>
      <c r="F426" s="281">
        <f t="shared" si="28"/>
        <v>0</v>
      </c>
      <c r="I426" s="429" t="s">
        <v>398</v>
      </c>
      <c r="J426" s="429"/>
      <c r="K426" s="429"/>
      <c r="L426" s="429"/>
      <c r="M426" s="429">
        <v>0</v>
      </c>
    </row>
    <row r="427" spans="1:13">
      <c r="A427" s="285"/>
      <c r="B427" s="286" t="s">
        <v>399</v>
      </c>
      <c r="C427" s="280"/>
      <c r="D427" s="280"/>
      <c r="E427" s="281"/>
      <c r="F427" s="281">
        <f t="shared" si="28"/>
        <v>0</v>
      </c>
      <c r="I427" s="429" t="s">
        <v>399</v>
      </c>
      <c r="J427" s="429"/>
      <c r="K427" s="429"/>
      <c r="L427" s="429"/>
      <c r="M427" s="429">
        <v>0</v>
      </c>
    </row>
    <row r="428" spans="1:13">
      <c r="A428" s="285"/>
      <c r="B428" s="280"/>
      <c r="C428" s="280"/>
      <c r="D428" s="280"/>
      <c r="E428" s="281"/>
      <c r="F428" s="281"/>
      <c r="I428" s="429"/>
      <c r="J428" s="429"/>
      <c r="K428" s="429"/>
      <c r="L428" s="429"/>
      <c r="M428" s="429"/>
    </row>
    <row r="429" spans="1:13" ht="27.6">
      <c r="A429" s="282" t="s">
        <v>31</v>
      </c>
      <c r="B429" s="282" t="s">
        <v>32</v>
      </c>
      <c r="C429" s="282"/>
      <c r="D429" s="282" t="s">
        <v>7</v>
      </c>
      <c r="E429" s="283"/>
      <c r="F429" s="284">
        <f>SUM(F430:F437)</f>
        <v>2684201.3513513515</v>
      </c>
      <c r="I429" s="429" t="s">
        <v>32</v>
      </c>
      <c r="J429" s="429"/>
      <c r="K429" s="429" t="s">
        <v>7</v>
      </c>
      <c r="L429" s="429"/>
      <c r="M429" s="429">
        <v>2684201.3513513515</v>
      </c>
    </row>
    <row r="430" spans="1:13">
      <c r="A430" s="285"/>
      <c r="B430" s="280" t="s">
        <v>32</v>
      </c>
      <c r="C430" s="280"/>
      <c r="D430" s="280" t="s">
        <v>7</v>
      </c>
      <c r="E430" s="281"/>
      <c r="F430" s="281">
        <f t="shared" ref="F430:F437" si="29">+C430*E430</f>
        <v>0</v>
      </c>
      <c r="I430" s="429" t="s">
        <v>32</v>
      </c>
      <c r="J430" s="429"/>
      <c r="K430" s="429" t="s">
        <v>7</v>
      </c>
      <c r="L430" s="429"/>
      <c r="M430" s="429">
        <v>0</v>
      </c>
    </row>
    <row r="431" spans="1:13">
      <c r="A431" s="285"/>
      <c r="B431" s="280" t="s">
        <v>252</v>
      </c>
      <c r="C431" s="280"/>
      <c r="D431" s="285"/>
      <c r="E431" s="281"/>
      <c r="F431" s="281">
        <f t="shared" si="29"/>
        <v>0</v>
      </c>
      <c r="I431" s="429" t="s">
        <v>252</v>
      </c>
      <c r="J431" s="429"/>
      <c r="K431" s="429"/>
      <c r="L431" s="429"/>
      <c r="M431" s="429">
        <v>0</v>
      </c>
    </row>
    <row r="432" spans="1:13">
      <c r="A432" s="285"/>
      <c r="B432" s="280" t="s">
        <v>598</v>
      </c>
      <c r="C432" s="280">
        <v>1</v>
      </c>
      <c r="D432" s="280" t="s">
        <v>7</v>
      </c>
      <c r="E432" s="281">
        <f>'BQ MAPLE POOL'!E431</f>
        <v>1501351.3513513512</v>
      </c>
      <c r="F432" s="281">
        <f t="shared" si="29"/>
        <v>1501351.3513513512</v>
      </c>
      <c r="I432" s="429" t="s">
        <v>598</v>
      </c>
      <c r="J432" s="429">
        <v>1</v>
      </c>
      <c r="K432" s="429" t="s">
        <v>7</v>
      </c>
      <c r="L432" s="429">
        <v>1501351.3513513512</v>
      </c>
      <c r="M432" s="429">
        <v>1501351.3513513512</v>
      </c>
    </row>
    <row r="433" spans="1:13">
      <c r="A433" s="285"/>
      <c r="B433" s="280" t="s">
        <v>599</v>
      </c>
      <c r="C433" s="280">
        <v>1</v>
      </c>
      <c r="D433" s="280" t="s">
        <v>204</v>
      </c>
      <c r="E433" s="281">
        <f>'BQ MAPLE POOL'!E432</f>
        <v>457850.00000000006</v>
      </c>
      <c r="F433" s="281">
        <f t="shared" si="29"/>
        <v>457850.00000000006</v>
      </c>
      <c r="I433" s="429" t="s">
        <v>599</v>
      </c>
      <c r="J433" s="429">
        <v>1</v>
      </c>
      <c r="K433" s="429" t="s">
        <v>204</v>
      </c>
      <c r="L433" s="429">
        <v>457850.00000000006</v>
      </c>
      <c r="M433" s="429">
        <v>457850.00000000006</v>
      </c>
    </row>
    <row r="434" spans="1:13">
      <c r="A434" s="285"/>
      <c r="B434" s="280" t="s">
        <v>253</v>
      </c>
      <c r="C434" s="280">
        <v>1</v>
      </c>
      <c r="D434" s="280" t="s">
        <v>204</v>
      </c>
      <c r="E434" s="281">
        <f>'BQ MAPLE POOL'!E433</f>
        <v>725000</v>
      </c>
      <c r="F434" s="281">
        <f t="shared" si="29"/>
        <v>725000</v>
      </c>
      <c r="I434" s="429" t="s">
        <v>253</v>
      </c>
      <c r="J434" s="429">
        <v>1</v>
      </c>
      <c r="K434" s="429" t="s">
        <v>204</v>
      </c>
      <c r="L434" s="429">
        <v>725000</v>
      </c>
      <c r="M434" s="429">
        <v>725000</v>
      </c>
    </row>
    <row r="435" spans="1:13">
      <c r="A435" s="285"/>
      <c r="B435" s="286" t="s">
        <v>397</v>
      </c>
      <c r="C435" s="280"/>
      <c r="D435" s="280"/>
      <c r="E435" s="281"/>
      <c r="F435" s="281">
        <f t="shared" si="29"/>
        <v>0</v>
      </c>
      <c r="I435" s="429" t="s">
        <v>397</v>
      </c>
      <c r="J435" s="429"/>
      <c r="K435" s="429"/>
      <c r="L435" s="429"/>
      <c r="M435" s="429">
        <v>0</v>
      </c>
    </row>
    <row r="436" spans="1:13">
      <c r="A436" s="285"/>
      <c r="B436" s="286" t="s">
        <v>398</v>
      </c>
      <c r="C436" s="280"/>
      <c r="D436" s="280"/>
      <c r="E436" s="281"/>
      <c r="F436" s="281">
        <f t="shared" si="29"/>
        <v>0</v>
      </c>
      <c r="I436" s="429" t="s">
        <v>398</v>
      </c>
      <c r="J436" s="429"/>
      <c r="K436" s="429"/>
      <c r="L436" s="429"/>
      <c r="M436" s="429">
        <v>0</v>
      </c>
    </row>
    <row r="437" spans="1:13">
      <c r="A437" s="285"/>
      <c r="B437" s="286" t="s">
        <v>399</v>
      </c>
      <c r="C437" s="280"/>
      <c r="D437" s="280"/>
      <c r="E437" s="281"/>
      <c r="F437" s="281">
        <f t="shared" si="29"/>
        <v>0</v>
      </c>
      <c r="I437" s="429" t="s">
        <v>399</v>
      </c>
      <c r="J437" s="429"/>
      <c r="K437" s="429"/>
      <c r="L437" s="429"/>
      <c r="M437" s="429">
        <v>0</v>
      </c>
    </row>
    <row r="438" spans="1:13">
      <c r="A438" s="285"/>
      <c r="B438" s="280"/>
      <c r="C438" s="280"/>
      <c r="D438" s="280"/>
      <c r="E438" s="281"/>
      <c r="F438" s="281"/>
      <c r="I438" s="429"/>
      <c r="J438" s="429"/>
      <c r="K438" s="429"/>
      <c r="L438" s="429"/>
      <c r="M438" s="429"/>
    </row>
    <row r="439" spans="1:13">
      <c r="A439" s="282" t="s">
        <v>33</v>
      </c>
      <c r="B439" s="282" t="s">
        <v>34</v>
      </c>
      <c r="C439" s="282"/>
      <c r="D439" s="282" t="s">
        <v>8</v>
      </c>
      <c r="E439" s="283"/>
      <c r="F439" s="284">
        <f>SUM(F440:F447)</f>
        <v>13565000</v>
      </c>
      <c r="I439" s="429" t="s">
        <v>34</v>
      </c>
      <c r="J439" s="429"/>
      <c r="K439" s="429" t="s">
        <v>8</v>
      </c>
      <c r="L439" s="429"/>
      <c r="M439" s="429">
        <v>13565000</v>
      </c>
    </row>
    <row r="440" spans="1:13">
      <c r="A440" s="285"/>
      <c r="B440" s="280" t="s">
        <v>254</v>
      </c>
      <c r="C440" s="280"/>
      <c r="D440" s="280" t="s">
        <v>8</v>
      </c>
      <c r="E440" s="281"/>
      <c r="F440" s="281">
        <f t="shared" ref="F440:F447" si="30">+C440*E440</f>
        <v>0</v>
      </c>
      <c r="I440" s="429" t="s">
        <v>254</v>
      </c>
      <c r="J440" s="429"/>
      <c r="K440" s="429" t="s">
        <v>8</v>
      </c>
      <c r="L440" s="429"/>
      <c r="M440" s="429">
        <v>0</v>
      </c>
    </row>
    <row r="441" spans="1:13">
      <c r="A441" s="285"/>
      <c r="B441" s="280" t="s">
        <v>255</v>
      </c>
      <c r="C441" s="280">
        <v>62</v>
      </c>
      <c r="D441" s="280" t="s">
        <v>8</v>
      </c>
      <c r="E441" s="281">
        <f>'BQ MAPLE POOL'!E440</f>
        <v>45000</v>
      </c>
      <c r="F441" s="281">
        <f t="shared" si="30"/>
        <v>2790000</v>
      </c>
      <c r="I441" s="429" t="s">
        <v>255</v>
      </c>
      <c r="J441" s="429">
        <v>62</v>
      </c>
      <c r="K441" s="429" t="s">
        <v>8</v>
      </c>
      <c r="L441" s="429">
        <v>45000</v>
      </c>
      <c r="M441" s="429">
        <v>2790000</v>
      </c>
    </row>
    <row r="442" spans="1:13">
      <c r="A442" s="285"/>
      <c r="B442" s="280" t="s">
        <v>256</v>
      </c>
      <c r="C442" s="280">
        <v>167</v>
      </c>
      <c r="D442" s="280" t="s">
        <v>8</v>
      </c>
      <c r="E442" s="281">
        <f>'BQ MAPLE POOL'!E441</f>
        <v>40000</v>
      </c>
      <c r="F442" s="281">
        <f t="shared" si="30"/>
        <v>6680000</v>
      </c>
      <c r="I442" s="429" t="s">
        <v>256</v>
      </c>
      <c r="J442" s="429">
        <v>167</v>
      </c>
      <c r="K442" s="429" t="s">
        <v>8</v>
      </c>
      <c r="L442" s="429">
        <v>40000</v>
      </c>
      <c r="M442" s="429">
        <v>6680000</v>
      </c>
    </row>
    <row r="443" spans="1:13">
      <c r="A443" s="285"/>
      <c r="B443" s="280" t="s">
        <v>600</v>
      </c>
      <c r="C443" s="356">
        <v>0</v>
      </c>
      <c r="D443" s="280" t="s">
        <v>8</v>
      </c>
      <c r="E443" s="281">
        <f>'BQ MAPLE POOL'!E442</f>
        <v>60000</v>
      </c>
      <c r="F443" s="281">
        <f t="shared" si="30"/>
        <v>0</v>
      </c>
      <c r="I443" s="429" t="s">
        <v>600</v>
      </c>
      <c r="J443" s="429">
        <v>0</v>
      </c>
      <c r="K443" s="429" t="s">
        <v>8</v>
      </c>
      <c r="L443" s="429">
        <v>60000</v>
      </c>
      <c r="M443" s="429">
        <v>0</v>
      </c>
    </row>
    <row r="444" spans="1:13">
      <c r="A444" s="285"/>
      <c r="B444" s="280" t="s">
        <v>601</v>
      </c>
      <c r="C444" s="280">
        <v>57</v>
      </c>
      <c r="D444" s="280" t="s">
        <v>8</v>
      </c>
      <c r="E444" s="281">
        <f>'BQ MAPLE POOL'!E443</f>
        <v>55000</v>
      </c>
      <c r="F444" s="281">
        <f t="shared" si="30"/>
        <v>3135000</v>
      </c>
      <c r="I444" s="429" t="s">
        <v>601</v>
      </c>
      <c r="J444" s="429">
        <v>57</v>
      </c>
      <c r="K444" s="429" t="s">
        <v>8</v>
      </c>
      <c r="L444" s="429">
        <v>55000</v>
      </c>
      <c r="M444" s="429">
        <v>3135000</v>
      </c>
    </row>
    <row r="445" spans="1:13">
      <c r="A445" s="285"/>
      <c r="B445" s="286" t="s">
        <v>397</v>
      </c>
      <c r="C445" s="280"/>
      <c r="D445" s="280"/>
      <c r="E445" s="281"/>
      <c r="F445" s="281">
        <f t="shared" si="30"/>
        <v>0</v>
      </c>
      <c r="I445" s="429" t="s">
        <v>397</v>
      </c>
      <c r="J445" s="429"/>
      <c r="K445" s="429"/>
      <c r="L445" s="429"/>
      <c r="M445" s="429">
        <v>0</v>
      </c>
    </row>
    <row r="446" spans="1:13">
      <c r="A446" s="285"/>
      <c r="B446" s="367" t="s">
        <v>803</v>
      </c>
      <c r="C446" s="280">
        <v>24</v>
      </c>
      <c r="D446" s="280" t="s">
        <v>49</v>
      </c>
      <c r="E446" s="281">
        <f>'BQ MAPLE POOL'!E445</f>
        <v>40000</v>
      </c>
      <c r="F446" s="281">
        <f t="shared" si="30"/>
        <v>960000</v>
      </c>
      <c r="I446" s="429" t="s">
        <v>803</v>
      </c>
      <c r="J446" s="429">
        <v>24</v>
      </c>
      <c r="K446" s="429" t="s">
        <v>49</v>
      </c>
      <c r="L446" s="429">
        <v>40000</v>
      </c>
      <c r="M446" s="429">
        <v>960000</v>
      </c>
    </row>
    <row r="447" spans="1:13">
      <c r="A447" s="285"/>
      <c r="B447" s="286" t="s">
        <v>399</v>
      </c>
      <c r="C447" s="280"/>
      <c r="D447" s="280"/>
      <c r="E447" s="281"/>
      <c r="F447" s="281">
        <f t="shared" si="30"/>
        <v>0</v>
      </c>
      <c r="I447" s="429" t="s">
        <v>399</v>
      </c>
      <c r="J447" s="429"/>
      <c r="K447" s="429"/>
      <c r="L447" s="429"/>
      <c r="M447" s="429">
        <v>0</v>
      </c>
    </row>
    <row r="448" spans="1:13">
      <c r="A448" s="285"/>
      <c r="B448" s="280"/>
      <c r="C448" s="280"/>
      <c r="D448" s="280"/>
      <c r="E448" s="281"/>
      <c r="F448" s="281"/>
      <c r="I448" s="429"/>
      <c r="J448" s="429"/>
      <c r="K448" s="429"/>
      <c r="L448" s="429"/>
      <c r="M448" s="429"/>
    </row>
    <row r="449" spans="1:13">
      <c r="A449" s="282" t="s">
        <v>35</v>
      </c>
      <c r="B449" s="282" t="s">
        <v>36</v>
      </c>
      <c r="C449" s="282"/>
      <c r="D449" s="282" t="s">
        <v>8</v>
      </c>
      <c r="E449" s="283"/>
      <c r="F449" s="284">
        <f>SUM(F450:F462)</f>
        <v>22777997.837837838</v>
      </c>
      <c r="I449" s="429" t="s">
        <v>36</v>
      </c>
      <c r="J449" s="429"/>
      <c r="K449" s="429" t="s">
        <v>8</v>
      </c>
      <c r="L449" s="429"/>
      <c r="M449" s="429">
        <v>22777997.837837838</v>
      </c>
    </row>
    <row r="450" spans="1:13">
      <c r="A450" s="285"/>
      <c r="B450" s="280" t="s">
        <v>257</v>
      </c>
      <c r="C450" s="280"/>
      <c r="D450" s="280" t="s">
        <v>8</v>
      </c>
      <c r="E450" s="281"/>
      <c r="F450" s="281">
        <f t="shared" ref="F450:F462" si="31">+C450*E450</f>
        <v>0</v>
      </c>
      <c r="I450" s="429" t="s">
        <v>257</v>
      </c>
      <c r="J450" s="429"/>
      <c r="K450" s="429" t="s">
        <v>8</v>
      </c>
      <c r="L450" s="429"/>
      <c r="M450" s="429">
        <v>0</v>
      </c>
    </row>
    <row r="451" spans="1:13">
      <c r="A451" s="285"/>
      <c r="B451" s="280" t="s">
        <v>258</v>
      </c>
      <c r="C451" s="280">
        <v>8</v>
      </c>
      <c r="D451" s="280" t="s">
        <v>8</v>
      </c>
      <c r="E451" s="281">
        <f>'BQ MAPLE POOL'!E450</f>
        <v>33145</v>
      </c>
      <c r="F451" s="281">
        <f t="shared" si="31"/>
        <v>265160</v>
      </c>
      <c r="I451" s="429" t="s">
        <v>258</v>
      </c>
      <c r="J451" s="429">
        <v>8</v>
      </c>
      <c r="K451" s="429" t="s">
        <v>8</v>
      </c>
      <c r="L451" s="429">
        <v>33145</v>
      </c>
      <c r="M451" s="429">
        <v>265160</v>
      </c>
    </row>
    <row r="452" spans="1:13">
      <c r="A452" s="285"/>
      <c r="B452" s="280" t="s">
        <v>259</v>
      </c>
      <c r="C452" s="356">
        <v>0</v>
      </c>
      <c r="D452" s="280" t="s">
        <v>8</v>
      </c>
      <c r="E452" s="281">
        <f>'BQ MAPLE POOL'!E451</f>
        <v>45500</v>
      </c>
      <c r="F452" s="281">
        <f t="shared" si="31"/>
        <v>0</v>
      </c>
      <c r="I452" s="429" t="s">
        <v>259</v>
      </c>
      <c r="J452" s="429">
        <v>0</v>
      </c>
      <c r="K452" s="429" t="s">
        <v>8</v>
      </c>
      <c r="L452" s="429">
        <v>45500</v>
      </c>
      <c r="M452" s="429">
        <v>0</v>
      </c>
    </row>
    <row r="453" spans="1:13">
      <c r="A453" s="285"/>
      <c r="B453" s="280" t="s">
        <v>260</v>
      </c>
      <c r="C453" s="404">
        <v>100</v>
      </c>
      <c r="D453" s="280" t="s">
        <v>8</v>
      </c>
      <c r="E453" s="281">
        <f>'BQ MAPLE POOL'!E452</f>
        <v>52540.54054054054</v>
      </c>
      <c r="F453" s="281">
        <f t="shared" si="31"/>
        <v>5254054.0540540544</v>
      </c>
      <c r="I453" s="429" t="s">
        <v>260</v>
      </c>
      <c r="J453" s="429">
        <v>100</v>
      </c>
      <c r="K453" s="429" t="s">
        <v>8</v>
      </c>
      <c r="L453" s="429">
        <v>52540.54054054054</v>
      </c>
      <c r="M453" s="429">
        <v>5254054.0540540544</v>
      </c>
    </row>
    <row r="454" spans="1:13">
      <c r="A454" s="285"/>
      <c r="B454" s="280" t="s">
        <v>261</v>
      </c>
      <c r="C454" s="405">
        <v>58</v>
      </c>
      <c r="D454" s="280" t="s">
        <v>8</v>
      </c>
      <c r="E454" s="281">
        <f>'BQ MAPLE POOL'!E453</f>
        <v>64752.252252252249</v>
      </c>
      <c r="F454" s="281">
        <f t="shared" si="31"/>
        <v>3755630.6306306305</v>
      </c>
      <c r="I454" s="429" t="s">
        <v>261</v>
      </c>
      <c r="J454" s="429">
        <v>58</v>
      </c>
      <c r="K454" s="429" t="s">
        <v>8</v>
      </c>
      <c r="L454" s="429">
        <v>64752.252252252249</v>
      </c>
      <c r="M454" s="429">
        <v>3755630.6306306305</v>
      </c>
    </row>
    <row r="455" spans="1:13">
      <c r="A455" s="285"/>
      <c r="B455" s="280" t="s">
        <v>262</v>
      </c>
      <c r="C455" s="404">
        <f>115*0+92</f>
        <v>92</v>
      </c>
      <c r="D455" s="280" t="s">
        <v>8</v>
      </c>
      <c r="E455" s="281">
        <f>'BQ MAPLE POOL'!E454</f>
        <v>82860.360360360355</v>
      </c>
      <c r="F455" s="281">
        <f t="shared" si="31"/>
        <v>7623153.1531531531</v>
      </c>
      <c r="I455" s="429" t="s">
        <v>262</v>
      </c>
      <c r="J455" s="429">
        <v>92</v>
      </c>
      <c r="K455" s="429" t="s">
        <v>8</v>
      </c>
      <c r="L455" s="429">
        <v>82860.360360360355</v>
      </c>
      <c r="M455" s="429">
        <v>7623153.1531531531</v>
      </c>
    </row>
    <row r="456" spans="1:13">
      <c r="A456" s="285"/>
      <c r="B456" s="280" t="s">
        <v>263</v>
      </c>
      <c r="C456" s="280">
        <v>1</v>
      </c>
      <c r="D456" s="280" t="s">
        <v>7</v>
      </c>
      <c r="E456" s="281">
        <f>'BQ MAPLE POOL'!E455</f>
        <v>2420000</v>
      </c>
      <c r="F456" s="281">
        <f t="shared" si="31"/>
        <v>2420000</v>
      </c>
      <c r="I456" s="429" t="s">
        <v>263</v>
      </c>
      <c r="J456" s="429">
        <v>1</v>
      </c>
      <c r="K456" s="429" t="s">
        <v>7</v>
      </c>
      <c r="L456" s="429">
        <v>2420000</v>
      </c>
      <c r="M456" s="429">
        <v>2420000</v>
      </c>
    </row>
    <row r="457" spans="1:13">
      <c r="A457" s="285"/>
      <c r="B457" s="280" t="s">
        <v>264</v>
      </c>
      <c r="C457" s="280">
        <v>2</v>
      </c>
      <c r="D457" s="280" t="s">
        <v>204</v>
      </c>
      <c r="E457" s="281">
        <f>'BQ MAPLE POOL'!E456</f>
        <v>300000</v>
      </c>
      <c r="F457" s="281">
        <f t="shared" si="31"/>
        <v>600000</v>
      </c>
      <c r="I457" s="429" t="s">
        <v>264</v>
      </c>
      <c r="J457" s="429">
        <v>2</v>
      </c>
      <c r="K457" s="429" t="s">
        <v>204</v>
      </c>
      <c r="L457" s="429">
        <v>300000</v>
      </c>
      <c r="M457" s="429">
        <v>600000</v>
      </c>
    </row>
    <row r="458" spans="1:13">
      <c r="A458" s="285"/>
      <c r="B458" s="280" t="s">
        <v>265</v>
      </c>
      <c r="C458" s="280">
        <v>2</v>
      </c>
      <c r="D458" s="280" t="s">
        <v>204</v>
      </c>
      <c r="E458" s="281">
        <f>'BQ MAPLE POOL'!E457</f>
        <v>242499.99999999997</v>
      </c>
      <c r="F458" s="281">
        <f t="shared" si="31"/>
        <v>484999.99999999994</v>
      </c>
      <c r="I458" s="429" t="s">
        <v>265</v>
      </c>
      <c r="J458" s="429">
        <v>2</v>
      </c>
      <c r="K458" s="429" t="s">
        <v>204</v>
      </c>
      <c r="L458" s="429">
        <v>242499.99999999997</v>
      </c>
      <c r="M458" s="429">
        <v>484999.99999999994</v>
      </c>
    </row>
    <row r="459" spans="1:13">
      <c r="A459" s="285"/>
      <c r="B459" s="280" t="s">
        <v>266</v>
      </c>
      <c r="C459" s="280">
        <v>25</v>
      </c>
      <c r="D459" s="280" t="s">
        <v>7</v>
      </c>
      <c r="E459" s="281">
        <f>'BQ MAPLE POOL'!E458</f>
        <v>95000</v>
      </c>
      <c r="F459" s="281">
        <f t="shared" si="31"/>
        <v>2375000</v>
      </c>
      <c r="I459" s="429" t="s">
        <v>266</v>
      </c>
      <c r="J459" s="429">
        <v>25</v>
      </c>
      <c r="K459" s="429" t="s">
        <v>7</v>
      </c>
      <c r="L459" s="429">
        <v>95000</v>
      </c>
      <c r="M459" s="429">
        <v>2375000</v>
      </c>
    </row>
    <row r="460" spans="1:13">
      <c r="A460" s="285"/>
      <c r="B460" s="286" t="s">
        <v>397</v>
      </c>
      <c r="C460" s="280"/>
      <c r="D460" s="280"/>
      <c r="E460" s="281"/>
      <c r="F460" s="281">
        <f t="shared" si="31"/>
        <v>0</v>
      </c>
      <c r="I460" s="429" t="s">
        <v>397</v>
      </c>
      <c r="J460" s="429"/>
      <c r="K460" s="429"/>
      <c r="L460" s="429"/>
      <c r="M460" s="429">
        <v>0</v>
      </c>
    </row>
    <row r="461" spans="1:13">
      <c r="A461" s="285"/>
      <c r="B461" s="286" t="s">
        <v>398</v>
      </c>
      <c r="C461" s="280"/>
      <c r="D461" s="280"/>
      <c r="E461" s="281"/>
      <c r="F461" s="281">
        <f t="shared" si="31"/>
        <v>0</v>
      </c>
      <c r="I461" s="429" t="s">
        <v>398</v>
      </c>
      <c r="J461" s="429"/>
      <c r="K461" s="429"/>
      <c r="L461" s="429"/>
      <c r="M461" s="429">
        <v>0</v>
      </c>
    </row>
    <row r="462" spans="1:13">
      <c r="A462" s="285"/>
      <c r="B462" s="286" t="s">
        <v>399</v>
      </c>
      <c r="C462" s="280"/>
      <c r="D462" s="280"/>
      <c r="E462" s="281"/>
      <c r="F462" s="281">
        <f t="shared" si="31"/>
        <v>0</v>
      </c>
      <c r="I462" s="429" t="s">
        <v>399</v>
      </c>
      <c r="J462" s="429"/>
      <c r="K462" s="429"/>
      <c r="L462" s="429"/>
      <c r="M462" s="429">
        <v>0</v>
      </c>
    </row>
    <row r="463" spans="1:13">
      <c r="A463" s="285"/>
      <c r="B463" s="280"/>
      <c r="C463" s="280"/>
      <c r="D463" s="280"/>
      <c r="E463" s="281"/>
      <c r="F463" s="281"/>
      <c r="I463" s="429"/>
      <c r="J463" s="429"/>
      <c r="K463" s="429"/>
      <c r="L463" s="429"/>
      <c r="M463" s="429"/>
    </row>
    <row r="464" spans="1:13">
      <c r="A464" s="282" t="s">
        <v>37</v>
      </c>
      <c r="B464" s="282" t="s">
        <v>267</v>
      </c>
      <c r="C464" s="282"/>
      <c r="D464" s="282" t="s">
        <v>6</v>
      </c>
      <c r="E464" s="283"/>
      <c r="F464" s="284">
        <f>SUM(F465:F473)</f>
        <v>1290000</v>
      </c>
      <c r="I464" s="429" t="s">
        <v>267</v>
      </c>
      <c r="J464" s="429"/>
      <c r="K464" s="429" t="s">
        <v>6</v>
      </c>
      <c r="L464" s="429"/>
      <c r="M464" s="429">
        <v>1290000</v>
      </c>
    </row>
    <row r="465" spans="1:13">
      <c r="A465" s="285"/>
      <c r="B465" s="280" t="s">
        <v>268</v>
      </c>
      <c r="C465" s="280"/>
      <c r="D465" s="280" t="s">
        <v>6</v>
      </c>
      <c r="E465" s="281"/>
      <c r="F465" s="281">
        <f>+C465*E465</f>
        <v>0</v>
      </c>
      <c r="I465" s="429" t="s">
        <v>268</v>
      </c>
      <c r="J465" s="429"/>
      <c r="K465" s="429" t="s">
        <v>6</v>
      </c>
      <c r="L465" s="429"/>
      <c r="M465" s="429">
        <v>0</v>
      </c>
    </row>
    <row r="466" spans="1:13">
      <c r="A466" s="285"/>
      <c r="B466" s="280" t="s">
        <v>602</v>
      </c>
      <c r="C466" s="280">
        <v>3</v>
      </c>
      <c r="D466" s="280" t="s">
        <v>204</v>
      </c>
      <c r="E466" s="281">
        <f>'BQ MAPLE POOL'!E465</f>
        <v>150000</v>
      </c>
      <c r="F466" s="281">
        <f t="shared" ref="F466:F473" si="32">+C466*E466</f>
        <v>450000</v>
      </c>
      <c r="I466" s="429" t="s">
        <v>602</v>
      </c>
      <c r="J466" s="429">
        <v>3</v>
      </c>
      <c r="K466" s="429" t="s">
        <v>204</v>
      </c>
      <c r="L466" s="429">
        <v>150000</v>
      </c>
      <c r="M466" s="429">
        <v>450000</v>
      </c>
    </row>
    <row r="467" spans="1:13">
      <c r="A467" s="285"/>
      <c r="B467" s="280" t="s">
        <v>603</v>
      </c>
      <c r="C467" s="356">
        <v>1</v>
      </c>
      <c r="D467" s="280" t="s">
        <v>6</v>
      </c>
      <c r="E467" s="281">
        <f>'BQ MAPLE POOL'!E466</f>
        <v>300000</v>
      </c>
      <c r="F467" s="281">
        <f t="shared" si="32"/>
        <v>300000</v>
      </c>
      <c r="I467" s="429" t="s">
        <v>603</v>
      </c>
      <c r="J467" s="429">
        <v>1</v>
      </c>
      <c r="K467" s="429" t="s">
        <v>6</v>
      </c>
      <c r="L467" s="429">
        <v>300000</v>
      </c>
      <c r="M467" s="429">
        <v>300000</v>
      </c>
    </row>
    <row r="468" spans="1:13">
      <c r="A468" s="285"/>
      <c r="B468" s="280" t="s">
        <v>604</v>
      </c>
      <c r="C468" s="280">
        <v>1</v>
      </c>
      <c r="D468" s="280" t="s">
        <v>6</v>
      </c>
      <c r="E468" s="281">
        <f>'BQ MAPLE POOL'!E467</f>
        <v>150000</v>
      </c>
      <c r="F468" s="281">
        <f t="shared" si="32"/>
        <v>150000</v>
      </c>
      <c r="I468" s="429" t="s">
        <v>604</v>
      </c>
      <c r="J468" s="429">
        <v>1</v>
      </c>
      <c r="K468" s="429" t="s">
        <v>6</v>
      </c>
      <c r="L468" s="429">
        <v>150000</v>
      </c>
      <c r="M468" s="429">
        <v>150000</v>
      </c>
    </row>
    <row r="469" spans="1:13">
      <c r="A469" s="285"/>
      <c r="B469" s="280" t="s">
        <v>605</v>
      </c>
      <c r="C469" s="280">
        <v>1</v>
      </c>
      <c r="D469" s="280" t="s">
        <v>6</v>
      </c>
      <c r="E469" s="281">
        <f>'BQ MAPLE POOL'!E468</f>
        <v>150000</v>
      </c>
      <c r="F469" s="281">
        <f t="shared" si="32"/>
        <v>150000</v>
      </c>
      <c r="I469" s="429" t="s">
        <v>605</v>
      </c>
      <c r="J469" s="429">
        <v>1</v>
      </c>
      <c r="K469" s="429" t="s">
        <v>6</v>
      </c>
      <c r="L469" s="429">
        <v>150000</v>
      </c>
      <c r="M469" s="429">
        <v>150000</v>
      </c>
    </row>
    <row r="470" spans="1:13">
      <c r="A470" s="285"/>
      <c r="B470" s="280" t="s">
        <v>606</v>
      </c>
      <c r="C470" s="280">
        <v>3</v>
      </c>
      <c r="D470" s="280" t="s">
        <v>204</v>
      </c>
      <c r="E470" s="281">
        <f>'BQ MAPLE POOL'!E469</f>
        <v>80000</v>
      </c>
      <c r="F470" s="281">
        <f t="shared" si="32"/>
        <v>240000</v>
      </c>
      <c r="I470" s="429" t="s">
        <v>606</v>
      </c>
      <c r="J470" s="429">
        <v>3</v>
      </c>
      <c r="K470" s="429" t="s">
        <v>204</v>
      </c>
      <c r="L470" s="429">
        <v>80000</v>
      </c>
      <c r="M470" s="429">
        <v>240000</v>
      </c>
    </row>
    <row r="471" spans="1:13">
      <c r="A471" s="285"/>
      <c r="B471" s="286" t="s">
        <v>397</v>
      </c>
      <c r="C471" s="280"/>
      <c r="D471" s="280"/>
      <c r="E471" s="281"/>
      <c r="F471" s="281">
        <f t="shared" si="32"/>
        <v>0</v>
      </c>
      <c r="I471" s="429" t="s">
        <v>397</v>
      </c>
      <c r="J471" s="429"/>
      <c r="K471" s="429"/>
      <c r="L471" s="429"/>
      <c r="M471" s="429">
        <v>0</v>
      </c>
    </row>
    <row r="472" spans="1:13">
      <c r="A472" s="285"/>
      <c r="B472" s="286" t="s">
        <v>398</v>
      </c>
      <c r="C472" s="280"/>
      <c r="D472" s="280"/>
      <c r="E472" s="281"/>
      <c r="F472" s="281">
        <f t="shared" si="32"/>
        <v>0</v>
      </c>
      <c r="I472" s="429" t="s">
        <v>398</v>
      </c>
      <c r="J472" s="429"/>
      <c r="K472" s="429"/>
      <c r="L472" s="429"/>
      <c r="M472" s="429">
        <v>0</v>
      </c>
    </row>
    <row r="473" spans="1:13">
      <c r="A473" s="285"/>
      <c r="B473" s="286" t="s">
        <v>399</v>
      </c>
      <c r="C473" s="280"/>
      <c r="D473" s="280"/>
      <c r="E473" s="281"/>
      <c r="F473" s="281">
        <f t="shared" si="32"/>
        <v>0</v>
      </c>
      <c r="I473" s="429" t="s">
        <v>399</v>
      </c>
      <c r="J473" s="429"/>
      <c r="K473" s="429"/>
      <c r="L473" s="429"/>
      <c r="M473" s="429">
        <v>0</v>
      </c>
    </row>
    <row r="474" spans="1:13">
      <c r="A474" s="285"/>
      <c r="B474" s="280"/>
      <c r="C474" s="280"/>
      <c r="D474" s="280"/>
      <c r="E474" s="281"/>
      <c r="F474" s="281"/>
      <c r="I474" s="429"/>
      <c r="J474" s="429"/>
      <c r="K474" s="429"/>
      <c r="L474" s="429"/>
      <c r="M474" s="429"/>
    </row>
    <row r="475" spans="1:13" ht="27.6">
      <c r="A475" s="282" t="s">
        <v>38</v>
      </c>
      <c r="B475" s="282" t="s">
        <v>39</v>
      </c>
      <c r="C475" s="282"/>
      <c r="D475" s="282" t="s">
        <v>10</v>
      </c>
      <c r="E475" s="283"/>
      <c r="F475" s="284">
        <f>SUM(F476:F499)</f>
        <v>23022000</v>
      </c>
      <c r="H475" s="429">
        <v>24924000</v>
      </c>
      <c r="I475" s="429" t="s">
        <v>39</v>
      </c>
      <c r="J475" s="429"/>
      <c r="K475" s="429" t="s">
        <v>10</v>
      </c>
      <c r="L475" s="429"/>
      <c r="M475" s="429">
        <v>24924000</v>
      </c>
    </row>
    <row r="476" spans="1:13">
      <c r="A476" s="285"/>
      <c r="B476" s="280" t="s">
        <v>269</v>
      </c>
      <c r="C476" s="280"/>
      <c r="D476" s="280" t="s">
        <v>10</v>
      </c>
      <c r="E476" s="281"/>
      <c r="F476" s="281">
        <f>+C476*E476</f>
        <v>0</v>
      </c>
      <c r="I476" s="429" t="s">
        <v>269</v>
      </c>
      <c r="J476" s="429"/>
      <c r="K476" s="429" t="s">
        <v>10</v>
      </c>
      <c r="L476" s="429"/>
      <c r="M476" s="429">
        <v>0</v>
      </c>
    </row>
    <row r="477" spans="1:13">
      <c r="A477" s="285"/>
      <c r="B477" s="280" t="s">
        <v>270</v>
      </c>
      <c r="C477" s="422">
        <v>26</v>
      </c>
      <c r="D477" s="280" t="s">
        <v>10</v>
      </c>
      <c r="E477" s="281">
        <f>'BQ MAPLE POOL'!E476</f>
        <v>177500</v>
      </c>
      <c r="F477" s="281">
        <f t="shared" ref="F477:F499" si="33">+C477*E477</f>
        <v>4615000</v>
      </c>
      <c r="I477" s="429" t="s">
        <v>270</v>
      </c>
      <c r="J477" s="429">
        <v>26</v>
      </c>
      <c r="K477" s="429" t="s">
        <v>10</v>
      </c>
      <c r="L477" s="429">
        <v>192500</v>
      </c>
      <c r="M477" s="429">
        <v>5005000</v>
      </c>
    </row>
    <row r="478" spans="1:13">
      <c r="A478" s="285"/>
      <c r="B478" s="280" t="s">
        <v>271</v>
      </c>
      <c r="C478" s="422">
        <v>5</v>
      </c>
      <c r="D478" s="280" t="s">
        <v>10</v>
      </c>
      <c r="E478" s="281">
        <f>'BQ MAPLE POOL'!E477</f>
        <v>177500</v>
      </c>
      <c r="F478" s="281">
        <f t="shared" si="33"/>
        <v>887500</v>
      </c>
      <c r="I478" s="429" t="s">
        <v>271</v>
      </c>
      <c r="J478" s="429">
        <v>5</v>
      </c>
      <c r="K478" s="429" t="s">
        <v>10</v>
      </c>
      <c r="L478" s="429">
        <v>192500</v>
      </c>
      <c r="M478" s="429">
        <v>962500</v>
      </c>
    </row>
    <row r="479" spans="1:13">
      <c r="A479" s="285"/>
      <c r="B479" s="280" t="s">
        <v>607</v>
      </c>
      <c r="C479" s="356">
        <v>0</v>
      </c>
      <c r="D479" s="280" t="s">
        <v>10</v>
      </c>
      <c r="E479" s="281">
        <f>'BQ MAPLE POOL'!E478</f>
        <v>0</v>
      </c>
      <c r="F479" s="281">
        <f t="shared" si="33"/>
        <v>0</v>
      </c>
      <c r="I479" s="429" t="s">
        <v>607</v>
      </c>
      <c r="J479" s="429">
        <v>0</v>
      </c>
      <c r="K479" s="429" t="s">
        <v>10</v>
      </c>
      <c r="L479" s="429">
        <v>0</v>
      </c>
      <c r="M479" s="429">
        <v>0</v>
      </c>
    </row>
    <row r="480" spans="1:13">
      <c r="A480" s="285"/>
      <c r="B480" s="280" t="s">
        <v>272</v>
      </c>
      <c r="C480" s="280">
        <v>37</v>
      </c>
      <c r="D480" s="280" t="s">
        <v>10</v>
      </c>
      <c r="E480" s="281">
        <f>'BQ MAPLE POOL'!E479</f>
        <v>177500</v>
      </c>
      <c r="F480" s="281">
        <f t="shared" si="33"/>
        <v>6567500</v>
      </c>
      <c r="I480" s="429" t="s">
        <v>272</v>
      </c>
      <c r="J480" s="429">
        <v>37</v>
      </c>
      <c r="K480" s="429" t="s">
        <v>10</v>
      </c>
      <c r="L480" s="429">
        <v>192500</v>
      </c>
      <c r="M480" s="429">
        <v>7122500</v>
      </c>
    </row>
    <row r="481" spans="1:13">
      <c r="A481" s="285"/>
      <c r="B481" s="280" t="s">
        <v>608</v>
      </c>
      <c r="C481" s="280">
        <v>28</v>
      </c>
      <c r="D481" s="280" t="s">
        <v>8</v>
      </c>
      <c r="E481" s="281">
        <f>'BQ MAPLE POOL'!E480</f>
        <v>61500</v>
      </c>
      <c r="F481" s="281">
        <f t="shared" si="33"/>
        <v>1722000</v>
      </c>
      <c r="I481" s="429" t="s">
        <v>608</v>
      </c>
      <c r="J481" s="429">
        <v>28</v>
      </c>
      <c r="K481" s="429" t="s">
        <v>8</v>
      </c>
      <c r="L481" s="429">
        <v>65500</v>
      </c>
      <c r="M481" s="429">
        <v>1834000</v>
      </c>
    </row>
    <row r="482" spans="1:13">
      <c r="A482" s="285"/>
      <c r="B482" s="280" t="s">
        <v>609</v>
      </c>
      <c r="C482" s="280">
        <v>16</v>
      </c>
      <c r="D482" s="280" t="s">
        <v>8</v>
      </c>
      <c r="E482" s="281">
        <f>'BQ MAPLE POOL'!E481</f>
        <v>75500</v>
      </c>
      <c r="F482" s="281">
        <f t="shared" si="33"/>
        <v>1208000</v>
      </c>
      <c r="I482" s="429" t="s">
        <v>609</v>
      </c>
      <c r="J482" s="429">
        <v>16</v>
      </c>
      <c r="K482" s="429" t="s">
        <v>8</v>
      </c>
      <c r="L482" s="429">
        <v>79500</v>
      </c>
      <c r="M482" s="429">
        <v>1272000</v>
      </c>
    </row>
    <row r="483" spans="1:13">
      <c r="A483" s="285"/>
      <c r="B483" s="280" t="s">
        <v>610</v>
      </c>
      <c r="C483" s="356">
        <v>0</v>
      </c>
      <c r="D483" s="280" t="s">
        <v>6</v>
      </c>
      <c r="E483" s="281">
        <f>'BQ MAPLE POOL'!E482</f>
        <v>0</v>
      </c>
      <c r="F483" s="281">
        <f t="shared" si="33"/>
        <v>0</v>
      </c>
      <c r="I483" s="429" t="s">
        <v>610</v>
      </c>
      <c r="J483" s="429">
        <v>0</v>
      </c>
      <c r="K483" s="429" t="s">
        <v>6</v>
      </c>
      <c r="L483" s="429">
        <v>0</v>
      </c>
      <c r="M483" s="429">
        <v>0</v>
      </c>
    </row>
    <row r="484" spans="1:13">
      <c r="A484" s="285"/>
      <c r="B484" s="280" t="s">
        <v>611</v>
      </c>
      <c r="C484" s="280">
        <v>92</v>
      </c>
      <c r="D484" s="280" t="s">
        <v>10</v>
      </c>
      <c r="E484" s="281">
        <f>'BQ MAPLE POOL'!E483</f>
        <v>16000</v>
      </c>
      <c r="F484" s="281">
        <f t="shared" si="33"/>
        <v>1472000</v>
      </c>
      <c r="I484" s="429" t="s">
        <v>611</v>
      </c>
      <c r="J484" s="429">
        <v>92</v>
      </c>
      <c r="K484" s="429" t="s">
        <v>10</v>
      </c>
      <c r="L484" s="429">
        <v>20000</v>
      </c>
      <c r="M484" s="429">
        <v>1840000</v>
      </c>
    </row>
    <row r="485" spans="1:13">
      <c r="A485" s="285"/>
      <c r="B485" s="280" t="s">
        <v>612</v>
      </c>
      <c r="C485" s="356">
        <f>7-1</f>
        <v>6</v>
      </c>
      <c r="D485" s="280" t="s">
        <v>10</v>
      </c>
      <c r="E485" s="281">
        <f>'BQ MAPLE POOL'!E484</f>
        <v>35000</v>
      </c>
      <c r="F485" s="281">
        <f t="shared" si="33"/>
        <v>210000</v>
      </c>
      <c r="I485" s="429" t="s">
        <v>612</v>
      </c>
      <c r="J485" s="429">
        <v>6</v>
      </c>
      <c r="K485" s="429" t="s">
        <v>10</v>
      </c>
      <c r="L485" s="429">
        <v>40000</v>
      </c>
      <c r="M485" s="429">
        <v>240000</v>
      </c>
    </row>
    <row r="486" spans="1:13">
      <c r="A486" s="285"/>
      <c r="B486" s="280" t="s">
        <v>613</v>
      </c>
      <c r="C486" s="427">
        <f>C485</f>
        <v>6</v>
      </c>
      <c r="D486" s="280" t="s">
        <v>204</v>
      </c>
      <c r="E486" s="281">
        <f>'BQ MAPLE POOL'!E485</f>
        <v>504500</v>
      </c>
      <c r="F486" s="281">
        <f t="shared" si="33"/>
        <v>3027000</v>
      </c>
      <c r="I486" s="429" t="s">
        <v>613</v>
      </c>
      <c r="J486" s="429">
        <v>6</v>
      </c>
      <c r="K486" s="429" t="s">
        <v>204</v>
      </c>
      <c r="L486" s="429">
        <v>540000</v>
      </c>
      <c r="M486" s="429">
        <v>3240000</v>
      </c>
    </row>
    <row r="487" spans="1:13">
      <c r="A487" s="285"/>
      <c r="B487" s="280" t="s">
        <v>614</v>
      </c>
      <c r="C487" s="280">
        <v>1</v>
      </c>
      <c r="D487" s="280" t="s">
        <v>10</v>
      </c>
      <c r="E487" s="281">
        <f>'BQ MAPLE POOL'!E486</f>
        <v>310000</v>
      </c>
      <c r="F487" s="281">
        <f t="shared" si="33"/>
        <v>310000</v>
      </c>
      <c r="I487" s="429" t="s">
        <v>614</v>
      </c>
      <c r="J487" s="429">
        <v>1</v>
      </c>
      <c r="K487" s="429" t="s">
        <v>10</v>
      </c>
      <c r="L487" s="429">
        <v>325000</v>
      </c>
      <c r="M487" s="429">
        <v>325000</v>
      </c>
    </row>
    <row r="488" spans="1:13">
      <c r="A488" s="285"/>
      <c r="B488" s="280" t="s">
        <v>615</v>
      </c>
      <c r="C488" s="280">
        <v>5</v>
      </c>
      <c r="D488" s="280" t="s">
        <v>10</v>
      </c>
      <c r="E488" s="281">
        <f>'BQ MAPLE POOL'!E487</f>
        <v>225000</v>
      </c>
      <c r="F488" s="281">
        <f t="shared" si="33"/>
        <v>1125000</v>
      </c>
      <c r="I488" s="429" t="s">
        <v>615</v>
      </c>
      <c r="J488" s="429">
        <v>5</v>
      </c>
      <c r="K488" s="429" t="s">
        <v>10</v>
      </c>
      <c r="L488" s="429">
        <v>235000</v>
      </c>
      <c r="M488" s="429">
        <v>1175000</v>
      </c>
    </row>
    <row r="489" spans="1:13" ht="27.6">
      <c r="A489" s="285"/>
      <c r="B489" s="280" t="s">
        <v>616</v>
      </c>
      <c r="C489" s="356">
        <v>0</v>
      </c>
      <c r="D489" s="280" t="s">
        <v>10</v>
      </c>
      <c r="E489" s="281">
        <f>'BQ MAPLE POOL'!E488</f>
        <v>0</v>
      </c>
      <c r="F489" s="281">
        <f t="shared" si="33"/>
        <v>0</v>
      </c>
      <c r="I489" s="429" t="s">
        <v>616</v>
      </c>
      <c r="J489" s="429">
        <v>0</v>
      </c>
      <c r="K489" s="429" t="s">
        <v>10</v>
      </c>
      <c r="L489" s="429">
        <v>0</v>
      </c>
      <c r="M489" s="429">
        <v>0</v>
      </c>
    </row>
    <row r="490" spans="1:13">
      <c r="A490" s="285"/>
      <c r="B490" s="280" t="s">
        <v>617</v>
      </c>
      <c r="C490" s="280">
        <v>1</v>
      </c>
      <c r="D490" s="280" t="s">
        <v>6</v>
      </c>
      <c r="E490" s="281">
        <f>'BQ MAPLE POOL'!E489</f>
        <v>200000</v>
      </c>
      <c r="F490" s="281">
        <f t="shared" si="33"/>
        <v>200000</v>
      </c>
      <c r="I490" s="429" t="s">
        <v>617</v>
      </c>
      <c r="J490" s="429">
        <v>1</v>
      </c>
      <c r="K490" s="429" t="s">
        <v>6</v>
      </c>
      <c r="L490" s="429">
        <v>200000</v>
      </c>
      <c r="M490" s="429">
        <v>200000</v>
      </c>
    </row>
    <row r="491" spans="1:13">
      <c r="A491" s="285"/>
      <c r="B491" s="280" t="s">
        <v>618</v>
      </c>
      <c r="C491" s="356">
        <v>0</v>
      </c>
      <c r="D491" s="280" t="s">
        <v>6</v>
      </c>
      <c r="E491" s="281">
        <f>'BQ MAPLE POOL'!E490</f>
        <v>0</v>
      </c>
      <c r="F491" s="281">
        <f t="shared" si="33"/>
        <v>0</v>
      </c>
      <c r="I491" s="429" t="s">
        <v>618</v>
      </c>
      <c r="J491" s="429">
        <v>0</v>
      </c>
      <c r="K491" s="429" t="s">
        <v>6</v>
      </c>
      <c r="L491" s="429">
        <v>0</v>
      </c>
      <c r="M491" s="429">
        <v>0</v>
      </c>
    </row>
    <row r="492" spans="1:13">
      <c r="A492" s="285"/>
      <c r="B492" s="280" t="s">
        <v>619</v>
      </c>
      <c r="C492" s="280">
        <v>1</v>
      </c>
      <c r="D492" s="280" t="s">
        <v>6</v>
      </c>
      <c r="E492" s="281">
        <f>'BQ MAPLE POOL'!E491</f>
        <v>150000</v>
      </c>
      <c r="F492" s="281">
        <f t="shared" si="33"/>
        <v>150000</v>
      </c>
      <c r="I492" s="429" t="s">
        <v>619</v>
      </c>
      <c r="J492" s="429">
        <v>1</v>
      </c>
      <c r="K492" s="429" t="s">
        <v>6</v>
      </c>
      <c r="L492" s="429">
        <v>150000</v>
      </c>
      <c r="M492" s="429">
        <v>150000</v>
      </c>
    </row>
    <row r="493" spans="1:13">
      <c r="A493" s="285"/>
      <c r="B493" s="280" t="s">
        <v>620</v>
      </c>
      <c r="C493" s="280">
        <v>1</v>
      </c>
      <c r="D493" s="280" t="s">
        <v>6</v>
      </c>
      <c r="E493" s="281">
        <f>'BQ MAPLE POOL'!E492</f>
        <v>400000</v>
      </c>
      <c r="F493" s="281">
        <f t="shared" si="33"/>
        <v>400000</v>
      </c>
      <c r="I493" s="429" t="s">
        <v>620</v>
      </c>
      <c r="J493" s="429">
        <v>1</v>
      </c>
      <c r="K493" s="429" t="s">
        <v>6</v>
      </c>
      <c r="L493" s="429">
        <v>400000</v>
      </c>
      <c r="M493" s="429">
        <v>400000</v>
      </c>
    </row>
    <row r="494" spans="1:13">
      <c r="A494" s="285"/>
      <c r="B494" s="280" t="s">
        <v>621</v>
      </c>
      <c r="C494" s="280">
        <v>1</v>
      </c>
      <c r="D494" s="280" t="s">
        <v>6</v>
      </c>
      <c r="E494" s="281">
        <f>'BQ MAPLE POOL'!E493</f>
        <v>300000</v>
      </c>
      <c r="F494" s="281">
        <f t="shared" si="33"/>
        <v>300000</v>
      </c>
      <c r="I494" s="429" t="s">
        <v>621</v>
      </c>
      <c r="J494" s="429">
        <v>1</v>
      </c>
      <c r="K494" s="429" t="s">
        <v>6</v>
      </c>
      <c r="L494" s="429">
        <v>300000</v>
      </c>
      <c r="M494" s="429">
        <v>300000</v>
      </c>
    </row>
    <row r="495" spans="1:13">
      <c r="A495" s="285"/>
      <c r="B495" s="280" t="s">
        <v>622</v>
      </c>
      <c r="C495" s="280">
        <v>3</v>
      </c>
      <c r="D495" s="280" t="s">
        <v>10</v>
      </c>
      <c r="E495" s="281">
        <f>'BQ MAPLE POOL'!E494</f>
        <v>180000</v>
      </c>
      <c r="F495" s="281">
        <f t="shared" si="33"/>
        <v>540000</v>
      </c>
      <c r="I495" s="429" t="s">
        <v>622</v>
      </c>
      <c r="J495" s="429">
        <v>3</v>
      </c>
      <c r="K495" s="429" t="s">
        <v>10</v>
      </c>
      <c r="L495" s="429">
        <v>190000</v>
      </c>
      <c r="M495" s="429">
        <v>570000</v>
      </c>
    </row>
    <row r="496" spans="1:13">
      <c r="A496" s="285"/>
      <c r="B496" s="280" t="s">
        <v>623</v>
      </c>
      <c r="C496" s="280">
        <v>16</v>
      </c>
      <c r="D496" s="280" t="s">
        <v>10</v>
      </c>
      <c r="E496" s="281">
        <f>'BQ MAPLE POOL'!E495</f>
        <v>18000</v>
      </c>
      <c r="F496" s="281">
        <f t="shared" si="33"/>
        <v>288000</v>
      </c>
      <c r="I496" s="429" t="s">
        <v>623</v>
      </c>
      <c r="J496" s="429">
        <v>16</v>
      </c>
      <c r="K496" s="429" t="s">
        <v>10</v>
      </c>
      <c r="L496" s="429">
        <v>18000</v>
      </c>
      <c r="M496" s="429">
        <v>288000</v>
      </c>
    </row>
    <row r="497" spans="1:13">
      <c r="A497" s="285"/>
      <c r="B497" s="286" t="s">
        <v>397</v>
      </c>
      <c r="C497" s="280"/>
      <c r="D497" s="280"/>
      <c r="E497" s="281"/>
      <c r="F497" s="281">
        <f t="shared" si="33"/>
        <v>0</v>
      </c>
      <c r="I497" s="429" t="s">
        <v>397</v>
      </c>
      <c r="J497" s="429"/>
      <c r="K497" s="429"/>
      <c r="L497" s="429"/>
      <c r="M497" s="429">
        <v>0</v>
      </c>
    </row>
    <row r="498" spans="1:13">
      <c r="A498" s="285"/>
      <c r="B498" s="286" t="s">
        <v>398</v>
      </c>
      <c r="C498" s="280"/>
      <c r="D498" s="280"/>
      <c r="E498" s="281"/>
      <c r="F498" s="281">
        <f t="shared" si="33"/>
        <v>0</v>
      </c>
      <c r="I498" s="429" t="s">
        <v>398</v>
      </c>
      <c r="J498" s="429"/>
      <c r="K498" s="429"/>
      <c r="L498" s="429"/>
      <c r="M498" s="429">
        <v>0</v>
      </c>
    </row>
    <row r="499" spans="1:13">
      <c r="A499" s="285"/>
      <c r="B499" s="286" t="s">
        <v>399</v>
      </c>
      <c r="C499" s="280"/>
      <c r="D499" s="280"/>
      <c r="E499" s="281"/>
      <c r="F499" s="281">
        <f t="shared" si="33"/>
        <v>0</v>
      </c>
      <c r="I499" s="429" t="s">
        <v>399</v>
      </c>
      <c r="J499" s="429"/>
      <c r="K499" s="429"/>
      <c r="L499" s="429"/>
      <c r="M499" s="429">
        <v>0</v>
      </c>
    </row>
    <row r="500" spans="1:13">
      <c r="A500" s="285"/>
      <c r="B500" s="280"/>
      <c r="C500" s="280"/>
      <c r="D500" s="280"/>
      <c r="E500" s="281"/>
      <c r="F500" s="281"/>
      <c r="I500" s="429"/>
      <c r="J500" s="429"/>
      <c r="K500" s="429"/>
      <c r="L500" s="429"/>
      <c r="M500" s="429"/>
    </row>
    <row r="501" spans="1:13">
      <c r="A501" s="282" t="s">
        <v>273</v>
      </c>
      <c r="B501" s="282" t="s">
        <v>274</v>
      </c>
      <c r="C501" s="282"/>
      <c r="D501" s="282" t="s">
        <v>6</v>
      </c>
      <c r="E501" s="283"/>
      <c r="F501" s="284">
        <f>SUM(F502:F532)</f>
        <v>24341000</v>
      </c>
      <c r="H501" s="429">
        <v>25658000</v>
      </c>
      <c r="I501" s="429" t="s">
        <v>274</v>
      </c>
      <c r="J501" s="429"/>
      <c r="K501" s="429" t="s">
        <v>6</v>
      </c>
      <c r="L501" s="429"/>
      <c r="M501" s="429">
        <v>25703000</v>
      </c>
    </row>
    <row r="502" spans="1:13">
      <c r="A502" s="285"/>
      <c r="B502" s="280" t="s">
        <v>275</v>
      </c>
      <c r="C502" s="280"/>
      <c r="D502" s="280" t="s">
        <v>6</v>
      </c>
      <c r="E502" s="281"/>
      <c r="F502" s="281">
        <f t="shared" ref="F502:F521" si="34">+C502*E502</f>
        <v>0</v>
      </c>
      <c r="I502" s="429" t="s">
        <v>275</v>
      </c>
      <c r="J502" s="429"/>
      <c r="K502" s="429" t="s">
        <v>6</v>
      </c>
      <c r="L502" s="429"/>
      <c r="M502" s="429">
        <v>0</v>
      </c>
    </row>
    <row r="503" spans="1:13">
      <c r="A503" s="285"/>
      <c r="B503" s="280" t="s">
        <v>276</v>
      </c>
      <c r="C503" s="280">
        <f>C477</f>
        <v>26</v>
      </c>
      <c r="D503" s="280" t="s">
        <v>10</v>
      </c>
      <c r="E503" s="281">
        <f>'BQ MAPLE POOL'!E502</f>
        <v>85000</v>
      </c>
      <c r="F503" s="281">
        <f t="shared" si="34"/>
        <v>2210000</v>
      </c>
      <c r="I503" s="429" t="s">
        <v>276</v>
      </c>
      <c r="J503" s="429">
        <v>26</v>
      </c>
      <c r="K503" s="429" t="s">
        <v>10</v>
      </c>
      <c r="L503" s="429">
        <v>85000</v>
      </c>
      <c r="M503" s="429">
        <v>2210000</v>
      </c>
    </row>
    <row r="504" spans="1:13">
      <c r="A504" s="285"/>
      <c r="B504" s="280" t="s">
        <v>277</v>
      </c>
      <c r="C504" s="280">
        <f>C478</f>
        <v>5</v>
      </c>
      <c r="D504" s="280" t="s">
        <v>10</v>
      </c>
      <c r="E504" s="281">
        <f>'BQ MAPLE POOL'!E503</f>
        <v>105000</v>
      </c>
      <c r="F504" s="281">
        <f t="shared" si="34"/>
        <v>525000</v>
      </c>
      <c r="I504" s="429" t="s">
        <v>277</v>
      </c>
      <c r="J504" s="429">
        <v>5</v>
      </c>
      <c r="K504" s="429" t="s">
        <v>10</v>
      </c>
      <c r="L504" s="429">
        <v>105000</v>
      </c>
      <c r="M504" s="429">
        <v>525000</v>
      </c>
    </row>
    <row r="505" spans="1:13">
      <c r="A505" s="285"/>
      <c r="B505" s="280" t="s">
        <v>278</v>
      </c>
      <c r="C505" s="356">
        <v>0</v>
      </c>
      <c r="D505" s="280" t="s">
        <v>10</v>
      </c>
      <c r="E505" s="281">
        <f>'BQ MAPLE POOL'!E504</f>
        <v>0</v>
      </c>
      <c r="F505" s="281">
        <f t="shared" si="34"/>
        <v>0</v>
      </c>
      <c r="I505" s="429" t="s">
        <v>278</v>
      </c>
      <c r="J505" s="429">
        <v>0</v>
      </c>
      <c r="K505" s="429" t="s">
        <v>10</v>
      </c>
      <c r="L505" s="429">
        <v>0</v>
      </c>
      <c r="M505" s="429">
        <v>0</v>
      </c>
    </row>
    <row r="506" spans="1:13">
      <c r="A506" s="285"/>
      <c r="B506" s="280" t="s">
        <v>279</v>
      </c>
      <c r="C506" s="280">
        <v>57</v>
      </c>
      <c r="D506" s="280" t="s">
        <v>7</v>
      </c>
      <c r="E506" s="281">
        <f>'BQ MAPLE POOL'!E505</f>
        <v>41000</v>
      </c>
      <c r="F506" s="281">
        <f t="shared" si="34"/>
        <v>2337000</v>
      </c>
      <c r="I506" s="429" t="s">
        <v>279</v>
      </c>
      <c r="J506" s="429">
        <v>57</v>
      </c>
      <c r="K506" s="429" t="s">
        <v>7</v>
      </c>
      <c r="L506" s="429">
        <v>41000</v>
      </c>
      <c r="M506" s="429">
        <v>2337000</v>
      </c>
    </row>
    <row r="507" spans="1:13">
      <c r="A507" s="285"/>
      <c r="B507" s="280" t="s">
        <v>280</v>
      </c>
      <c r="C507" s="280">
        <v>3</v>
      </c>
      <c r="D507" s="280" t="s">
        <v>10</v>
      </c>
      <c r="E507" s="281">
        <f>'BQ MAPLE POOL'!E506</f>
        <v>350000</v>
      </c>
      <c r="F507" s="281">
        <f t="shared" si="34"/>
        <v>1050000</v>
      </c>
      <c r="I507" s="429" t="s">
        <v>280</v>
      </c>
      <c r="J507" s="429">
        <v>3</v>
      </c>
      <c r="K507" s="429" t="s">
        <v>10</v>
      </c>
      <c r="L507" s="429">
        <v>370000</v>
      </c>
      <c r="M507" s="429">
        <v>1110000</v>
      </c>
    </row>
    <row r="508" spans="1:13">
      <c r="A508" s="285"/>
      <c r="B508" s="280" t="s">
        <v>281</v>
      </c>
      <c r="C508" s="280">
        <v>3</v>
      </c>
      <c r="D508" s="280" t="s">
        <v>10</v>
      </c>
      <c r="E508" s="281">
        <f>'BQ MAPLE POOL'!E507</f>
        <v>190000</v>
      </c>
      <c r="F508" s="281">
        <f t="shared" si="34"/>
        <v>570000</v>
      </c>
      <c r="I508" s="429" t="s">
        <v>281</v>
      </c>
      <c r="J508" s="429">
        <v>3</v>
      </c>
      <c r="K508" s="429" t="s">
        <v>10</v>
      </c>
      <c r="L508" s="429">
        <v>200000</v>
      </c>
      <c r="M508" s="429">
        <v>600000</v>
      </c>
    </row>
    <row r="509" spans="1:13" ht="27.6">
      <c r="A509" s="285"/>
      <c r="B509" s="280" t="s">
        <v>624</v>
      </c>
      <c r="C509" s="280">
        <v>18</v>
      </c>
      <c r="D509" s="280" t="s">
        <v>204</v>
      </c>
      <c r="E509" s="281">
        <f>'BQ MAPLE POOL'!E508</f>
        <v>166500</v>
      </c>
      <c r="F509" s="281">
        <f t="shared" si="34"/>
        <v>2997000</v>
      </c>
      <c r="I509" s="429" t="s">
        <v>624</v>
      </c>
      <c r="J509" s="429">
        <v>18</v>
      </c>
      <c r="K509" s="429" t="s">
        <v>204</v>
      </c>
      <c r="L509" s="429">
        <v>166500</v>
      </c>
      <c r="M509" s="429">
        <v>2997000</v>
      </c>
    </row>
    <row r="510" spans="1:13" ht="27.6">
      <c r="A510" s="285"/>
      <c r="B510" s="280" t="s">
        <v>625</v>
      </c>
      <c r="C510" s="280">
        <v>9</v>
      </c>
      <c r="D510" s="280" t="s">
        <v>204</v>
      </c>
      <c r="E510" s="281">
        <f>'BQ MAPLE POOL'!E509</f>
        <v>137500</v>
      </c>
      <c r="F510" s="281">
        <f t="shared" si="34"/>
        <v>1237500</v>
      </c>
      <c r="I510" s="429" t="s">
        <v>625</v>
      </c>
      <c r="J510" s="429">
        <v>9</v>
      </c>
      <c r="K510" s="429" t="s">
        <v>204</v>
      </c>
      <c r="L510" s="429">
        <v>141500</v>
      </c>
      <c r="M510" s="429">
        <v>1273500</v>
      </c>
    </row>
    <row r="511" spans="1:13" ht="27.6">
      <c r="A511" s="285"/>
      <c r="B511" s="280" t="s">
        <v>626</v>
      </c>
      <c r="C511" s="280">
        <v>3</v>
      </c>
      <c r="D511" s="280" t="s">
        <v>204</v>
      </c>
      <c r="E511" s="281">
        <f>'BQ MAPLE POOL'!E510</f>
        <v>162500</v>
      </c>
      <c r="F511" s="281">
        <f t="shared" si="34"/>
        <v>487500</v>
      </c>
      <c r="I511" s="429" t="s">
        <v>626</v>
      </c>
      <c r="J511" s="429">
        <v>3</v>
      </c>
      <c r="K511" s="429" t="s">
        <v>204</v>
      </c>
      <c r="L511" s="429">
        <v>194500</v>
      </c>
      <c r="M511" s="429">
        <v>583500</v>
      </c>
    </row>
    <row r="512" spans="1:13" ht="27.6">
      <c r="A512" s="285"/>
      <c r="B512" s="280" t="s">
        <v>627</v>
      </c>
      <c r="C512" s="280">
        <v>39</v>
      </c>
      <c r="D512" s="280" t="s">
        <v>204</v>
      </c>
      <c r="E512" s="281">
        <f>'BQ MAPLE POOL'!E511</f>
        <v>155000</v>
      </c>
      <c r="F512" s="281">
        <f t="shared" si="34"/>
        <v>6045000</v>
      </c>
      <c r="I512" s="429" t="s">
        <v>627</v>
      </c>
      <c r="J512" s="429">
        <v>39</v>
      </c>
      <c r="K512" s="429" t="s">
        <v>204</v>
      </c>
      <c r="L512" s="429">
        <v>165500</v>
      </c>
      <c r="M512" s="429">
        <v>6454500</v>
      </c>
    </row>
    <row r="513" spans="1:13">
      <c r="A513" s="285"/>
      <c r="B513" s="280" t="s">
        <v>628</v>
      </c>
      <c r="C513" s="280">
        <v>18</v>
      </c>
      <c r="D513" s="280" t="s">
        <v>204</v>
      </c>
      <c r="E513" s="281">
        <f>'BQ MAPLE POOL'!E512</f>
        <v>65000</v>
      </c>
      <c r="F513" s="281">
        <f t="shared" si="34"/>
        <v>1170000</v>
      </c>
      <c r="I513" s="429" t="s">
        <v>628</v>
      </c>
      <c r="J513" s="429">
        <v>18</v>
      </c>
      <c r="K513" s="429" t="s">
        <v>204</v>
      </c>
      <c r="L513" s="429">
        <v>75000</v>
      </c>
      <c r="M513" s="429">
        <v>1350000</v>
      </c>
    </row>
    <row r="514" spans="1:13">
      <c r="A514" s="285"/>
      <c r="B514" s="280" t="s">
        <v>629</v>
      </c>
      <c r="C514" s="356">
        <v>0</v>
      </c>
      <c r="D514" s="280" t="s">
        <v>204</v>
      </c>
      <c r="E514" s="281">
        <f>'BQ MAPLE POOL'!E513</f>
        <v>0</v>
      </c>
      <c r="F514" s="281">
        <f t="shared" si="34"/>
        <v>0</v>
      </c>
      <c r="I514" s="429" t="s">
        <v>629</v>
      </c>
      <c r="J514" s="429">
        <v>0</v>
      </c>
      <c r="K514" s="429" t="s">
        <v>204</v>
      </c>
      <c r="L514" s="429">
        <v>0</v>
      </c>
      <c r="M514" s="429">
        <v>0</v>
      </c>
    </row>
    <row r="515" spans="1:13">
      <c r="A515" s="285"/>
      <c r="B515" s="280" t="s">
        <v>282</v>
      </c>
      <c r="C515" s="356">
        <v>0</v>
      </c>
      <c r="D515" s="280" t="s">
        <v>204</v>
      </c>
      <c r="E515" s="281">
        <f>'BQ MAPLE POOL'!E514</f>
        <v>0</v>
      </c>
      <c r="F515" s="281">
        <f t="shared" si="34"/>
        <v>0</v>
      </c>
      <c r="I515" s="429" t="s">
        <v>282</v>
      </c>
      <c r="J515" s="429">
        <v>0</v>
      </c>
      <c r="K515" s="429" t="s">
        <v>204</v>
      </c>
      <c r="L515" s="429">
        <v>0</v>
      </c>
      <c r="M515" s="429">
        <v>0</v>
      </c>
    </row>
    <row r="516" spans="1:13">
      <c r="A516" s="285"/>
      <c r="B516" s="280" t="s">
        <v>630</v>
      </c>
      <c r="C516" s="356">
        <v>0</v>
      </c>
      <c r="D516" s="280" t="s">
        <v>204</v>
      </c>
      <c r="E516" s="281">
        <f>'BQ MAPLE POOL'!E515</f>
        <v>0</v>
      </c>
      <c r="F516" s="281">
        <f t="shared" si="34"/>
        <v>0</v>
      </c>
      <c r="I516" s="429" t="s">
        <v>630</v>
      </c>
      <c r="J516" s="429">
        <v>0</v>
      </c>
      <c r="K516" s="429" t="s">
        <v>204</v>
      </c>
      <c r="L516" s="429">
        <v>0</v>
      </c>
      <c r="M516" s="429">
        <v>0</v>
      </c>
    </row>
    <row r="517" spans="1:13">
      <c r="A517" s="285"/>
      <c r="B517" s="280" t="s">
        <v>631</v>
      </c>
      <c r="C517" s="280">
        <v>1</v>
      </c>
      <c r="D517" s="280" t="s">
        <v>204</v>
      </c>
      <c r="E517" s="281">
        <f>'BQ MAPLE POOL'!E516</f>
        <v>450000</v>
      </c>
      <c r="F517" s="281">
        <f t="shared" si="34"/>
        <v>450000</v>
      </c>
      <c r="I517" s="429" t="s">
        <v>631</v>
      </c>
      <c r="J517" s="429">
        <v>1</v>
      </c>
      <c r="K517" s="429" t="s">
        <v>204</v>
      </c>
      <c r="L517" s="429">
        <v>450000</v>
      </c>
      <c r="M517" s="429">
        <v>450000</v>
      </c>
    </row>
    <row r="518" spans="1:13" ht="27.6">
      <c r="A518" s="285"/>
      <c r="B518" s="280" t="s">
        <v>632</v>
      </c>
      <c r="C518" s="280">
        <v>3</v>
      </c>
      <c r="D518" s="280" t="s">
        <v>204</v>
      </c>
      <c r="E518" s="281">
        <f>'BQ MAPLE POOL'!E517</f>
        <v>175500</v>
      </c>
      <c r="F518" s="281">
        <f t="shared" si="34"/>
        <v>526500</v>
      </c>
      <c r="I518" s="429" t="s">
        <v>632</v>
      </c>
      <c r="J518" s="429">
        <v>3</v>
      </c>
      <c r="K518" s="429" t="s">
        <v>204</v>
      </c>
      <c r="L518" s="429">
        <v>195000</v>
      </c>
      <c r="M518" s="429">
        <v>585000</v>
      </c>
    </row>
    <row r="519" spans="1:13" ht="27.6">
      <c r="A519" s="285"/>
      <c r="B519" s="280" t="s">
        <v>633</v>
      </c>
      <c r="C519" s="280">
        <v>5</v>
      </c>
      <c r="D519" s="280" t="s">
        <v>204</v>
      </c>
      <c r="E519" s="281">
        <f>'BQ MAPLE POOL'!E518</f>
        <v>178500</v>
      </c>
      <c r="F519" s="281">
        <f t="shared" si="34"/>
        <v>892500</v>
      </c>
      <c r="I519" s="429" t="s">
        <v>633</v>
      </c>
      <c r="J519" s="429">
        <v>5</v>
      </c>
      <c r="K519" s="429" t="s">
        <v>204</v>
      </c>
      <c r="L519" s="429">
        <v>215500</v>
      </c>
      <c r="M519" s="429">
        <v>1077500</v>
      </c>
    </row>
    <row r="520" spans="1:13" ht="27.6">
      <c r="A520" s="285"/>
      <c r="B520" s="280" t="s">
        <v>634</v>
      </c>
      <c r="C520" s="356">
        <v>0</v>
      </c>
      <c r="D520" s="280" t="s">
        <v>204</v>
      </c>
      <c r="E520" s="281">
        <f>'BQ MAPLE POOL'!E519</f>
        <v>0</v>
      </c>
      <c r="F520" s="281">
        <f t="shared" si="34"/>
        <v>0</v>
      </c>
      <c r="I520" s="429" t="s">
        <v>634</v>
      </c>
      <c r="J520" s="429">
        <v>0</v>
      </c>
      <c r="K520" s="429" t="s">
        <v>204</v>
      </c>
      <c r="L520" s="429">
        <v>0</v>
      </c>
      <c r="M520" s="429">
        <v>0</v>
      </c>
    </row>
    <row r="521" spans="1:13">
      <c r="A521" s="285"/>
      <c r="B521" s="286" t="s">
        <v>397</v>
      </c>
      <c r="C521" s="280"/>
      <c r="D521" s="280"/>
      <c r="E521" s="281"/>
      <c r="F521" s="281">
        <f t="shared" si="34"/>
        <v>0</v>
      </c>
      <c r="I521" s="429" t="s">
        <v>397</v>
      </c>
      <c r="J521" s="429"/>
      <c r="K521" s="429"/>
      <c r="L521" s="429"/>
      <c r="M521" s="429">
        <v>0</v>
      </c>
    </row>
    <row r="522" spans="1:13" s="370" customFormat="1" ht="14.25" customHeight="1">
      <c r="B522" s="367" t="s">
        <v>791</v>
      </c>
      <c r="C522" s="371">
        <v>3</v>
      </c>
      <c r="D522" s="370" t="s">
        <v>204</v>
      </c>
      <c r="E522" s="281">
        <f>'BQ MAPLE POOL'!E521</f>
        <v>85000</v>
      </c>
      <c r="F522" s="360">
        <f t="shared" ref="F522:F532" si="35">C522*E522</f>
        <v>255000</v>
      </c>
      <c r="I522" s="431" t="s">
        <v>791</v>
      </c>
      <c r="J522" s="431">
        <v>3</v>
      </c>
      <c r="K522" s="431" t="s">
        <v>204</v>
      </c>
      <c r="L522" s="431">
        <v>90000</v>
      </c>
      <c r="M522" s="431">
        <v>270000</v>
      </c>
    </row>
    <row r="523" spans="1:13" s="370" customFormat="1" ht="14.25" customHeight="1">
      <c r="B523" s="367" t="s">
        <v>792</v>
      </c>
      <c r="C523" s="371">
        <v>12</v>
      </c>
      <c r="D523" s="370" t="s">
        <v>8</v>
      </c>
      <c r="E523" s="281">
        <f>'BQ MAPLE POOL'!E522</f>
        <v>34000</v>
      </c>
      <c r="F523" s="360">
        <f t="shared" si="35"/>
        <v>408000</v>
      </c>
      <c r="I523" s="431" t="s">
        <v>792</v>
      </c>
      <c r="J523" s="431">
        <v>12</v>
      </c>
      <c r="K523" s="431" t="s">
        <v>8</v>
      </c>
      <c r="L523" s="431">
        <v>40000</v>
      </c>
      <c r="M523" s="431">
        <v>480000</v>
      </c>
    </row>
    <row r="524" spans="1:13" s="370" customFormat="1" ht="14.25" customHeight="1">
      <c r="B524" s="367" t="s">
        <v>793</v>
      </c>
      <c r="C524" s="371">
        <v>1</v>
      </c>
      <c r="D524" s="370" t="s">
        <v>204</v>
      </c>
      <c r="E524" s="281">
        <f>'BQ MAPLE POOL'!E523</f>
        <v>225000</v>
      </c>
      <c r="F524" s="360">
        <f t="shared" si="35"/>
        <v>225000</v>
      </c>
      <c r="I524" s="431" t="s">
        <v>793</v>
      </c>
      <c r="J524" s="431">
        <v>1</v>
      </c>
      <c r="K524" s="431" t="s">
        <v>204</v>
      </c>
      <c r="L524" s="431">
        <v>240000</v>
      </c>
      <c r="M524" s="431">
        <v>240000</v>
      </c>
    </row>
    <row r="525" spans="1:13" s="370" customFormat="1" ht="14.25" customHeight="1">
      <c r="B525" s="367" t="s">
        <v>794</v>
      </c>
      <c r="C525" s="371">
        <v>4</v>
      </c>
      <c r="D525" s="370" t="s">
        <v>204</v>
      </c>
      <c r="E525" s="281">
        <f>'BQ MAPLE POOL'!E524</f>
        <v>35000</v>
      </c>
      <c r="F525" s="360">
        <f t="shared" si="35"/>
        <v>140000</v>
      </c>
      <c r="I525" s="431" t="s">
        <v>794</v>
      </c>
      <c r="J525" s="431">
        <v>4</v>
      </c>
      <c r="K525" s="431" t="s">
        <v>204</v>
      </c>
      <c r="L525" s="431">
        <v>35000</v>
      </c>
      <c r="M525" s="431">
        <v>140000</v>
      </c>
    </row>
    <row r="526" spans="1:13" s="370" customFormat="1" ht="27.6">
      <c r="B526" s="367" t="s">
        <v>795</v>
      </c>
      <c r="C526" s="371">
        <v>3</v>
      </c>
      <c r="D526" s="370" t="s">
        <v>10</v>
      </c>
      <c r="E526" s="281">
        <f>'BQ MAPLE POOL'!E525</f>
        <v>190000</v>
      </c>
      <c r="F526" s="360">
        <f t="shared" si="35"/>
        <v>570000</v>
      </c>
      <c r="I526" s="431" t="s">
        <v>795</v>
      </c>
      <c r="J526" s="431">
        <v>3</v>
      </c>
      <c r="K526" s="431" t="s">
        <v>10</v>
      </c>
      <c r="L526" s="431">
        <v>210000</v>
      </c>
      <c r="M526" s="431">
        <v>630000</v>
      </c>
    </row>
    <row r="527" spans="1:13" s="370" customFormat="1" ht="14.25" customHeight="1">
      <c r="B527" s="367" t="s">
        <v>796</v>
      </c>
      <c r="C527" s="371">
        <v>3</v>
      </c>
      <c r="D527" s="370" t="s">
        <v>10</v>
      </c>
      <c r="E527" s="281">
        <f>'BQ MAPLE POOL'!E526</f>
        <v>190000</v>
      </c>
      <c r="F527" s="360">
        <f t="shared" si="35"/>
        <v>570000</v>
      </c>
      <c r="I527" s="431" t="s">
        <v>796</v>
      </c>
      <c r="J527" s="431">
        <v>3</v>
      </c>
      <c r="K527" s="431" t="s">
        <v>10</v>
      </c>
      <c r="L527" s="431">
        <v>210000</v>
      </c>
      <c r="M527" s="431">
        <v>630000</v>
      </c>
    </row>
    <row r="528" spans="1:13" s="370" customFormat="1" ht="14.25" customHeight="1">
      <c r="B528" s="367" t="s">
        <v>841</v>
      </c>
      <c r="C528" s="371">
        <v>1</v>
      </c>
      <c r="D528" s="370" t="s">
        <v>10</v>
      </c>
      <c r="E528" s="281">
        <f>'BQ MAPLE POOL'!E527</f>
        <v>310000</v>
      </c>
      <c r="F528" s="360">
        <f t="shared" si="35"/>
        <v>310000</v>
      </c>
      <c r="I528" s="431" t="s">
        <v>841</v>
      </c>
      <c r="J528" s="431">
        <v>1</v>
      </c>
      <c r="K528" s="431" t="s">
        <v>10</v>
      </c>
      <c r="L528" s="431">
        <v>325000</v>
      </c>
      <c r="M528" s="431">
        <v>325000</v>
      </c>
    </row>
    <row r="529" spans="1:13" s="370" customFormat="1" ht="14.25" customHeight="1">
      <c r="B529" s="367" t="s">
        <v>842</v>
      </c>
      <c r="C529" s="371">
        <v>1</v>
      </c>
      <c r="D529" s="370" t="s">
        <v>10</v>
      </c>
      <c r="E529" s="281">
        <f>'BQ MAPLE POOL'!E528</f>
        <v>177500</v>
      </c>
      <c r="F529" s="360">
        <f t="shared" si="35"/>
        <v>177500</v>
      </c>
      <c r="I529" s="431" t="s">
        <v>842</v>
      </c>
      <c r="J529" s="431">
        <v>1</v>
      </c>
      <c r="K529" s="431" t="s">
        <v>10</v>
      </c>
      <c r="L529" s="431">
        <v>192500</v>
      </c>
      <c r="M529" s="431">
        <v>192500</v>
      </c>
    </row>
    <row r="530" spans="1:13" s="370" customFormat="1" ht="14.25" customHeight="1">
      <c r="B530" s="367" t="s">
        <v>843</v>
      </c>
      <c r="C530" s="371">
        <v>1</v>
      </c>
      <c r="D530" s="370" t="s">
        <v>797</v>
      </c>
      <c r="E530" s="281">
        <f>'BQ MAPLE POOL'!E529</f>
        <v>225000</v>
      </c>
      <c r="F530" s="360">
        <f t="shared" si="35"/>
        <v>225000</v>
      </c>
      <c r="I530" s="431" t="s">
        <v>843</v>
      </c>
      <c r="J530" s="431">
        <v>1</v>
      </c>
      <c r="K530" s="431" t="s">
        <v>797</v>
      </c>
      <c r="L530" s="431">
        <v>225000</v>
      </c>
      <c r="M530" s="431">
        <v>225000</v>
      </c>
    </row>
    <row r="531" spans="1:13" s="370" customFormat="1" ht="14.25" customHeight="1">
      <c r="B531" s="367" t="s">
        <v>844</v>
      </c>
      <c r="C531" s="371">
        <v>1</v>
      </c>
      <c r="D531" s="370" t="s">
        <v>797</v>
      </c>
      <c r="E531" s="281">
        <f>'BQ MAPLE POOL'!E530</f>
        <v>190000</v>
      </c>
      <c r="F531" s="360">
        <f t="shared" si="35"/>
        <v>190000</v>
      </c>
      <c r="I531" s="431" t="s">
        <v>844</v>
      </c>
      <c r="J531" s="431">
        <v>1</v>
      </c>
      <c r="K531" s="431" t="s">
        <v>797</v>
      </c>
      <c r="L531" s="431">
        <v>200000</v>
      </c>
      <c r="M531" s="431">
        <v>200000</v>
      </c>
    </row>
    <row r="532" spans="1:13" s="370" customFormat="1" ht="14.25" customHeight="1">
      <c r="B532" s="367" t="s">
        <v>862</v>
      </c>
      <c r="C532" s="424">
        <v>3</v>
      </c>
      <c r="D532" s="370" t="s">
        <v>204</v>
      </c>
      <c r="E532" s="360">
        <f>E477+80000</f>
        <v>257500</v>
      </c>
      <c r="F532" s="360">
        <f t="shared" si="35"/>
        <v>772500</v>
      </c>
      <c r="I532" s="431" t="s">
        <v>862</v>
      </c>
      <c r="J532" s="431">
        <v>3</v>
      </c>
      <c r="K532" s="431" t="s">
        <v>204</v>
      </c>
      <c r="L532" s="431">
        <v>272500</v>
      </c>
      <c r="M532" s="431">
        <v>817500</v>
      </c>
    </row>
    <row r="533" spans="1:13">
      <c r="A533" s="285"/>
      <c r="B533" s="280"/>
      <c r="C533" s="280"/>
      <c r="D533" s="280"/>
      <c r="E533" s="281"/>
      <c r="F533" s="281"/>
      <c r="I533" s="429"/>
      <c r="J533" s="429"/>
      <c r="K533" s="429"/>
      <c r="L533" s="429"/>
      <c r="M533" s="429"/>
    </row>
    <row r="534" spans="1:13" ht="27.6">
      <c r="A534" s="282" t="s">
        <v>635</v>
      </c>
      <c r="B534" s="282" t="s">
        <v>636</v>
      </c>
      <c r="C534" s="282">
        <v>1</v>
      </c>
      <c r="D534" s="282" t="s">
        <v>6</v>
      </c>
      <c r="E534" s="283"/>
      <c r="F534" s="284">
        <f>SUM(F535:F553)</f>
        <v>19889200</v>
      </c>
      <c r="I534" s="429" t="s">
        <v>636</v>
      </c>
      <c r="J534" s="429">
        <v>1</v>
      </c>
      <c r="K534" s="429" t="s">
        <v>6</v>
      </c>
      <c r="L534" s="429"/>
      <c r="M534" s="429">
        <v>19889200</v>
      </c>
    </row>
    <row r="535" spans="1:13">
      <c r="A535" s="285"/>
      <c r="B535" s="280" t="s">
        <v>283</v>
      </c>
      <c r="C535" s="280"/>
      <c r="D535" s="280" t="s">
        <v>6</v>
      </c>
      <c r="E535" s="281"/>
      <c r="F535" s="281">
        <f t="shared" ref="F535:F553" si="36">+C535*E535</f>
        <v>0</v>
      </c>
      <c r="I535" s="429" t="s">
        <v>283</v>
      </c>
      <c r="J535" s="429"/>
      <c r="K535" s="429" t="s">
        <v>6</v>
      </c>
      <c r="L535" s="429"/>
      <c r="M535" s="429">
        <v>0</v>
      </c>
    </row>
    <row r="536" spans="1:13">
      <c r="A536" s="285"/>
      <c r="B536" s="280" t="s">
        <v>284</v>
      </c>
      <c r="C536" s="361">
        <v>1</v>
      </c>
      <c r="D536" s="280" t="s">
        <v>7</v>
      </c>
      <c r="E536" s="281">
        <f>'BQ MAPLE POOL'!E535</f>
        <v>500000</v>
      </c>
      <c r="F536" s="281">
        <f t="shared" si="36"/>
        <v>500000</v>
      </c>
      <c r="I536" s="429" t="s">
        <v>284</v>
      </c>
      <c r="J536" s="429">
        <v>1</v>
      </c>
      <c r="K536" s="429" t="s">
        <v>7</v>
      </c>
      <c r="L536" s="429">
        <v>500000</v>
      </c>
      <c r="M536" s="429">
        <v>500000</v>
      </c>
    </row>
    <row r="537" spans="1:13">
      <c r="A537" s="285"/>
      <c r="B537" s="280" t="s">
        <v>285</v>
      </c>
      <c r="C537" s="361">
        <v>1</v>
      </c>
      <c r="D537" s="280" t="s">
        <v>204</v>
      </c>
      <c r="E537" s="281">
        <f>'BQ MAPLE POOL'!E536</f>
        <v>500000</v>
      </c>
      <c r="F537" s="281">
        <f t="shared" si="36"/>
        <v>500000</v>
      </c>
      <c r="I537" s="429" t="s">
        <v>285</v>
      </c>
      <c r="J537" s="429">
        <v>1</v>
      </c>
      <c r="K537" s="429" t="s">
        <v>204</v>
      </c>
      <c r="L537" s="429">
        <v>500000</v>
      </c>
      <c r="M537" s="429">
        <v>500000</v>
      </c>
    </row>
    <row r="538" spans="1:13">
      <c r="A538" s="285"/>
      <c r="B538" s="280" t="s">
        <v>637</v>
      </c>
      <c r="C538" s="361">
        <f>7</f>
        <v>7</v>
      </c>
      <c r="D538" s="280" t="s">
        <v>8</v>
      </c>
      <c r="E538" s="281">
        <f>'BQ MAPLE POOL'!E537</f>
        <v>115000</v>
      </c>
      <c r="F538" s="281">
        <f t="shared" si="36"/>
        <v>805000</v>
      </c>
      <c r="I538" s="429" t="s">
        <v>637</v>
      </c>
      <c r="J538" s="429">
        <v>7</v>
      </c>
      <c r="K538" s="429" t="s">
        <v>8</v>
      </c>
      <c r="L538" s="429">
        <v>115000</v>
      </c>
      <c r="M538" s="429">
        <v>805000</v>
      </c>
    </row>
    <row r="539" spans="1:13">
      <c r="A539" s="285"/>
      <c r="B539" s="280" t="s">
        <v>638</v>
      </c>
      <c r="C539" s="361">
        <f>7</f>
        <v>7</v>
      </c>
      <c r="D539" s="280" t="s">
        <v>8</v>
      </c>
      <c r="E539" s="281">
        <f>'BQ MAPLE POOL'!E538</f>
        <v>300000</v>
      </c>
      <c r="F539" s="281">
        <f t="shared" si="36"/>
        <v>2100000</v>
      </c>
      <c r="I539" s="429" t="s">
        <v>638</v>
      </c>
      <c r="J539" s="429">
        <v>7</v>
      </c>
      <c r="K539" s="429" t="s">
        <v>8</v>
      </c>
      <c r="L539" s="429">
        <v>300000</v>
      </c>
      <c r="M539" s="429">
        <v>2100000</v>
      </c>
    </row>
    <row r="540" spans="1:13">
      <c r="A540" s="285"/>
      <c r="B540" s="280" t="s">
        <v>639</v>
      </c>
      <c r="C540" s="374">
        <v>7</v>
      </c>
      <c r="D540" s="280" t="s">
        <v>8</v>
      </c>
      <c r="E540" s="281">
        <f>E538</f>
        <v>115000</v>
      </c>
      <c r="F540" s="281">
        <f t="shared" si="36"/>
        <v>805000</v>
      </c>
      <c r="I540" s="429" t="s">
        <v>639</v>
      </c>
      <c r="J540" s="429">
        <v>7</v>
      </c>
      <c r="K540" s="429" t="s">
        <v>8</v>
      </c>
      <c r="L540" s="429">
        <v>115000</v>
      </c>
      <c r="M540" s="429">
        <v>805000</v>
      </c>
    </row>
    <row r="541" spans="1:13">
      <c r="A541" s="285"/>
      <c r="B541" s="280" t="s">
        <v>640</v>
      </c>
      <c r="C541" s="374">
        <v>7</v>
      </c>
      <c r="D541" s="280" t="s">
        <v>8</v>
      </c>
      <c r="E541" s="281">
        <f>E539</f>
        <v>300000</v>
      </c>
      <c r="F541" s="281">
        <f t="shared" si="36"/>
        <v>2100000</v>
      </c>
      <c r="I541" s="429" t="s">
        <v>640</v>
      </c>
      <c r="J541" s="429">
        <v>7</v>
      </c>
      <c r="K541" s="429" t="s">
        <v>8</v>
      </c>
      <c r="L541" s="429">
        <v>300000</v>
      </c>
      <c r="M541" s="429">
        <v>2100000</v>
      </c>
    </row>
    <row r="542" spans="1:13" ht="27.6">
      <c r="A542" s="285"/>
      <c r="B542" s="280" t="s">
        <v>641</v>
      </c>
      <c r="C542" s="361">
        <f>2.5*1.1*0+2.45</f>
        <v>2.4500000000000002</v>
      </c>
      <c r="D542" s="280" t="s">
        <v>5</v>
      </c>
      <c r="E542" s="281">
        <f>'BQ MAPLE POOL'!E541</f>
        <v>850000</v>
      </c>
      <c r="F542" s="281">
        <f t="shared" si="36"/>
        <v>2082500.0000000002</v>
      </c>
      <c r="I542" s="429" t="s">
        <v>641</v>
      </c>
      <c r="J542" s="429">
        <v>2.4500000000000002</v>
      </c>
      <c r="K542" s="429" t="s">
        <v>5</v>
      </c>
      <c r="L542" s="429">
        <v>850000</v>
      </c>
      <c r="M542" s="429">
        <v>2082500.0000000002</v>
      </c>
    </row>
    <row r="543" spans="1:13" ht="27.6">
      <c r="A543" s="285"/>
      <c r="B543" s="280" t="s">
        <v>642</v>
      </c>
      <c r="C543" s="361">
        <f>3.6*1</f>
        <v>3.6</v>
      </c>
      <c r="D543" s="280" t="s">
        <v>5</v>
      </c>
      <c r="E543" s="281">
        <f>'BQ MAPLE POOL'!E542</f>
        <v>850000</v>
      </c>
      <c r="F543" s="281">
        <f t="shared" si="36"/>
        <v>3060000</v>
      </c>
      <c r="I543" s="429" t="s">
        <v>642</v>
      </c>
      <c r="J543" s="429">
        <v>3.6</v>
      </c>
      <c r="K543" s="429" t="s">
        <v>5</v>
      </c>
      <c r="L543" s="429">
        <v>850000</v>
      </c>
      <c r="M543" s="429">
        <v>3060000</v>
      </c>
    </row>
    <row r="544" spans="1:13" ht="27.6">
      <c r="A544" s="285"/>
      <c r="B544" s="280" t="s">
        <v>643</v>
      </c>
      <c r="C544" s="374">
        <f>1.7*1.1</f>
        <v>1.87</v>
      </c>
      <c r="D544" s="280" t="s">
        <v>5</v>
      </c>
      <c r="E544" s="281">
        <f>'BQ MAPLE POOL'!E543</f>
        <v>850000</v>
      </c>
      <c r="F544" s="281">
        <f t="shared" si="36"/>
        <v>1589500</v>
      </c>
      <c r="I544" s="429" t="s">
        <v>643</v>
      </c>
      <c r="J544" s="429">
        <v>1.87</v>
      </c>
      <c r="K544" s="429" t="s">
        <v>5</v>
      </c>
      <c r="L544" s="429">
        <v>850000</v>
      </c>
      <c r="M544" s="429">
        <v>1589500</v>
      </c>
    </row>
    <row r="545" spans="1:13">
      <c r="A545" s="285"/>
      <c r="B545" s="280" t="s">
        <v>644</v>
      </c>
      <c r="C545" s="374">
        <f>4*1.1</f>
        <v>4.4000000000000004</v>
      </c>
      <c r="D545" s="280" t="s">
        <v>5</v>
      </c>
      <c r="E545" s="281">
        <f>E544</f>
        <v>850000</v>
      </c>
      <c r="F545" s="281">
        <f t="shared" si="36"/>
        <v>3740000.0000000005</v>
      </c>
      <c r="I545" s="429" t="s">
        <v>644</v>
      </c>
      <c r="J545" s="429">
        <v>4.4000000000000004</v>
      </c>
      <c r="K545" s="429" t="s">
        <v>5</v>
      </c>
      <c r="L545" s="429">
        <v>850000</v>
      </c>
      <c r="M545" s="429">
        <v>3740000.0000000005</v>
      </c>
    </row>
    <row r="546" spans="1:13">
      <c r="A546" s="285"/>
      <c r="B546" s="280" t="s">
        <v>645</v>
      </c>
      <c r="C546" s="361">
        <v>1</v>
      </c>
      <c r="D546" s="280" t="s">
        <v>6</v>
      </c>
      <c r="E546" s="281">
        <f>'BQ MAPLE POOL'!E545</f>
        <v>500000</v>
      </c>
      <c r="F546" s="281">
        <f t="shared" si="36"/>
        <v>500000</v>
      </c>
      <c r="I546" s="429" t="s">
        <v>645</v>
      </c>
      <c r="J546" s="429">
        <v>1</v>
      </c>
      <c r="K546" s="429" t="s">
        <v>6</v>
      </c>
      <c r="L546" s="429">
        <v>500000</v>
      </c>
      <c r="M546" s="429">
        <v>500000</v>
      </c>
    </row>
    <row r="547" spans="1:13" ht="27.6">
      <c r="A547" s="285"/>
      <c r="B547" s="280" t="s">
        <v>646</v>
      </c>
      <c r="C547" s="361">
        <v>2</v>
      </c>
      <c r="D547" s="280" t="s">
        <v>647</v>
      </c>
      <c r="E547" s="281">
        <f>'BQ MAPLE POOL'!E546</f>
        <v>297600</v>
      </c>
      <c r="F547" s="281">
        <f t="shared" si="36"/>
        <v>595200</v>
      </c>
      <c r="I547" s="429" t="s">
        <v>646</v>
      </c>
      <c r="J547" s="429">
        <v>2</v>
      </c>
      <c r="K547" s="429" t="s">
        <v>647</v>
      </c>
      <c r="L547" s="429">
        <v>297600</v>
      </c>
      <c r="M547" s="429">
        <v>595200</v>
      </c>
    </row>
    <row r="548" spans="1:13" ht="27.6">
      <c r="A548" s="285"/>
      <c r="B548" s="280" t="s">
        <v>648</v>
      </c>
      <c r="C548" s="361">
        <v>2</v>
      </c>
      <c r="D548" s="280" t="s">
        <v>647</v>
      </c>
      <c r="E548" s="281">
        <f>'BQ MAPLE POOL'!E547</f>
        <v>195000</v>
      </c>
      <c r="F548" s="281">
        <f t="shared" si="36"/>
        <v>390000</v>
      </c>
      <c r="I548" s="429" t="s">
        <v>648</v>
      </c>
      <c r="J548" s="429">
        <v>2</v>
      </c>
      <c r="K548" s="429" t="s">
        <v>647</v>
      </c>
      <c r="L548" s="429">
        <v>195000</v>
      </c>
      <c r="M548" s="429">
        <v>390000</v>
      </c>
    </row>
    <row r="549" spans="1:13">
      <c r="A549" s="285"/>
      <c r="B549" s="404" t="s">
        <v>836</v>
      </c>
      <c r="C549" s="374">
        <f>1.2*1.1</f>
        <v>1.32</v>
      </c>
      <c r="D549" s="280" t="s">
        <v>5</v>
      </c>
      <c r="E549" s="281">
        <f>'BQ MAPLE POOL'!E548</f>
        <v>850000</v>
      </c>
      <c r="F549" s="281">
        <f t="shared" si="36"/>
        <v>1122000</v>
      </c>
      <c r="I549" s="429" t="s">
        <v>836</v>
      </c>
      <c r="J549" s="429">
        <v>1.32</v>
      </c>
      <c r="K549" s="429" t="s">
        <v>5</v>
      </c>
      <c r="L549" s="429">
        <v>850000</v>
      </c>
      <c r="M549" s="429">
        <v>1122000</v>
      </c>
    </row>
    <row r="550" spans="1:13">
      <c r="A550" s="285"/>
      <c r="B550" s="280" t="s">
        <v>649</v>
      </c>
      <c r="C550" s="356">
        <v>0</v>
      </c>
      <c r="D550" s="280" t="s">
        <v>6</v>
      </c>
      <c r="E550" s="281">
        <f>'BQ MAPLE POOL'!E549</f>
        <v>0</v>
      </c>
      <c r="F550" s="281">
        <f t="shared" si="36"/>
        <v>0</v>
      </c>
      <c r="I550" s="429" t="s">
        <v>649</v>
      </c>
      <c r="J550" s="429">
        <v>0</v>
      </c>
      <c r="K550" s="429" t="s">
        <v>6</v>
      </c>
      <c r="L550" s="429">
        <v>0</v>
      </c>
      <c r="M550" s="429">
        <v>0</v>
      </c>
    </row>
    <row r="551" spans="1:13">
      <c r="B551" s="286" t="s">
        <v>397</v>
      </c>
      <c r="C551" s="280"/>
      <c r="D551" s="280"/>
      <c r="E551" s="281"/>
      <c r="F551" s="281">
        <f t="shared" si="36"/>
        <v>0</v>
      </c>
      <c r="I551" s="429" t="s">
        <v>397</v>
      </c>
      <c r="J551" s="429"/>
      <c r="K551" s="429"/>
      <c r="L551" s="429"/>
      <c r="M551" s="429">
        <v>0</v>
      </c>
    </row>
    <row r="552" spans="1:13">
      <c r="B552" s="286" t="s">
        <v>398</v>
      </c>
      <c r="C552" s="280"/>
      <c r="D552" s="280"/>
      <c r="E552" s="281"/>
      <c r="F552" s="281">
        <f t="shared" si="36"/>
        <v>0</v>
      </c>
      <c r="I552" s="429" t="s">
        <v>398</v>
      </c>
      <c r="J552" s="429"/>
      <c r="K552" s="429"/>
      <c r="L552" s="429"/>
      <c r="M552" s="429">
        <v>0</v>
      </c>
    </row>
    <row r="553" spans="1:13">
      <c r="B553" s="286" t="s">
        <v>399</v>
      </c>
      <c r="C553" s="280"/>
      <c r="D553" s="280"/>
      <c r="E553" s="281"/>
      <c r="F553" s="281">
        <f t="shared" si="36"/>
        <v>0</v>
      </c>
      <c r="I553" s="429" t="s">
        <v>399</v>
      </c>
      <c r="J553" s="429"/>
      <c r="K553" s="429"/>
      <c r="L553" s="429"/>
      <c r="M553" s="429">
        <v>0</v>
      </c>
    </row>
    <row r="554" spans="1:13">
      <c r="E554" s="287" t="s">
        <v>650</v>
      </c>
      <c r="F554" s="287">
        <f>SUM(F2:F553)/2</f>
        <v>1026129521.4814861</v>
      </c>
      <c r="H554" s="364">
        <f>F554-'BQ MAPLE'!F553</f>
        <v>112642547.36495817</v>
      </c>
      <c r="I554" s="429"/>
      <c r="J554" s="429"/>
      <c r="K554" s="429"/>
      <c r="L554" s="429" t="s">
        <v>650</v>
      </c>
      <c r="M554" s="429">
        <v>1031067145.861151</v>
      </c>
    </row>
    <row r="555" spans="1:13">
      <c r="I555" s="429"/>
      <c r="J555" s="429"/>
      <c r="K555" s="429"/>
      <c r="L555" s="429"/>
      <c r="M555" s="429"/>
    </row>
    <row r="556" spans="1:13">
      <c r="I556" s="429"/>
      <c r="J556" s="429"/>
      <c r="K556" s="429"/>
      <c r="L556" s="429"/>
      <c r="M556" s="429"/>
    </row>
    <row r="557" spans="1:13" s="391" customFormat="1" ht="13.8">
      <c r="A557" s="371"/>
      <c r="B557" s="390" t="s">
        <v>804</v>
      </c>
      <c r="C557" s="371"/>
      <c r="D557" s="371"/>
      <c r="E557" s="371"/>
      <c r="F557" s="371"/>
      <c r="G557" s="371"/>
      <c r="I557" s="432" t="s">
        <v>804</v>
      </c>
      <c r="J557" s="432"/>
      <c r="K557" s="432"/>
      <c r="L557" s="432"/>
      <c r="M557" s="432"/>
    </row>
    <row r="558" spans="1:13" s="391" customFormat="1">
      <c r="A558" s="392">
        <f>1+A546</f>
        <v>1</v>
      </c>
      <c r="B558" s="393" t="s">
        <v>820</v>
      </c>
      <c r="C558" s="371">
        <f>6.2*5+2*1.5</f>
        <v>34</v>
      </c>
      <c r="D558" s="371" t="s">
        <v>5</v>
      </c>
      <c r="E558" s="360">
        <f>'BQ MAPLE POOL'!E557</f>
        <v>1225000</v>
      </c>
      <c r="F558" s="360">
        <f>C558*E558</f>
        <v>41650000</v>
      </c>
      <c r="G558" s="369">
        <f>F558</f>
        <v>41650000</v>
      </c>
      <c r="I558" s="432" t="s">
        <v>820</v>
      </c>
      <c r="J558" s="432">
        <v>34</v>
      </c>
      <c r="K558" s="432" t="s">
        <v>5</v>
      </c>
      <c r="L558" s="432">
        <v>1225000</v>
      </c>
      <c r="M558" s="432">
        <v>41650000</v>
      </c>
    </row>
    <row r="559" spans="1:13" s="391" customFormat="1" ht="27.6">
      <c r="A559" s="392"/>
      <c r="B559" s="394" t="s">
        <v>805</v>
      </c>
      <c r="D559" s="371"/>
      <c r="E559" s="360"/>
      <c r="F559" s="360"/>
      <c r="G559" s="371"/>
      <c r="I559" s="432" t="s">
        <v>805</v>
      </c>
      <c r="J559" s="432"/>
      <c r="K559" s="432"/>
      <c r="L559" s="432"/>
      <c r="M559" s="432"/>
    </row>
    <row r="560" spans="1:13" s="391" customFormat="1">
      <c r="A560" s="392"/>
      <c r="B560" s="394" t="s">
        <v>806</v>
      </c>
      <c r="D560" s="371"/>
      <c r="E560" s="360"/>
      <c r="F560" s="360"/>
      <c r="G560" s="371"/>
      <c r="I560" s="432" t="s">
        <v>806</v>
      </c>
      <c r="J560" s="432"/>
      <c r="K560" s="432"/>
      <c r="L560" s="432"/>
      <c r="M560" s="432"/>
    </row>
    <row r="561" spans="1:13" s="391" customFormat="1">
      <c r="A561" s="392"/>
      <c r="B561" s="394" t="s">
        <v>807</v>
      </c>
      <c r="D561" s="371"/>
      <c r="E561" s="360"/>
      <c r="F561" s="360"/>
      <c r="G561" s="371"/>
      <c r="I561" s="432" t="s">
        <v>807</v>
      </c>
      <c r="J561" s="432"/>
      <c r="K561" s="432"/>
      <c r="L561" s="432"/>
      <c r="M561" s="432"/>
    </row>
    <row r="562" spans="1:13" s="391" customFormat="1">
      <c r="A562" s="392"/>
      <c r="B562" s="393" t="s">
        <v>808</v>
      </c>
      <c r="D562" s="371"/>
      <c r="E562" s="360"/>
      <c r="F562" s="360"/>
      <c r="G562" s="371"/>
      <c r="I562" s="432" t="s">
        <v>808</v>
      </c>
      <c r="J562" s="432"/>
      <c r="K562" s="432"/>
      <c r="L562" s="432"/>
      <c r="M562" s="432"/>
    </row>
    <row r="563" spans="1:13" s="391" customFormat="1">
      <c r="A563" s="392"/>
      <c r="B563" s="394" t="s">
        <v>809</v>
      </c>
      <c r="D563" s="371"/>
      <c r="E563" s="360"/>
      <c r="F563" s="360"/>
      <c r="G563" s="371"/>
      <c r="I563" s="432" t="s">
        <v>809</v>
      </c>
      <c r="J563" s="432"/>
      <c r="K563" s="432"/>
      <c r="L563" s="432"/>
      <c r="M563" s="432"/>
    </row>
    <row r="564" spans="1:13" s="391" customFormat="1">
      <c r="A564" s="392"/>
      <c r="B564" s="393" t="s">
        <v>810</v>
      </c>
      <c r="D564" s="371"/>
      <c r="E564" s="360"/>
      <c r="F564" s="360"/>
      <c r="G564" s="371"/>
      <c r="I564" s="432" t="s">
        <v>810</v>
      </c>
      <c r="J564" s="432"/>
      <c r="K564" s="432"/>
      <c r="L564" s="432"/>
      <c r="M564" s="432"/>
    </row>
    <row r="565" spans="1:13" s="391" customFormat="1">
      <c r="A565" s="392">
        <f>A558+1</f>
        <v>2</v>
      </c>
      <c r="B565" s="393" t="s">
        <v>811</v>
      </c>
      <c r="C565" s="371">
        <v>2</v>
      </c>
      <c r="D565" s="371" t="s">
        <v>302</v>
      </c>
      <c r="E565" s="360">
        <f>'BQ MAPLE POOL'!E564</f>
        <v>980000</v>
      </c>
      <c r="F565" s="360">
        <f>C565*E565</f>
        <v>1960000</v>
      </c>
      <c r="I565" s="432" t="s">
        <v>811</v>
      </c>
      <c r="J565" s="432">
        <v>2</v>
      </c>
      <c r="K565" s="432" t="s">
        <v>302</v>
      </c>
      <c r="L565" s="432">
        <v>980000</v>
      </c>
      <c r="M565" s="432">
        <v>1960000</v>
      </c>
    </row>
    <row r="566" spans="1:13" s="391" customFormat="1">
      <c r="A566" s="392">
        <f>A565+1</f>
        <v>3</v>
      </c>
      <c r="B566" s="393" t="s">
        <v>812</v>
      </c>
      <c r="C566" s="371">
        <v>1</v>
      </c>
      <c r="D566" s="371" t="s">
        <v>302</v>
      </c>
      <c r="E566" s="360">
        <f>'BQ MAPLE POOL'!E565</f>
        <v>312000</v>
      </c>
      <c r="F566" s="360">
        <f>C566*E566</f>
        <v>312000</v>
      </c>
      <c r="G566" s="371"/>
      <c r="I566" s="432" t="s">
        <v>812</v>
      </c>
      <c r="J566" s="432">
        <v>1</v>
      </c>
      <c r="K566" s="432" t="s">
        <v>302</v>
      </c>
      <c r="L566" s="432">
        <v>312000</v>
      </c>
      <c r="M566" s="432">
        <v>312000</v>
      </c>
    </row>
    <row r="567" spans="1:13" s="391" customFormat="1">
      <c r="A567" s="371"/>
      <c r="B567" s="393" t="s">
        <v>813</v>
      </c>
      <c r="C567" s="371"/>
      <c r="D567" s="371"/>
      <c r="E567" s="360">
        <f>'BQ MAPLE POOL'!E566</f>
        <v>0</v>
      </c>
      <c r="F567" s="360"/>
      <c r="G567" s="371"/>
      <c r="I567" s="432" t="s">
        <v>813</v>
      </c>
      <c r="J567" s="432"/>
      <c r="K567" s="432"/>
      <c r="L567" s="432">
        <v>0</v>
      </c>
      <c r="M567" s="432"/>
    </row>
    <row r="568" spans="1:13" s="391" customFormat="1">
      <c r="A568" s="371"/>
      <c r="B568" s="393" t="s">
        <v>814</v>
      </c>
      <c r="C568" s="371">
        <f>1.2*6.2*0.5</f>
        <v>3.7199999999999998</v>
      </c>
      <c r="D568" s="371" t="s">
        <v>51</v>
      </c>
      <c r="E568" s="360">
        <f>'BQ MAPLE POOL'!E567</f>
        <v>75000</v>
      </c>
      <c r="F568" s="360">
        <f>C568*E568</f>
        <v>279000</v>
      </c>
      <c r="G568" s="371"/>
      <c r="I568" s="432" t="s">
        <v>814</v>
      </c>
      <c r="J568" s="432">
        <v>3.7199999999999998</v>
      </c>
      <c r="K568" s="432" t="s">
        <v>51</v>
      </c>
      <c r="L568" s="432">
        <v>75000</v>
      </c>
      <c r="M568" s="432">
        <v>279000</v>
      </c>
    </row>
    <row r="569" spans="1:13" s="391" customFormat="1">
      <c r="A569" s="371"/>
      <c r="B569" s="393" t="s">
        <v>815</v>
      </c>
      <c r="C569" s="371">
        <f>1.2*6.2*0.5</f>
        <v>3.7199999999999998</v>
      </c>
      <c r="D569" s="371" t="s">
        <v>51</v>
      </c>
      <c r="E569" s="360">
        <f>'BQ MAPLE POOL'!E568</f>
        <v>150000</v>
      </c>
      <c r="F569" s="360">
        <f>C569*E569</f>
        <v>558000</v>
      </c>
      <c r="G569" s="371"/>
      <c r="I569" s="432" t="s">
        <v>815</v>
      </c>
      <c r="J569" s="432">
        <v>3.7199999999999998</v>
      </c>
      <c r="K569" s="432" t="s">
        <v>51</v>
      </c>
      <c r="L569" s="432">
        <v>160000</v>
      </c>
      <c r="M569" s="432">
        <v>595200</v>
      </c>
    </row>
    <row r="570" spans="1:13" s="391" customFormat="1">
      <c r="A570" s="371"/>
      <c r="B570" s="393" t="s">
        <v>816</v>
      </c>
      <c r="C570" s="371">
        <f>1.2*6.2*0.05</f>
        <v>0.372</v>
      </c>
      <c r="D570" s="371" t="s">
        <v>51</v>
      </c>
      <c r="E570" s="360">
        <f>'BQ MAPLE POOL'!E569</f>
        <v>804190.63636363635</v>
      </c>
      <c r="F570" s="360">
        <f>C570*E570</f>
        <v>299158.91672727274</v>
      </c>
      <c r="G570" s="371"/>
      <c r="I570" s="432" t="s">
        <v>816</v>
      </c>
      <c r="J570" s="432">
        <v>0.372</v>
      </c>
      <c r="K570" s="432" t="s">
        <v>51</v>
      </c>
      <c r="L570" s="432">
        <v>834459.4</v>
      </c>
      <c r="M570" s="432">
        <v>310418.89679999999</v>
      </c>
    </row>
    <row r="571" spans="1:13" s="391" customFormat="1">
      <c r="A571" s="371"/>
      <c r="B571" s="393" t="s">
        <v>817</v>
      </c>
      <c r="C571" s="371">
        <f>1.2*6.2*0.1</f>
        <v>0.74399999999999999</v>
      </c>
      <c r="D571" s="371" t="s">
        <v>51</v>
      </c>
      <c r="E571" s="360">
        <f>'BQ MAPLE POOL'!E570</f>
        <v>1378456.7901234569</v>
      </c>
      <c r="F571" s="360">
        <f>C571*E571</f>
        <v>1025571.8518518519</v>
      </c>
      <c r="G571" s="371"/>
      <c r="I571" s="432" t="s">
        <v>817</v>
      </c>
      <c r="J571" s="432">
        <v>0.74399999999999999</v>
      </c>
      <c r="K571" s="432" t="s">
        <v>51</v>
      </c>
      <c r="L571" s="432">
        <v>1412832.8042328043</v>
      </c>
      <c r="M571" s="432">
        <v>1051147.6063492065</v>
      </c>
    </row>
    <row r="572" spans="1:13" s="391" customFormat="1">
      <c r="A572" s="371"/>
      <c r="B572" s="394" t="s">
        <v>818</v>
      </c>
      <c r="C572" s="371">
        <f>1.2*6.2</f>
        <v>7.4399999999999995</v>
      </c>
      <c r="D572" s="371" t="s">
        <v>5</v>
      </c>
      <c r="E572" s="360">
        <f>'BQ MAPLE POOL'!E571</f>
        <v>239262.5</v>
      </c>
      <c r="F572" s="360">
        <f>C572*E572</f>
        <v>1780112.9999999998</v>
      </c>
      <c r="G572" s="371"/>
      <c r="I572" s="432" t="s">
        <v>818</v>
      </c>
      <c r="J572" s="432">
        <v>7.4399999999999995</v>
      </c>
      <c r="K572" s="432" t="s">
        <v>5</v>
      </c>
      <c r="L572" s="432">
        <v>239262.5</v>
      </c>
      <c r="M572" s="432">
        <v>1780112.9999999998</v>
      </c>
    </row>
    <row r="573" spans="1:13" s="391" customFormat="1">
      <c r="A573" s="371"/>
      <c r="B573" s="395"/>
      <c r="D573" s="371"/>
      <c r="E573" s="360"/>
      <c r="F573" s="360">
        <f>SUM(F565:F572)</f>
        <v>6213843.7685791245</v>
      </c>
      <c r="G573" s="371"/>
      <c r="I573" s="432"/>
      <c r="J573" s="432"/>
      <c r="K573" s="432"/>
      <c r="L573" s="432"/>
      <c r="M573" s="432">
        <v>6287879.5031492068</v>
      </c>
    </row>
    <row r="574" spans="1:13" s="391" customFormat="1">
      <c r="A574" s="371"/>
      <c r="B574" s="395"/>
      <c r="D574" s="371"/>
      <c r="E574" s="371"/>
      <c r="F574" s="369">
        <v>6300000</v>
      </c>
      <c r="G574" s="371"/>
      <c r="I574" s="432"/>
      <c r="J574" s="432"/>
      <c r="K574" s="432"/>
      <c r="L574" s="432"/>
      <c r="M574" s="432">
        <v>6300000</v>
      </c>
    </row>
    <row r="575" spans="1:13">
      <c r="I575" s="429"/>
      <c r="J575" s="429"/>
      <c r="K575" s="429"/>
      <c r="L575" s="429"/>
      <c r="M575" s="429"/>
    </row>
    <row r="576" spans="1:13">
      <c r="I576" s="429"/>
      <c r="J576" s="429"/>
      <c r="K576" s="429"/>
      <c r="L576" s="429"/>
      <c r="M576" s="429"/>
    </row>
    <row r="577" spans="9:13">
      <c r="I577" s="429"/>
      <c r="J577" s="429"/>
      <c r="K577" s="429"/>
      <c r="L577" s="429"/>
      <c r="M577" s="429"/>
    </row>
    <row r="578" spans="9:13">
      <c r="I578" s="429"/>
      <c r="J578" s="429"/>
      <c r="K578" s="429"/>
      <c r="L578" s="429"/>
      <c r="M578" s="429"/>
    </row>
  </sheetData>
  <pageMargins left="0.25" right="0.25" top="0.75" bottom="0.75" header="0.3" footer="0.3"/>
  <pageSetup paperSize="9" scale="90" orientation="portrait" horizontalDpi="12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74"/>
  <sheetViews>
    <sheetView tabSelected="1" topLeftCell="B1" zoomScaleNormal="100" workbookViewId="0">
      <pane ySplit="1" topLeftCell="A221" activePane="bottomLeft" state="frozen"/>
      <selection activeCell="B1" sqref="B1"/>
      <selection pane="bottomLeft" activeCell="B197" sqref="B197"/>
    </sheetView>
  </sheetViews>
  <sheetFormatPr defaultRowHeight="14.4"/>
  <cols>
    <col min="1" max="1" width="11.33203125" bestFit="1" customWidth="1"/>
    <col min="2" max="2" width="39.6640625" customWidth="1"/>
    <col min="3" max="3" width="8.44140625" bestFit="1" customWidth="1"/>
    <col min="4" max="4" width="6.44140625" bestFit="1" customWidth="1"/>
    <col min="5" max="6" width="14.21875" style="288" bestFit="1" customWidth="1"/>
    <col min="7" max="7" width="17.77734375" customWidth="1"/>
    <col min="8" max="8" width="14.21875" bestFit="1" customWidth="1"/>
  </cols>
  <sheetData>
    <row r="1" spans="1:10">
      <c r="A1" s="280" t="s">
        <v>0</v>
      </c>
      <c r="B1" s="280" t="s">
        <v>1</v>
      </c>
      <c r="C1" s="280" t="s">
        <v>2</v>
      </c>
      <c r="D1" s="280" t="s">
        <v>177</v>
      </c>
      <c r="E1" s="281" t="s">
        <v>3</v>
      </c>
      <c r="F1" s="281" t="s">
        <v>4</v>
      </c>
    </row>
    <row r="2" spans="1:10">
      <c r="A2" s="282" t="s">
        <v>178</v>
      </c>
      <c r="B2" s="282" t="s">
        <v>179</v>
      </c>
      <c r="C2" s="282"/>
      <c r="D2" s="282" t="s">
        <v>6</v>
      </c>
      <c r="E2" s="283"/>
      <c r="F2" s="284">
        <f>SUM(F3:F11)</f>
        <v>4433680</v>
      </c>
      <c r="G2" s="397" t="s">
        <v>826</v>
      </c>
    </row>
    <row r="3" spans="1:10">
      <c r="A3" s="285"/>
      <c r="B3" s="280" t="s">
        <v>180</v>
      </c>
      <c r="C3" s="280"/>
      <c r="D3" s="280" t="s">
        <v>6</v>
      </c>
      <c r="E3" s="281"/>
      <c r="F3" s="281">
        <f>+C3*E3</f>
        <v>0</v>
      </c>
      <c r="H3" s="358"/>
      <c r="I3" s="358"/>
      <c r="J3" s="358"/>
    </row>
    <row r="4" spans="1:10">
      <c r="A4" s="285"/>
      <c r="B4" s="280" t="s">
        <v>181</v>
      </c>
      <c r="C4" s="280">
        <v>1</v>
      </c>
      <c r="D4" s="280" t="s">
        <v>6</v>
      </c>
      <c r="E4" s="281">
        <f>'BQ MAPLE ROOFTOP'!E4</f>
        <v>500000</v>
      </c>
      <c r="F4" s="281">
        <f>+C4*E4</f>
        <v>500000</v>
      </c>
    </row>
    <row r="5" spans="1:10">
      <c r="A5" s="285"/>
      <c r="B5" s="280" t="s">
        <v>182</v>
      </c>
      <c r="C5" s="280">
        <v>1</v>
      </c>
      <c r="D5" s="280" t="s">
        <v>6</v>
      </c>
      <c r="E5" s="281">
        <f>'BQ MAPLE ROOFTOP'!E5</f>
        <v>1000000</v>
      </c>
      <c r="F5" s="281">
        <f t="shared" ref="F5:F11" si="0">+C5*E5</f>
        <v>1000000</v>
      </c>
    </row>
    <row r="6" spans="1:10">
      <c r="A6" s="285"/>
      <c r="B6" s="280" t="s">
        <v>183</v>
      </c>
      <c r="C6" s="280">
        <v>54</v>
      </c>
      <c r="D6" s="280" t="s">
        <v>8</v>
      </c>
      <c r="E6" s="281">
        <f>'BQ MAPLE ROOFTOP'!E6</f>
        <v>21920</v>
      </c>
      <c r="F6" s="281">
        <f t="shared" si="0"/>
        <v>1183680</v>
      </c>
    </row>
    <row r="7" spans="1:10">
      <c r="A7" s="285"/>
      <c r="B7" s="280" t="s">
        <v>184</v>
      </c>
      <c r="C7" s="280">
        <v>1</v>
      </c>
      <c r="D7" s="280" t="s">
        <v>6</v>
      </c>
      <c r="E7" s="281">
        <f>'BQ MAPLE ROOFTOP'!E7</f>
        <v>750000</v>
      </c>
      <c r="F7" s="281">
        <f t="shared" si="0"/>
        <v>750000</v>
      </c>
    </row>
    <row r="8" spans="1:10">
      <c r="A8" s="285"/>
      <c r="B8" s="280" t="s">
        <v>185</v>
      </c>
      <c r="C8" s="280">
        <v>1</v>
      </c>
      <c r="D8" s="280" t="s">
        <v>6</v>
      </c>
      <c r="E8" s="281">
        <f>'BQ MAPLE ROOFTOP'!E8</f>
        <v>1000000</v>
      </c>
      <c r="F8" s="281">
        <f t="shared" si="0"/>
        <v>1000000</v>
      </c>
    </row>
    <row r="9" spans="1:10">
      <c r="A9" s="285"/>
      <c r="B9" s="286" t="s">
        <v>397</v>
      </c>
      <c r="C9" s="280"/>
      <c r="D9" s="280"/>
      <c r="E9" s="281"/>
      <c r="F9" s="281">
        <f t="shared" si="0"/>
        <v>0</v>
      </c>
    </row>
    <row r="10" spans="1:10">
      <c r="A10" s="285"/>
      <c r="B10" s="286" t="s">
        <v>398</v>
      </c>
      <c r="C10" s="280"/>
      <c r="D10" s="280"/>
      <c r="E10" s="281"/>
      <c r="F10" s="281">
        <f t="shared" si="0"/>
        <v>0</v>
      </c>
    </row>
    <row r="11" spans="1:10">
      <c r="A11" s="285"/>
      <c r="B11" s="286" t="s">
        <v>399</v>
      </c>
      <c r="C11" s="280"/>
      <c r="D11" s="280"/>
      <c r="E11" s="281"/>
      <c r="F11" s="281">
        <f t="shared" si="0"/>
        <v>0</v>
      </c>
    </row>
    <row r="12" spans="1:10">
      <c r="A12" s="285"/>
      <c r="B12" s="280"/>
      <c r="C12" s="280"/>
      <c r="D12" s="280"/>
      <c r="E12" s="281"/>
      <c r="F12" s="281"/>
    </row>
    <row r="13" spans="1:10">
      <c r="A13" s="282" t="s">
        <v>186</v>
      </c>
      <c r="B13" s="282" t="s">
        <v>187</v>
      </c>
      <c r="C13" s="282"/>
      <c r="D13" s="282" t="s">
        <v>6</v>
      </c>
      <c r="E13" s="283"/>
      <c r="F13" s="284">
        <f>SUM(F14:F25)</f>
        <v>10148731</v>
      </c>
    </row>
    <row r="14" spans="1:10">
      <c r="A14" s="285"/>
      <c r="B14" s="280" t="s">
        <v>188</v>
      </c>
      <c r="C14" s="280"/>
      <c r="D14" s="280" t="s">
        <v>6</v>
      </c>
      <c r="E14" s="281"/>
      <c r="F14" s="281">
        <f>+C14*E14</f>
        <v>0</v>
      </c>
    </row>
    <row r="15" spans="1:10" ht="27.6">
      <c r="A15" s="285"/>
      <c r="B15" s="280" t="s">
        <v>189</v>
      </c>
      <c r="C15" s="356">
        <v>0</v>
      </c>
      <c r="D15" s="280" t="s">
        <v>10</v>
      </c>
      <c r="E15" s="281">
        <f>'BQ MAPLE ROOFTOP'!E15</f>
        <v>190900</v>
      </c>
      <c r="F15" s="281">
        <f t="shared" ref="F15:F25" si="1">+C15*E15</f>
        <v>0</v>
      </c>
    </row>
    <row r="16" spans="1:10">
      <c r="A16" s="285"/>
      <c r="B16" s="280" t="s">
        <v>313</v>
      </c>
      <c r="C16" s="361">
        <f>(3.85*2.3+7.7*0.97+8*9.8+2*2.15+2*1.6)*0.3</f>
        <v>30.667200000000001</v>
      </c>
      <c r="D16" s="280" t="s">
        <v>9</v>
      </c>
      <c r="E16" s="281">
        <f>'BQ MAPLE ROOFTOP'!E16</f>
        <v>150000</v>
      </c>
      <c r="F16" s="281">
        <f t="shared" si="1"/>
        <v>4600080</v>
      </c>
    </row>
    <row r="17" spans="1:6">
      <c r="A17" s="285"/>
      <c r="B17" s="280" t="s">
        <v>400</v>
      </c>
      <c r="C17" s="361">
        <f>6.2*5*0.4</f>
        <v>12.4</v>
      </c>
      <c r="D17" s="280" t="s">
        <v>9</v>
      </c>
      <c r="E17" s="281">
        <f>'BQ MAPLE ROOFTOP'!E17</f>
        <v>150000</v>
      </c>
      <c r="F17" s="281">
        <f t="shared" si="1"/>
        <v>1860000</v>
      </c>
    </row>
    <row r="18" spans="1:6">
      <c r="A18" s="285"/>
      <c r="B18" s="280" t="s">
        <v>190</v>
      </c>
      <c r="C18" s="361">
        <f>(162.4*0.2*0.4)+(0.5*0.5*26+1*0.5*5+1.5*0.5)*0.6*0.9</f>
        <v>18.257000000000001</v>
      </c>
      <c r="D18" s="280" t="s">
        <v>9</v>
      </c>
      <c r="E18" s="281">
        <f>'BQ MAPLE ROOFTOP'!E18</f>
        <v>75000</v>
      </c>
      <c r="F18" s="281">
        <f t="shared" si="1"/>
        <v>1369275</v>
      </c>
    </row>
    <row r="19" spans="1:6">
      <c r="A19" s="285"/>
      <c r="B19" s="280" t="s">
        <v>191</v>
      </c>
      <c r="C19" s="361">
        <f>C18*0.6</f>
        <v>10.9542</v>
      </c>
      <c r="D19" s="280" t="s">
        <v>9</v>
      </c>
      <c r="E19" s="281">
        <f>'BQ MAPLE ROOFTOP'!E19</f>
        <v>75000</v>
      </c>
      <c r="F19" s="281">
        <f t="shared" si="1"/>
        <v>821565</v>
      </c>
    </row>
    <row r="20" spans="1:6">
      <c r="A20" s="285"/>
      <c r="B20" s="280" t="s">
        <v>192</v>
      </c>
      <c r="C20" s="361">
        <f>C18*0.4</f>
        <v>7.3028000000000013</v>
      </c>
      <c r="D20" s="280" t="s">
        <v>9</v>
      </c>
      <c r="E20" s="281">
        <f>'BQ MAPLE ROOFTOP'!E20</f>
        <v>60000</v>
      </c>
      <c r="F20" s="281">
        <f t="shared" si="1"/>
        <v>438168.00000000006</v>
      </c>
    </row>
    <row r="21" spans="1:6">
      <c r="A21" s="285"/>
      <c r="B21" s="280" t="s">
        <v>401</v>
      </c>
      <c r="C21" s="361">
        <f>133.22</f>
        <v>133.22</v>
      </c>
      <c r="D21" s="280" t="s">
        <v>5</v>
      </c>
      <c r="E21" s="281">
        <f>'BQ MAPLE ROOFTOP'!E21</f>
        <v>3150</v>
      </c>
      <c r="F21" s="281">
        <f t="shared" si="1"/>
        <v>419643</v>
      </c>
    </row>
    <row r="22" spans="1:6">
      <c r="A22" s="285"/>
      <c r="B22" s="280" t="s">
        <v>193</v>
      </c>
      <c r="C22" s="361">
        <v>32</v>
      </c>
      <c r="D22" s="280" t="s">
        <v>10</v>
      </c>
      <c r="E22" s="281">
        <f>'BQ MAPLE ROOFTOP'!E22</f>
        <v>20000</v>
      </c>
      <c r="F22" s="281">
        <f t="shared" si="1"/>
        <v>640000</v>
      </c>
    </row>
    <row r="23" spans="1:6">
      <c r="A23" s="285"/>
      <c r="B23" s="286" t="s">
        <v>397</v>
      </c>
      <c r="C23" s="280"/>
      <c r="D23" s="280"/>
      <c r="E23" s="281"/>
      <c r="F23" s="281">
        <f t="shared" si="1"/>
        <v>0</v>
      </c>
    </row>
    <row r="24" spans="1:6">
      <c r="A24" s="285"/>
      <c r="B24" s="286" t="s">
        <v>398</v>
      </c>
      <c r="C24" s="280"/>
      <c r="D24" s="280"/>
      <c r="E24" s="281"/>
      <c r="F24" s="281">
        <f t="shared" si="1"/>
        <v>0</v>
      </c>
    </row>
    <row r="25" spans="1:6">
      <c r="A25" s="285"/>
      <c r="B25" s="286" t="s">
        <v>399</v>
      </c>
      <c r="C25" s="280"/>
      <c r="D25" s="280"/>
      <c r="E25" s="281"/>
      <c r="F25" s="281">
        <f t="shared" si="1"/>
        <v>0</v>
      </c>
    </row>
    <row r="26" spans="1:6">
      <c r="A26" s="285"/>
      <c r="B26" s="280"/>
      <c r="C26" s="280"/>
      <c r="D26" s="280"/>
      <c r="E26" s="281"/>
      <c r="F26" s="281"/>
    </row>
    <row r="27" spans="1:6">
      <c r="A27" s="282" t="s">
        <v>194</v>
      </c>
      <c r="B27" s="282" t="s">
        <v>195</v>
      </c>
      <c r="C27" s="282"/>
      <c r="D27" s="282" t="s">
        <v>6</v>
      </c>
      <c r="E27" s="283"/>
      <c r="F27" s="284">
        <f>SUM(F28:F42)</f>
        <v>43600363.18783816</v>
      </c>
    </row>
    <row r="28" spans="1:6">
      <c r="A28" s="285"/>
      <c r="B28" s="280" t="s">
        <v>196</v>
      </c>
      <c r="C28" s="280"/>
      <c r="D28" s="280" t="s">
        <v>6</v>
      </c>
      <c r="E28" s="281"/>
      <c r="F28" s="281">
        <f t="shared" ref="F28:F42" si="2">+C28*E28</f>
        <v>0</v>
      </c>
    </row>
    <row r="29" spans="1:6">
      <c r="A29" s="285"/>
      <c r="B29" s="280" t="s">
        <v>860</v>
      </c>
      <c r="C29" s="421">
        <f>0.4*0.4*0.4*11</f>
        <v>0.70400000000000018</v>
      </c>
      <c r="D29" s="280" t="s">
        <v>9</v>
      </c>
      <c r="E29" s="281">
        <f>'BQ MAPLE ROOFTOP'!E29</f>
        <v>3852484.2317997543</v>
      </c>
      <c r="F29" s="281">
        <f t="shared" si="2"/>
        <v>2712148.8991870279</v>
      </c>
    </row>
    <row r="30" spans="1:6">
      <c r="A30" s="285"/>
      <c r="B30" s="280" t="s">
        <v>863</v>
      </c>
      <c r="C30" s="421">
        <f>0.4*0.4*0.4*8</f>
        <v>0.51200000000000012</v>
      </c>
      <c r="D30" s="280" t="s">
        <v>9</v>
      </c>
      <c r="E30" s="281">
        <f>'BQ MAPLE ROOFTOP'!E30</f>
        <v>3852484.2317997543</v>
      </c>
      <c r="F30" s="281">
        <f t="shared" si="2"/>
        <v>1972471.9266814748</v>
      </c>
    </row>
    <row r="31" spans="1:6">
      <c r="A31" s="285"/>
      <c r="B31" s="280" t="s">
        <v>395</v>
      </c>
      <c r="C31" s="361">
        <f>0.6*0.5*0.4*4</f>
        <v>0.48</v>
      </c>
      <c r="D31" s="280" t="s">
        <v>9</v>
      </c>
      <c r="E31" s="281">
        <f>'BQ MAPLE ROOFTOP'!E31</f>
        <v>3498750.737496247</v>
      </c>
      <c r="F31" s="281">
        <f t="shared" si="2"/>
        <v>1679400.3539981984</v>
      </c>
    </row>
    <row r="32" spans="1:6">
      <c r="A32" s="285"/>
      <c r="B32" s="280" t="s">
        <v>402</v>
      </c>
      <c r="C32" s="361">
        <f>1*0.5*0.5*5</f>
        <v>1.25</v>
      </c>
      <c r="D32" s="280" t="s">
        <v>9</v>
      </c>
      <c r="E32" s="281">
        <f>'BQ MAPLE ROOFTOP'!E32</f>
        <v>2647171.0161464373</v>
      </c>
      <c r="F32" s="281">
        <f t="shared" si="2"/>
        <v>3308963.7701830463</v>
      </c>
    </row>
    <row r="33" spans="1:6">
      <c r="A33" s="285"/>
      <c r="B33" s="280" t="s">
        <v>403</v>
      </c>
      <c r="C33" s="373">
        <f>1.5*0.5*0.5*1</f>
        <v>0.375</v>
      </c>
      <c r="D33" s="280" t="s">
        <v>9</v>
      </c>
      <c r="E33" s="281">
        <f>'BQ MAPLE ROOFTOP'!E33</f>
        <v>2578922.5388660226</v>
      </c>
      <c r="F33" s="281">
        <f t="shared" si="2"/>
        <v>967095.95207475848</v>
      </c>
    </row>
    <row r="34" spans="1:6">
      <c r="A34" s="285"/>
      <c r="B34" s="280" t="s">
        <v>404</v>
      </c>
      <c r="C34" s="361">
        <f>0.15*0.3*3.9</f>
        <v>0.17549999999999999</v>
      </c>
      <c r="D34" s="280" t="s">
        <v>9</v>
      </c>
      <c r="E34" s="281">
        <f>'BQ MAPLE ROOFTOP'!E34</f>
        <v>3073435.9402093007</v>
      </c>
      <c r="F34" s="281">
        <f t="shared" si="2"/>
        <v>539388.00750673225</v>
      </c>
    </row>
    <row r="35" spans="1:6">
      <c r="A35" s="285"/>
      <c r="B35" s="280" t="s">
        <v>405</v>
      </c>
      <c r="C35" s="361">
        <f>0.15*0.3*2.15</f>
        <v>9.6749999999999989E-2</v>
      </c>
      <c r="D35" s="280" t="s">
        <v>9</v>
      </c>
      <c r="E35" s="281">
        <f>'BQ MAPLE ROOFTOP'!E35</f>
        <v>3580111.2173264176</v>
      </c>
      <c r="F35" s="281">
        <f t="shared" si="2"/>
        <v>346375.76027633087</v>
      </c>
    </row>
    <row r="36" spans="1:6">
      <c r="A36" s="285"/>
      <c r="B36" s="280" t="s">
        <v>406</v>
      </c>
      <c r="C36" s="361">
        <f>0.15*0.4*4.6</f>
        <v>0.27599999999999997</v>
      </c>
      <c r="D36" s="280" t="s">
        <v>9</v>
      </c>
      <c r="E36" s="281">
        <f>'BQ MAPLE ROOFTOP'!E36</f>
        <v>2858270.2165206117</v>
      </c>
      <c r="F36" s="281">
        <f t="shared" si="2"/>
        <v>788882.5797596887</v>
      </c>
    </row>
    <row r="37" spans="1:6">
      <c r="A37" s="285"/>
      <c r="B37" s="280" t="s">
        <v>407</v>
      </c>
      <c r="C37" s="361">
        <f>0.15*0.4*147.1</f>
        <v>8.8259999999999987</v>
      </c>
      <c r="D37" s="280" t="s">
        <v>9</v>
      </c>
      <c r="E37" s="281">
        <f>'BQ MAPLE ROOFTOP'!E37</f>
        <v>3238276.6743584499</v>
      </c>
      <c r="F37" s="281">
        <f t="shared" si="2"/>
        <v>28581029.927887674</v>
      </c>
    </row>
    <row r="38" spans="1:6">
      <c r="A38" s="285"/>
      <c r="B38" s="280" t="s">
        <v>408</v>
      </c>
      <c r="C38" s="361">
        <f>0.15*0.4*5.15</f>
        <v>0.309</v>
      </c>
      <c r="D38" s="280" t="s">
        <v>9</v>
      </c>
      <c r="E38" s="281">
        <f>'BQ MAPLE ROOFTOP'!E38</f>
        <v>3355063.5290131043</v>
      </c>
      <c r="F38" s="281">
        <f t="shared" si="2"/>
        <v>1036714.6304650492</v>
      </c>
    </row>
    <row r="39" spans="1:6" ht="27.6">
      <c r="A39" s="285"/>
      <c r="B39" s="280" t="s">
        <v>409</v>
      </c>
      <c r="C39" s="361">
        <f>(162.4*0.2+0.5*0.5*23+1*0.5*5+1.5*0.5)*0.05</f>
        <v>2.0740000000000003</v>
      </c>
      <c r="D39" s="280" t="s">
        <v>9</v>
      </c>
      <c r="E39" s="281">
        <f>'BQ MAPLE ROOFTOP'!E39</f>
        <v>804190.63636363635</v>
      </c>
      <c r="F39" s="281">
        <f t="shared" si="2"/>
        <v>1667891.379818182</v>
      </c>
    </row>
    <row r="40" spans="1:6">
      <c r="A40" s="285"/>
      <c r="B40" s="286" t="s">
        <v>397</v>
      </c>
      <c r="C40" s="280"/>
      <c r="D40" s="280"/>
      <c r="E40" s="281"/>
      <c r="F40" s="281">
        <f t="shared" si="2"/>
        <v>0</v>
      </c>
    </row>
    <row r="41" spans="1:6">
      <c r="A41" s="285"/>
      <c r="B41" s="286" t="s">
        <v>398</v>
      </c>
      <c r="C41" s="280"/>
      <c r="D41" s="280"/>
      <c r="E41" s="281"/>
      <c r="F41" s="281">
        <f t="shared" si="2"/>
        <v>0</v>
      </c>
    </row>
    <row r="42" spans="1:6">
      <c r="A42" s="285"/>
      <c r="B42" s="286" t="s">
        <v>399</v>
      </c>
      <c r="C42" s="280"/>
      <c r="D42" s="280"/>
      <c r="E42" s="281"/>
      <c r="F42" s="281">
        <f t="shared" si="2"/>
        <v>0</v>
      </c>
    </row>
    <row r="43" spans="1:6">
      <c r="A43" s="285"/>
      <c r="B43" s="280"/>
      <c r="C43" s="280"/>
      <c r="D43" s="280"/>
      <c r="E43" s="281"/>
      <c r="F43" s="281"/>
    </row>
    <row r="44" spans="1:6">
      <c r="A44" s="282" t="s">
        <v>11</v>
      </c>
      <c r="B44" s="282" t="s">
        <v>175</v>
      </c>
      <c r="C44" s="282">
        <v>1</v>
      </c>
      <c r="D44" s="282" t="s">
        <v>9</v>
      </c>
      <c r="E44" s="283"/>
      <c r="F44" s="284">
        <f>SUM(F45:F88)</f>
        <v>122304590.89315414</v>
      </c>
    </row>
    <row r="45" spans="1:6">
      <c r="A45" s="285"/>
      <c r="B45" s="280" t="s">
        <v>197</v>
      </c>
      <c r="C45" s="280">
        <v>1</v>
      </c>
      <c r="D45" s="280" t="s">
        <v>9</v>
      </c>
      <c r="E45" s="281"/>
      <c r="F45" s="281">
        <f>+C45*E45</f>
        <v>0</v>
      </c>
    </row>
    <row r="46" spans="1:6">
      <c r="A46" s="285"/>
      <c r="B46" s="280" t="s">
        <v>198</v>
      </c>
      <c r="C46" s="280"/>
      <c r="D46" s="285"/>
      <c r="E46" s="281"/>
      <c r="F46" s="281">
        <f t="shared" ref="F46:F87" si="3">+C46*E46</f>
        <v>0</v>
      </c>
    </row>
    <row r="47" spans="1:6" ht="27.6">
      <c r="A47" s="285"/>
      <c r="B47" s="280" t="s">
        <v>410</v>
      </c>
      <c r="C47" s="361">
        <f>(3.85*2.3+7.7*0.97+8*9.8+2*2.15+2*1.6)*0.08</f>
        <v>8.1779200000000003</v>
      </c>
      <c r="D47" s="280" t="s">
        <v>9</v>
      </c>
      <c r="E47" s="281">
        <f>'BQ MAPLE ROOFTOP'!E47</f>
        <v>1351330.8531746031</v>
      </c>
      <c r="F47" s="281">
        <f t="shared" si="3"/>
        <v>11051075.61079365</v>
      </c>
    </row>
    <row r="48" spans="1:6" ht="27.6">
      <c r="A48" s="285"/>
      <c r="B48" s="280" t="s">
        <v>411</v>
      </c>
      <c r="C48" s="361">
        <f>6.2*5*0.1</f>
        <v>3.1</v>
      </c>
      <c r="D48" s="280" t="s">
        <v>9</v>
      </c>
      <c r="E48" s="281">
        <f>'BQ MAPLE ROOFTOP'!E48</f>
        <v>1378456.7901234569</v>
      </c>
      <c r="F48" s="281">
        <f t="shared" si="3"/>
        <v>4273216.0493827164</v>
      </c>
    </row>
    <row r="49" spans="1:6">
      <c r="A49" s="285"/>
      <c r="B49" s="280" t="s">
        <v>864</v>
      </c>
      <c r="C49" s="361">
        <f>0.12*0.12*4*20</f>
        <v>1.1519999999999999</v>
      </c>
      <c r="D49" s="280" t="s">
        <v>9</v>
      </c>
      <c r="E49" s="281">
        <f>'BQ MAPLE ROOFTOP'!E49</f>
        <v>5921152.0207294449</v>
      </c>
      <c r="F49" s="281">
        <f t="shared" si="3"/>
        <v>6821167.12788032</v>
      </c>
    </row>
    <row r="50" spans="1:6">
      <c r="A50" s="285"/>
      <c r="B50" s="280" t="s">
        <v>412</v>
      </c>
      <c r="C50" s="361">
        <f>0.13*0.2*4.25*2</f>
        <v>0.22100000000000003</v>
      </c>
      <c r="D50" s="280" t="s">
        <v>9</v>
      </c>
      <c r="E50" s="281">
        <f>'BQ MAPLE ROOFTOP'!E50</f>
        <v>6620256.3551628552</v>
      </c>
      <c r="F50" s="281">
        <f t="shared" si="3"/>
        <v>1463076.6544909913</v>
      </c>
    </row>
    <row r="51" spans="1:6">
      <c r="A51" s="285"/>
      <c r="B51" s="280" t="s">
        <v>413</v>
      </c>
      <c r="C51" s="361">
        <f>0.13*0.4*4.25*5+0.13*0.4*5.3*1</f>
        <v>1.3806000000000003</v>
      </c>
      <c r="D51" s="280" t="s">
        <v>9</v>
      </c>
      <c r="E51" s="281">
        <f>'BQ MAPLE ROOFTOP'!E51</f>
        <v>5533660.8068890572</v>
      </c>
      <c r="F51" s="281">
        <f t="shared" si="3"/>
        <v>7639772.1099910336</v>
      </c>
    </row>
    <row r="52" spans="1:6">
      <c r="A52" s="285"/>
      <c r="B52" s="280" t="s">
        <v>414</v>
      </c>
      <c r="C52" s="361">
        <f>0.13*0.5*4.25*1</f>
        <v>0.27625</v>
      </c>
      <c r="D52" s="280" t="s">
        <v>9</v>
      </c>
      <c r="E52" s="281">
        <f>'BQ MAPLE ROOFTOP'!E52</f>
        <v>5071334.3098469097</v>
      </c>
      <c r="F52" s="281">
        <f t="shared" si="3"/>
        <v>1400956.1030952088</v>
      </c>
    </row>
    <row r="53" spans="1:6">
      <c r="A53" s="285"/>
      <c r="B53" s="280" t="s">
        <v>415</v>
      </c>
      <c r="C53" s="361">
        <f>0.13*0.6*4.25*4</f>
        <v>1.3260000000000001</v>
      </c>
      <c r="D53" s="280" t="s">
        <v>9</v>
      </c>
      <c r="E53" s="281">
        <f>'BQ MAPLE ROOFTOP'!E53</f>
        <v>5138794.6391461398</v>
      </c>
      <c r="F53" s="281">
        <f t="shared" si="3"/>
        <v>6814041.6915077819</v>
      </c>
    </row>
    <row r="54" spans="1:6">
      <c r="A54" s="285"/>
      <c r="B54" s="280" t="s">
        <v>416</v>
      </c>
      <c r="C54" s="374">
        <f>0.13*0.7*4.25*1</f>
        <v>0.38674999999999998</v>
      </c>
      <c r="D54" s="280" t="s">
        <v>9</v>
      </c>
      <c r="E54" s="281">
        <f>'BQ MAPLE ROOFTOP'!E54</f>
        <v>4864970.8795078788</v>
      </c>
      <c r="F54" s="281">
        <f t="shared" si="3"/>
        <v>1881527.487649672</v>
      </c>
    </row>
    <row r="55" spans="1:6">
      <c r="A55" s="285"/>
      <c r="B55" s="280" t="s">
        <v>417</v>
      </c>
      <c r="C55" s="374">
        <f>0.13*0.8*5.3*1</f>
        <v>0.55120000000000002</v>
      </c>
      <c r="D55" s="280" t="s">
        <v>9</v>
      </c>
      <c r="E55" s="281">
        <f>'BQ MAPLE ROOFTOP'!E55</f>
        <v>5002613.4021215271</v>
      </c>
      <c r="F55" s="281">
        <f t="shared" si="3"/>
        <v>2757440.507249386</v>
      </c>
    </row>
    <row r="56" spans="1:6">
      <c r="A56" s="285"/>
      <c r="B56" s="280" t="s">
        <v>418</v>
      </c>
      <c r="C56" s="361">
        <f>0.13*0.9*4.25*1</f>
        <v>0.49725000000000003</v>
      </c>
      <c r="D56" s="280" t="s">
        <v>9</v>
      </c>
      <c r="E56" s="281">
        <f>'BQ MAPLE ROOFTOP'!E56</f>
        <v>5129894.2004137011</v>
      </c>
      <c r="F56" s="281">
        <f t="shared" si="3"/>
        <v>2550839.8911557132</v>
      </c>
    </row>
    <row r="57" spans="1:6">
      <c r="A57" s="285"/>
      <c r="B57" s="280" t="s">
        <v>419</v>
      </c>
      <c r="C57" s="361">
        <f>0.13*0.9*4.25*1</f>
        <v>0.49725000000000003</v>
      </c>
      <c r="D57" s="280" t="s">
        <v>9</v>
      </c>
      <c r="E57" s="281">
        <f>'BQ MAPLE ROOFTOP'!E57</f>
        <v>4999268.1412650412</v>
      </c>
      <c r="F57" s="281">
        <f t="shared" si="3"/>
        <v>2485886.083244042</v>
      </c>
    </row>
    <row r="58" spans="1:6">
      <c r="A58" s="285"/>
      <c r="B58" s="280" t="s">
        <v>420</v>
      </c>
      <c r="C58" s="361">
        <f>0.13*0.53*4.25*1</f>
        <v>0.292825</v>
      </c>
      <c r="D58" s="280" t="s">
        <v>9</v>
      </c>
      <c r="E58" s="281">
        <f>'BQ MAPLE ROOFTOP'!E58</f>
        <v>6219604.4888366628</v>
      </c>
      <c r="F58" s="281">
        <f t="shared" si="3"/>
        <v>1821255.6844435958</v>
      </c>
    </row>
    <row r="59" spans="1:6">
      <c r="A59" s="285"/>
      <c r="B59" s="280" t="s">
        <v>421</v>
      </c>
      <c r="C59" s="361">
        <f>0.13*0.93*4.25*1</f>
        <v>0.51382499999999998</v>
      </c>
      <c r="D59" s="280" t="s">
        <v>9</v>
      </c>
      <c r="E59" s="281">
        <f>'BQ MAPLE ROOFTOP'!E59</f>
        <v>5712394.3039721549</v>
      </c>
      <c r="F59" s="281">
        <f t="shared" si="3"/>
        <v>2935171.0032384922</v>
      </c>
    </row>
    <row r="60" spans="1:6">
      <c r="A60" s="285"/>
      <c r="B60" s="285"/>
      <c r="C60" s="361"/>
      <c r="D60" s="285"/>
      <c r="E60" s="281"/>
      <c r="F60" s="281">
        <f t="shared" si="3"/>
        <v>0</v>
      </c>
    </row>
    <row r="61" spans="1:6">
      <c r="A61" s="285"/>
      <c r="B61" s="280" t="s">
        <v>199</v>
      </c>
      <c r="C61" s="361"/>
      <c r="D61" s="285"/>
      <c r="E61" s="281"/>
      <c r="F61" s="281">
        <f t="shared" si="3"/>
        <v>0</v>
      </c>
    </row>
    <row r="62" spans="1:6">
      <c r="A62" s="285"/>
      <c r="B62" s="280" t="s">
        <v>865</v>
      </c>
      <c r="C62" s="361">
        <f>0.12*0.12*3.8*36</f>
        <v>1.9699199999999999</v>
      </c>
      <c r="D62" s="280" t="s">
        <v>9</v>
      </c>
      <c r="E62" s="281">
        <f>'BQ MAPLE ROOFTOP'!E62</f>
        <v>5921152.0207294449</v>
      </c>
      <c r="F62" s="281">
        <f t="shared" si="3"/>
        <v>11664195.788675347</v>
      </c>
    </row>
    <row r="63" spans="1:6">
      <c r="A63" s="285"/>
      <c r="B63" s="280" t="s">
        <v>422</v>
      </c>
      <c r="C63" s="361">
        <f>0.13*0.2*3.8*1</f>
        <v>9.8799999999999999E-2</v>
      </c>
      <c r="D63" s="280" t="s">
        <v>9</v>
      </c>
      <c r="E63" s="281">
        <f>'BQ MAPLE ROOFTOP'!E63</f>
        <v>6620256.3551628552</v>
      </c>
      <c r="F63" s="281">
        <f t="shared" si="3"/>
        <v>654081.32789009006</v>
      </c>
    </row>
    <row r="64" spans="1:6">
      <c r="A64" s="285"/>
      <c r="B64" s="280" t="s">
        <v>423</v>
      </c>
      <c r="C64" s="361">
        <f>0.13*0.3*3.8*15</f>
        <v>2.2229999999999999</v>
      </c>
      <c r="D64" s="280" t="s">
        <v>9</v>
      </c>
      <c r="E64" s="281">
        <f>'BQ MAPLE ROOFTOP'!E64</f>
        <v>5552848.9806379806</v>
      </c>
      <c r="F64" s="281">
        <f t="shared" si="3"/>
        <v>12343983.28395823</v>
      </c>
    </row>
    <row r="65" spans="1:6">
      <c r="A65" s="285"/>
      <c r="B65" s="280" t="s">
        <v>424</v>
      </c>
      <c r="C65" s="374">
        <f>0.13*0.4*3.8*3</f>
        <v>0.59279999999999999</v>
      </c>
      <c r="D65" s="280" t="s">
        <v>9</v>
      </c>
      <c r="E65" s="281">
        <f>'BQ MAPLE ROOFTOP'!E65</f>
        <v>5533660.8068890572</v>
      </c>
      <c r="F65" s="281">
        <f t="shared" si="3"/>
        <v>3280354.1263238331</v>
      </c>
    </row>
    <row r="66" spans="1:6">
      <c r="A66" s="285"/>
      <c r="B66" s="280" t="s">
        <v>425</v>
      </c>
      <c r="C66" s="361">
        <f>0.13*0.3*18.65</f>
        <v>0.72734999999999994</v>
      </c>
      <c r="D66" s="280" t="s">
        <v>9</v>
      </c>
      <c r="E66" s="281">
        <f>'BQ MAPLE ROOFTOP'!E66</f>
        <v>3569825.4991925494</v>
      </c>
      <c r="F66" s="281">
        <f t="shared" si="3"/>
        <v>2596512.5768377008</v>
      </c>
    </row>
    <row r="67" spans="1:6">
      <c r="A67" s="285"/>
      <c r="B67" s="280" t="s">
        <v>426</v>
      </c>
      <c r="C67" s="361">
        <f>0.13*0.3*21.6</f>
        <v>0.84240000000000004</v>
      </c>
      <c r="D67" s="280" t="s">
        <v>9</v>
      </c>
      <c r="E67" s="281">
        <f>'BQ MAPLE ROOFTOP'!E67</f>
        <v>4154450.8189430698</v>
      </c>
      <c r="F67" s="281">
        <f t="shared" si="3"/>
        <v>3499709.369877642</v>
      </c>
    </row>
    <row r="68" spans="1:6">
      <c r="A68" s="285"/>
      <c r="B68" s="280" t="s">
        <v>427</v>
      </c>
      <c r="C68" s="361">
        <f>0.13*0.4*68</f>
        <v>3.5360000000000005</v>
      </c>
      <c r="D68" s="280" t="s">
        <v>9</v>
      </c>
      <c r="E68" s="281">
        <f>'BQ MAPLE ROOFTOP'!E68</f>
        <v>3844926.4927038052</v>
      </c>
      <c r="F68" s="281">
        <f t="shared" si="3"/>
        <v>13595660.078200657</v>
      </c>
    </row>
    <row r="69" spans="1:6">
      <c r="A69" s="285"/>
      <c r="B69" s="280" t="s">
        <v>428</v>
      </c>
      <c r="C69" s="361">
        <f>0.13*0.4*7.6</f>
        <v>0.3952</v>
      </c>
      <c r="D69" s="280" t="s">
        <v>9</v>
      </c>
      <c r="E69" s="281">
        <f>'BQ MAPLE ROOFTOP'!E69</f>
        <v>4771420.6536099035</v>
      </c>
      <c r="F69" s="281">
        <f t="shared" si="3"/>
        <v>1885665.4423066338</v>
      </c>
    </row>
    <row r="70" spans="1:6">
      <c r="A70" s="285"/>
      <c r="B70" s="280" t="s">
        <v>429</v>
      </c>
      <c r="C70" s="361">
        <f>0.13*0.4*4.5</f>
        <v>0.23400000000000001</v>
      </c>
      <c r="D70" s="280" t="s">
        <v>9</v>
      </c>
      <c r="E70" s="281">
        <f>'BQ MAPLE ROOFTOP'!E70</f>
        <v>3979680.5557668684</v>
      </c>
      <c r="F70" s="281">
        <f t="shared" si="3"/>
        <v>931245.25004944729</v>
      </c>
    </row>
    <row r="71" spans="1:6">
      <c r="A71" s="285"/>
      <c r="B71" s="280" t="s">
        <v>430</v>
      </c>
      <c r="C71" s="361">
        <f>0.13*0.4*3.5</f>
        <v>0.18200000000000002</v>
      </c>
      <c r="D71" s="280" t="s">
        <v>9</v>
      </c>
      <c r="E71" s="281">
        <f>'BQ MAPLE ROOFTOP'!E71</f>
        <v>4022733.6567284069</v>
      </c>
      <c r="F71" s="281">
        <f t="shared" si="3"/>
        <v>732137.52552457014</v>
      </c>
    </row>
    <row r="72" spans="1:6">
      <c r="A72" s="285"/>
      <c r="B72" s="280" t="s">
        <v>431</v>
      </c>
      <c r="C72" s="359">
        <v>0</v>
      </c>
      <c r="D72" s="280" t="s">
        <v>9</v>
      </c>
      <c r="E72" s="281">
        <f>'BQ MAPLE ROOFTOP'!E72</f>
        <v>0</v>
      </c>
      <c r="F72" s="281">
        <f t="shared" si="3"/>
        <v>0</v>
      </c>
    </row>
    <row r="73" spans="1:6">
      <c r="A73" s="285"/>
      <c r="B73" s="280" t="s">
        <v>432</v>
      </c>
      <c r="C73" s="361">
        <f>0.13*0.4*3.5</f>
        <v>0.18200000000000002</v>
      </c>
      <c r="D73" s="280" t="s">
        <v>9</v>
      </c>
      <c r="E73" s="281">
        <f>'BQ MAPLE ROOFTOP'!E73</f>
        <v>4426995.8459175956</v>
      </c>
      <c r="F73" s="281">
        <f t="shared" si="3"/>
        <v>805713.24395700253</v>
      </c>
    </row>
    <row r="74" spans="1:6">
      <c r="A74" s="285"/>
      <c r="B74" s="280" t="s">
        <v>433</v>
      </c>
      <c r="C74" s="361">
        <f>0.13*0.5*3</f>
        <v>0.19500000000000001</v>
      </c>
      <c r="D74" s="280" t="s">
        <v>9</v>
      </c>
      <c r="E74" s="281">
        <f>'BQ MAPLE ROOFTOP'!E74</f>
        <v>3808462.6469602468</v>
      </c>
      <c r="F74" s="281">
        <f t="shared" si="3"/>
        <v>742650.21615724813</v>
      </c>
    </row>
    <row r="75" spans="1:6">
      <c r="A75" s="285"/>
      <c r="B75" s="280" t="s">
        <v>434</v>
      </c>
      <c r="C75" s="361">
        <f>0.13*0.5*7.5</f>
        <v>0.48750000000000004</v>
      </c>
      <c r="D75" s="280" t="s">
        <v>9</v>
      </c>
      <c r="E75" s="281">
        <f>'BQ MAPLE ROOFTOP'!E75</f>
        <v>4223719.0136962142</v>
      </c>
      <c r="F75" s="281">
        <f t="shared" si="3"/>
        <v>2059063.0191769046</v>
      </c>
    </row>
    <row r="76" spans="1:6">
      <c r="A76" s="285"/>
      <c r="B76" s="280" t="s">
        <v>435</v>
      </c>
      <c r="C76" s="361">
        <f>0.13*0.5*5.1</f>
        <v>0.33149999999999996</v>
      </c>
      <c r="D76" s="280" t="s">
        <v>9</v>
      </c>
      <c r="E76" s="281">
        <f>'BQ MAPLE ROOFTOP'!E76</f>
        <v>4453335.5521577522</v>
      </c>
      <c r="F76" s="281">
        <f t="shared" si="3"/>
        <v>1476280.7355402948</v>
      </c>
    </row>
    <row r="77" spans="1:6">
      <c r="A77" s="285"/>
      <c r="B77" s="280" t="s">
        <v>436</v>
      </c>
      <c r="C77" s="361">
        <f>0.2*0.5*2.5</f>
        <v>0.25</v>
      </c>
      <c r="D77" s="280" t="s">
        <v>9</v>
      </c>
      <c r="E77" s="281">
        <f>'BQ MAPLE ROOFTOP'!E77</f>
        <v>3763392.0450255945</v>
      </c>
      <c r="F77" s="281">
        <f t="shared" si="3"/>
        <v>940848.01125639863</v>
      </c>
    </row>
    <row r="78" spans="1:6">
      <c r="A78" s="285"/>
      <c r="B78" s="280" t="s">
        <v>437</v>
      </c>
      <c r="C78" s="361">
        <f>0.2*0.5*3.5</f>
        <v>0.35000000000000003</v>
      </c>
      <c r="D78" s="280" t="s">
        <v>9</v>
      </c>
      <c r="E78" s="281">
        <f>'BQ MAPLE ROOFTOP'!E78</f>
        <v>3549044.2072328012</v>
      </c>
      <c r="F78" s="281">
        <f t="shared" si="3"/>
        <v>1242165.4725314805</v>
      </c>
    </row>
    <row r="79" spans="1:6">
      <c r="A79" s="285"/>
      <c r="B79" s="280" t="s">
        <v>438</v>
      </c>
      <c r="C79" s="361">
        <f>0.13*0.5*2.5</f>
        <v>0.16250000000000001</v>
      </c>
      <c r="D79" s="280" t="s">
        <v>9</v>
      </c>
      <c r="E79" s="281">
        <f>'BQ MAPLE ROOFTOP'!E79</f>
        <v>4161839.0709380712</v>
      </c>
      <c r="F79" s="281">
        <f t="shared" si="3"/>
        <v>676298.84902743658</v>
      </c>
    </row>
    <row r="80" spans="1:6">
      <c r="A80" s="285"/>
      <c r="B80" s="280" t="s">
        <v>439</v>
      </c>
      <c r="C80" s="361">
        <f>0.13*0.5*2.5</f>
        <v>0.16250000000000001</v>
      </c>
      <c r="D80" s="280" t="s">
        <v>9</v>
      </c>
      <c r="E80" s="281">
        <f>'BQ MAPLE ROOFTOP'!E80</f>
        <v>4377445.5718389722</v>
      </c>
      <c r="F80" s="281">
        <f t="shared" si="3"/>
        <v>711334.90542383306</v>
      </c>
    </row>
    <row r="81" spans="1:6">
      <c r="A81" s="285"/>
      <c r="B81" s="286" t="s">
        <v>397</v>
      </c>
      <c r="C81" s="361"/>
      <c r="D81" s="280"/>
      <c r="E81" s="281"/>
      <c r="F81" s="281">
        <f t="shared" si="3"/>
        <v>0</v>
      </c>
    </row>
    <row r="82" spans="1:6">
      <c r="A82" s="285"/>
      <c r="B82" s="286" t="s">
        <v>711</v>
      </c>
      <c r="C82" s="361">
        <f>0.13*0.13*3.8*2</f>
        <v>0.12844</v>
      </c>
      <c r="D82" s="280" t="s">
        <v>9</v>
      </c>
      <c r="E82" s="281">
        <f>'BQ MAPLE ROOFTOP'!E83</f>
        <v>7218688.1678515542</v>
      </c>
      <c r="F82" s="281">
        <f t="shared" ref="F82" si="4">+C82*E82</f>
        <v>927168.30827885366</v>
      </c>
    </row>
    <row r="83" spans="1:6">
      <c r="A83" s="285"/>
      <c r="B83" s="286" t="s">
        <v>686</v>
      </c>
      <c r="C83" s="361">
        <f>(0.35+0.12)*0.1/2*3.8*4</f>
        <v>0.35719999999999996</v>
      </c>
      <c r="D83" s="280" t="s">
        <v>9</v>
      </c>
      <c r="E83" s="281">
        <f>'BQ MAPLE ROOFTOP'!E84</f>
        <v>6402278.9530439535</v>
      </c>
      <c r="F83" s="281">
        <f t="shared" si="3"/>
        <v>2286894.0420272998</v>
      </c>
    </row>
    <row r="84" spans="1:6">
      <c r="A84" s="285"/>
      <c r="B84" s="286" t="s">
        <v>771</v>
      </c>
      <c r="C84" s="361">
        <f>0.13*0.3*2</f>
        <v>7.8E-2</v>
      </c>
      <c r="D84" s="280" t="s">
        <v>9</v>
      </c>
      <c r="E84" s="281">
        <f>'BQ MAPLE ROOFTOP'!E85</f>
        <v>4556279.7612507623</v>
      </c>
      <c r="F84" s="281">
        <f t="shared" si="3"/>
        <v>355389.82137755945</v>
      </c>
    </row>
    <row r="85" spans="1:6">
      <c r="A85" s="285"/>
      <c r="B85" s="286" t="s">
        <v>772</v>
      </c>
      <c r="C85" s="361">
        <f>0.13*0.15*2.5</f>
        <v>4.8750000000000002E-2</v>
      </c>
      <c r="D85" s="280" t="s">
        <v>9</v>
      </c>
      <c r="E85" s="281">
        <f>'BQ MAPLE ROOFTOP'!E86</f>
        <v>4325349.279270879</v>
      </c>
      <c r="F85" s="281">
        <f t="shared" si="3"/>
        <v>210860.77736445537</v>
      </c>
    </row>
    <row r="86" spans="1:6">
      <c r="A86" s="285"/>
      <c r="B86" s="286" t="s">
        <v>773</v>
      </c>
      <c r="C86" s="361">
        <f>0.13*0.2*6.45</f>
        <v>0.16770000000000002</v>
      </c>
      <c r="D86" s="280" t="s">
        <v>9</v>
      </c>
      <c r="E86" s="281">
        <f>'BQ MAPLE ROOFTOP'!E87</f>
        <v>3694481.5092783347</v>
      </c>
      <c r="F86" s="281">
        <f t="shared" si="3"/>
        <v>619564.54910597682</v>
      </c>
    </row>
    <row r="87" spans="1:6">
      <c r="A87" s="285"/>
      <c r="B87" s="286" t="s">
        <v>774</v>
      </c>
      <c r="C87" s="361">
        <f>0.13*0.2*6</f>
        <v>0.15600000000000003</v>
      </c>
      <c r="D87" s="280" t="s">
        <v>9</v>
      </c>
      <c r="E87" s="281">
        <f>'BQ MAPLE ROOFTOP'!E88</f>
        <v>4667093.0465964219</v>
      </c>
      <c r="F87" s="281">
        <f t="shared" si="3"/>
        <v>728066.51526904199</v>
      </c>
    </row>
    <row r="88" spans="1:6">
      <c r="A88" s="285"/>
      <c r="B88" s="286" t="s">
        <v>731</v>
      </c>
      <c r="C88" s="361">
        <f>0.13*0.3*5.3*3</f>
        <v>0.62009999999999998</v>
      </c>
      <c r="D88" s="280" t="s">
        <v>9</v>
      </c>
      <c r="E88" s="362">
        <f>'BQ MAPLE ROOFTOP'!E82</f>
        <v>5552848.9806379806</v>
      </c>
      <c r="F88" s="281">
        <f>+C88*E88</f>
        <v>3443321.6528936117</v>
      </c>
    </row>
    <row r="89" spans="1:6">
      <c r="A89" s="285"/>
      <c r="B89" s="280"/>
      <c r="C89" s="361"/>
      <c r="D89" s="280"/>
      <c r="E89" s="281"/>
      <c r="F89" s="281"/>
    </row>
    <row r="90" spans="1:6" ht="27.6">
      <c r="A90" s="282" t="s">
        <v>176</v>
      </c>
      <c r="B90" s="282" t="s">
        <v>12</v>
      </c>
      <c r="C90" s="375"/>
      <c r="D90" s="282" t="s">
        <v>9</v>
      </c>
      <c r="E90" s="283"/>
      <c r="F90" s="284">
        <f>SUM(F91:F118)</f>
        <v>48373613.795676224</v>
      </c>
    </row>
    <row r="91" spans="1:6">
      <c r="A91" s="285"/>
      <c r="B91" s="280" t="s">
        <v>440</v>
      </c>
      <c r="C91" s="361"/>
      <c r="D91" s="280" t="s">
        <v>9</v>
      </c>
      <c r="E91" s="281"/>
      <c r="F91" s="281">
        <f>+C91*E91</f>
        <v>0</v>
      </c>
    </row>
    <row r="92" spans="1:6">
      <c r="A92" s="285"/>
      <c r="B92" s="280" t="s">
        <v>867</v>
      </c>
      <c r="C92" s="374">
        <f>0.13*0.13*2.8*2*0</f>
        <v>0</v>
      </c>
      <c r="D92" s="280" t="s">
        <v>9</v>
      </c>
      <c r="E92" s="281">
        <f>'BQ MAPLE ROOFTOP'!E92</f>
        <v>5921152.0207294449</v>
      </c>
      <c r="F92" s="281">
        <f t="shared" ref="F92:F118" si="5">+C92*E92</f>
        <v>0</v>
      </c>
    </row>
    <row r="93" spans="1:6">
      <c r="A93" s="285"/>
      <c r="B93" s="280" t="s">
        <v>422</v>
      </c>
      <c r="C93" s="361">
        <f>0.13*0.2*1.5*5+0.13*0.2*2.8*4</f>
        <v>0.48620000000000008</v>
      </c>
      <c r="D93" s="280" t="s">
        <v>9</v>
      </c>
      <c r="E93" s="281">
        <f>'BQ MAPLE ROOFTOP'!E93</f>
        <v>6620256.3551628552</v>
      </c>
      <c r="F93" s="281">
        <f t="shared" si="5"/>
        <v>3218768.6398801808</v>
      </c>
    </row>
    <row r="94" spans="1:6">
      <c r="A94" s="285"/>
      <c r="B94" s="280" t="s">
        <v>423</v>
      </c>
      <c r="C94" s="374">
        <f>0.13*0.3*2.8*4</f>
        <v>0.43679999999999997</v>
      </c>
      <c r="D94" s="280" t="s">
        <v>9</v>
      </c>
      <c r="E94" s="281">
        <f>'BQ MAPLE ROOFTOP'!E94</f>
        <v>5552848.9806379806</v>
      </c>
      <c r="F94" s="281">
        <f t="shared" si="5"/>
        <v>2425484.4347426696</v>
      </c>
    </row>
    <row r="95" spans="1:6">
      <c r="A95" s="285"/>
      <c r="B95" s="280" t="s">
        <v>441</v>
      </c>
      <c r="C95" s="361">
        <f>0.13*0.3*33.6</f>
        <v>1.3104</v>
      </c>
      <c r="D95" s="280" t="s">
        <v>9</v>
      </c>
      <c r="E95" s="281">
        <f>'BQ MAPLE ROOFTOP'!E95</f>
        <v>3569825.4991925494</v>
      </c>
      <c r="F95" s="281">
        <f t="shared" si="5"/>
        <v>4677899.3341419166</v>
      </c>
    </row>
    <row r="96" spans="1:6">
      <c r="A96" s="285"/>
      <c r="B96" s="280" t="s">
        <v>442</v>
      </c>
      <c r="C96" s="361">
        <f>0.13*0.3*12.9</f>
        <v>0.50309999999999999</v>
      </c>
      <c r="D96" s="280" t="s">
        <v>9</v>
      </c>
      <c r="E96" s="281">
        <f>'BQ MAPLE ROOFTOP'!E96</f>
        <v>4154450.8189430698</v>
      </c>
      <c r="F96" s="281">
        <f t="shared" si="5"/>
        <v>2090104.2070102585</v>
      </c>
    </row>
    <row r="97" spans="1:6">
      <c r="A97" s="285"/>
      <c r="B97" s="280" t="s">
        <v>443</v>
      </c>
      <c r="C97" s="361">
        <f>0.13*0.4*4.1</f>
        <v>0.2132</v>
      </c>
      <c r="D97" s="280" t="s">
        <v>9</v>
      </c>
      <c r="E97" s="281">
        <f>'BQ MAPLE ROOFTOP'!E97</f>
        <v>3406457.5028909156</v>
      </c>
      <c r="F97" s="281">
        <f t="shared" si="5"/>
        <v>726256.73961634317</v>
      </c>
    </row>
    <row r="98" spans="1:6">
      <c r="A98" s="285"/>
      <c r="B98" s="280" t="s">
        <v>427</v>
      </c>
      <c r="C98" s="361">
        <f>0.13*0.4*57.75</f>
        <v>3.0030000000000001</v>
      </c>
      <c r="D98" s="280" t="s">
        <v>9</v>
      </c>
      <c r="E98" s="281">
        <f>'BQ MAPLE ROOFTOP'!E98</f>
        <v>3844926.4927038052</v>
      </c>
      <c r="F98" s="281">
        <f t="shared" si="5"/>
        <v>11546314.257589528</v>
      </c>
    </row>
    <row r="99" spans="1:6">
      <c r="A99" s="285"/>
      <c r="B99" s="280" t="s">
        <v>444</v>
      </c>
      <c r="C99" s="361">
        <f>0.13*0.4*13.5</f>
        <v>0.70200000000000007</v>
      </c>
      <c r="D99" s="280" t="s">
        <v>9</v>
      </c>
      <c r="E99" s="281">
        <f>'BQ MAPLE ROOFTOP'!E99</f>
        <v>4426995.8459175956</v>
      </c>
      <c r="F99" s="281">
        <f t="shared" si="5"/>
        <v>3107751.0838341522</v>
      </c>
    </row>
    <row r="100" spans="1:6">
      <c r="A100" s="285"/>
      <c r="B100" s="280" t="s">
        <v>445</v>
      </c>
      <c r="C100" s="361">
        <f>0.13*0.4*7.6</f>
        <v>0.3952</v>
      </c>
      <c r="D100" s="280" t="s">
        <v>9</v>
      </c>
      <c r="E100" s="281">
        <f>'BQ MAPLE ROOFTOP'!E100</f>
        <v>4771420.6536099035</v>
      </c>
      <c r="F100" s="281">
        <f t="shared" si="5"/>
        <v>1885665.4423066338</v>
      </c>
    </row>
    <row r="101" spans="1:6">
      <c r="A101" s="285"/>
      <c r="B101" s="280" t="s">
        <v>446</v>
      </c>
      <c r="C101" s="361">
        <f>0.13*0.4*7.2</f>
        <v>0.37440000000000007</v>
      </c>
      <c r="D101" s="280" t="s">
        <v>9</v>
      </c>
      <c r="E101" s="281">
        <f>'BQ MAPLE ROOFTOP'!E101</f>
        <v>3979680.5557668684</v>
      </c>
      <c r="F101" s="281">
        <f t="shared" si="5"/>
        <v>1489992.4000791158</v>
      </c>
    </row>
    <row r="102" spans="1:6">
      <c r="A102" s="285"/>
      <c r="B102" s="280" t="s">
        <v>447</v>
      </c>
      <c r="C102" s="359">
        <v>0</v>
      </c>
      <c r="D102" s="280" t="s">
        <v>9</v>
      </c>
      <c r="E102" s="281">
        <f>'BQ MAPLE ROOFTOP'!E102</f>
        <v>0</v>
      </c>
      <c r="F102" s="281">
        <f t="shared" si="5"/>
        <v>0</v>
      </c>
    </row>
    <row r="103" spans="1:6">
      <c r="A103" s="285"/>
      <c r="B103" s="280" t="s">
        <v>448</v>
      </c>
      <c r="C103" s="374">
        <f>0.13*0.5*5.3</f>
        <v>0.34449999999999997</v>
      </c>
      <c r="D103" s="280" t="s">
        <v>9</v>
      </c>
      <c r="E103" s="281">
        <f>'BQ MAPLE ROOFTOP'!E103</f>
        <v>4223719.0136962142</v>
      </c>
      <c r="F103" s="281">
        <f t="shared" si="5"/>
        <v>1455071.2002183457</v>
      </c>
    </row>
    <row r="104" spans="1:6">
      <c r="A104" s="285"/>
      <c r="B104" s="285"/>
      <c r="C104" s="361"/>
      <c r="D104" s="285"/>
      <c r="E104" s="281"/>
      <c r="F104" s="281">
        <f t="shared" si="5"/>
        <v>0</v>
      </c>
    </row>
    <row r="105" spans="1:6">
      <c r="A105" s="285"/>
      <c r="B105" s="280" t="s">
        <v>449</v>
      </c>
      <c r="C105" s="361"/>
      <c r="D105" s="285"/>
      <c r="E105" s="281"/>
      <c r="F105" s="281">
        <f t="shared" si="5"/>
        <v>0</v>
      </c>
    </row>
    <row r="106" spans="1:6">
      <c r="A106" s="285"/>
      <c r="B106" s="280" t="s">
        <v>450</v>
      </c>
      <c r="C106" s="374">
        <f>0.13*0.3*14.6+0.13*0.3*6</f>
        <v>0.8034</v>
      </c>
      <c r="D106" s="280" t="s">
        <v>9</v>
      </c>
      <c r="E106" s="281">
        <f>'BQ MAPLE ROOFTOP'!E106</f>
        <v>3569825.4991925494</v>
      </c>
      <c r="F106" s="281">
        <f t="shared" si="5"/>
        <v>2867997.8060512943</v>
      </c>
    </row>
    <row r="107" spans="1:6">
      <c r="A107" s="285"/>
      <c r="B107" s="280" t="s">
        <v>451</v>
      </c>
      <c r="C107" s="359">
        <v>0</v>
      </c>
      <c r="D107" s="280" t="s">
        <v>9</v>
      </c>
      <c r="E107" s="281">
        <f>'BQ MAPLE ROOFTOP'!E107</f>
        <v>0</v>
      </c>
      <c r="F107" s="281">
        <f t="shared" si="5"/>
        <v>0</v>
      </c>
    </row>
    <row r="108" spans="1:6" ht="27.6">
      <c r="A108" s="285"/>
      <c r="B108" s="280" t="s">
        <v>452</v>
      </c>
      <c r="C108" s="359">
        <v>0</v>
      </c>
      <c r="D108" s="280" t="s">
        <v>9</v>
      </c>
      <c r="E108" s="281">
        <f>'BQ MAPLE ROOFTOP'!E108</f>
        <v>0</v>
      </c>
      <c r="F108" s="281">
        <f t="shared" si="5"/>
        <v>0</v>
      </c>
    </row>
    <row r="109" spans="1:6" ht="27.6">
      <c r="A109" s="285"/>
      <c r="B109" s="280" t="s">
        <v>453</v>
      </c>
      <c r="C109" s="359">
        <v>0</v>
      </c>
      <c r="D109" s="280" t="s">
        <v>9</v>
      </c>
      <c r="E109" s="281">
        <f>'BQ MAPLE ROOFTOP'!E109</f>
        <v>0</v>
      </c>
      <c r="F109" s="281">
        <f t="shared" si="5"/>
        <v>0</v>
      </c>
    </row>
    <row r="110" spans="1:6" ht="27.6">
      <c r="A110" s="285"/>
      <c r="B110" s="280" t="s">
        <v>454</v>
      </c>
      <c r="C110" s="361">
        <f>+(4.1*0.8*0.1)</f>
        <v>0.32800000000000001</v>
      </c>
      <c r="D110" s="280" t="s">
        <v>9</v>
      </c>
      <c r="E110" s="281">
        <f>'BQ MAPLE ROOFTOP'!E110</f>
        <v>3322371.9090909092</v>
      </c>
      <c r="F110" s="281">
        <f t="shared" si="5"/>
        <v>1089737.9861818182</v>
      </c>
    </row>
    <row r="111" spans="1:6">
      <c r="A111" s="285"/>
      <c r="B111" s="286" t="s">
        <v>397</v>
      </c>
      <c r="C111" s="361"/>
      <c r="D111" s="280"/>
      <c r="E111" s="281"/>
      <c r="F111" s="281">
        <f t="shared" si="5"/>
        <v>0</v>
      </c>
    </row>
    <row r="112" spans="1:6">
      <c r="A112" s="285"/>
      <c r="B112" s="286" t="s">
        <v>705</v>
      </c>
      <c r="C112" s="361">
        <f>0.13*0.2*23.4</f>
        <v>0.60840000000000005</v>
      </c>
      <c r="D112" s="280" t="s">
        <v>9</v>
      </c>
      <c r="E112" s="281">
        <f>'BQ MAPLE ROOFTOP'!E112</f>
        <v>3694481.5092783347</v>
      </c>
      <c r="F112" s="281">
        <f t="shared" ref="F112" si="6">+C112*E112</f>
        <v>2247722.550244939</v>
      </c>
    </row>
    <row r="113" spans="1:6">
      <c r="A113" s="285"/>
      <c r="B113" s="286" t="s">
        <v>706</v>
      </c>
      <c r="C113" s="361">
        <f>0.13*0.2*7.9</f>
        <v>0.20540000000000003</v>
      </c>
      <c r="D113" s="280" t="s">
        <v>9</v>
      </c>
      <c r="E113" s="281">
        <f>'BQ MAPLE ROOFTOP'!E113</f>
        <v>3694481.5092783347</v>
      </c>
      <c r="F113" s="281">
        <f t="shared" si="5"/>
        <v>758846.50200576999</v>
      </c>
    </row>
    <row r="114" spans="1:6" ht="18.75" customHeight="1">
      <c r="A114" s="285"/>
      <c r="B114" s="286" t="s">
        <v>707</v>
      </c>
      <c r="C114" s="361">
        <f>0.13*0.2*15.9</f>
        <v>0.41340000000000005</v>
      </c>
      <c r="D114" s="280" t="s">
        <v>9</v>
      </c>
      <c r="E114" s="281">
        <f>'BQ MAPLE ROOFTOP'!E114</f>
        <v>4571419.4889041139</v>
      </c>
      <c r="F114" s="281">
        <f t="shared" si="5"/>
        <v>1889824.8167129608</v>
      </c>
    </row>
    <row r="115" spans="1:6">
      <c r="A115" s="285"/>
      <c r="B115" s="286" t="s">
        <v>702</v>
      </c>
      <c r="C115" s="361">
        <f>0.13*0.4*17.7</f>
        <v>0.9204</v>
      </c>
      <c r="D115" s="280" t="s">
        <v>9</v>
      </c>
      <c r="E115" s="281">
        <f>'BQ MAPLE ROOFTOP'!E115</f>
        <v>3406457.5028909156</v>
      </c>
      <c r="F115" s="281">
        <f t="shared" ref="F115" si="7">+C115*E115</f>
        <v>3135303.4856607988</v>
      </c>
    </row>
    <row r="116" spans="1:6">
      <c r="A116" s="285"/>
      <c r="B116" s="286" t="s">
        <v>710</v>
      </c>
      <c r="C116" s="361">
        <f>0.1*0.25*11.8</f>
        <v>0.29500000000000004</v>
      </c>
      <c r="D116" s="280" t="s">
        <v>9</v>
      </c>
      <c r="E116" s="281">
        <f>'BQ MAPLE ROOFTOP'!E116</f>
        <v>7141240.2056461917</v>
      </c>
      <c r="F116" s="281">
        <f t="shared" ref="F116" si="8">+C116*E116</f>
        <v>2106665.8606656268</v>
      </c>
    </row>
    <row r="117" spans="1:6">
      <c r="A117" s="285"/>
      <c r="B117" s="286" t="s">
        <v>708</v>
      </c>
      <c r="C117" s="361">
        <f>0.13*0.4*2.7</f>
        <v>0.14040000000000002</v>
      </c>
      <c r="D117" s="280" t="s">
        <v>9</v>
      </c>
      <c r="E117" s="281">
        <f>'BQ MAPLE ROOFTOP'!E117</f>
        <v>4470048.9468791336</v>
      </c>
      <c r="F117" s="281">
        <f t="shared" si="5"/>
        <v>627594.87214183051</v>
      </c>
    </row>
    <row r="118" spans="1:6">
      <c r="A118" s="285"/>
      <c r="B118" s="286" t="s">
        <v>709</v>
      </c>
      <c r="C118" s="361">
        <f>0.13*0.4*4.7</f>
        <v>0.24440000000000003</v>
      </c>
      <c r="D118" s="280" t="s">
        <v>9</v>
      </c>
      <c r="E118" s="281">
        <f>'BQ MAPLE ROOFTOP'!E118</f>
        <v>4200540.8207530081</v>
      </c>
      <c r="F118" s="281">
        <f t="shared" si="5"/>
        <v>1026612.1765920353</v>
      </c>
    </row>
    <row r="119" spans="1:6">
      <c r="A119" s="285"/>
      <c r="B119" s="280"/>
      <c r="C119" s="361"/>
      <c r="D119" s="280"/>
      <c r="E119" s="281"/>
      <c r="F119" s="281"/>
    </row>
    <row r="120" spans="1:6">
      <c r="A120" s="282" t="s">
        <v>13</v>
      </c>
      <c r="B120" s="282" t="s">
        <v>14</v>
      </c>
      <c r="C120" s="375"/>
      <c r="D120" s="282" t="s">
        <v>9</v>
      </c>
      <c r="E120" s="283"/>
      <c r="F120" s="284">
        <f>SUM(F121:F131)</f>
        <v>69642164.590267047</v>
      </c>
    </row>
    <row r="121" spans="1:6">
      <c r="A121" s="285"/>
      <c r="B121" s="280" t="s">
        <v>200</v>
      </c>
      <c r="C121" s="361"/>
      <c r="D121" s="280" t="s">
        <v>9</v>
      </c>
      <c r="E121" s="281"/>
      <c r="F121" s="281">
        <f>+C121*E121</f>
        <v>0</v>
      </c>
    </row>
    <row r="122" spans="1:6">
      <c r="A122" s="285"/>
      <c r="B122" s="280" t="s">
        <v>455</v>
      </c>
      <c r="C122" s="361">
        <f>(8.1*10-2.1*2.1-2.8*0.8+7.5*1+2.5*4.1+4.1*0.5)*0.12</f>
        <v>11.298</v>
      </c>
      <c r="D122" s="280" t="s">
        <v>9</v>
      </c>
      <c r="E122" s="281">
        <f>'BQ MAPLE ROOFTOP'!E122</f>
        <v>3163852.8409090908</v>
      </c>
      <c r="F122" s="281">
        <f t="shared" ref="F122:F131" si="9">+C122*E122</f>
        <v>35745209.396590911</v>
      </c>
    </row>
    <row r="123" spans="1:6">
      <c r="A123" s="285"/>
      <c r="B123" s="280" t="s">
        <v>456</v>
      </c>
      <c r="C123" s="361">
        <f>(3.8*2+2.15*0.6+1.5*0.7+1.2*0.5)*0.1</f>
        <v>1.0539999999999998</v>
      </c>
      <c r="D123" s="280" t="s">
        <v>9</v>
      </c>
      <c r="E123" s="281">
        <f>'BQ MAPLE ROOFTOP'!E123</f>
        <v>3322371.9090909092</v>
      </c>
      <c r="F123" s="281">
        <f t="shared" si="9"/>
        <v>3501779.9921818175</v>
      </c>
    </row>
    <row r="124" spans="1:6">
      <c r="A124" s="285"/>
      <c r="B124" s="280" t="s">
        <v>457</v>
      </c>
      <c r="C124" s="361">
        <f>(10*4.5+1*5.7+9.2*0.5)*0.12</f>
        <v>6.6360000000000001</v>
      </c>
      <c r="D124" s="280" t="s">
        <v>9</v>
      </c>
      <c r="E124" s="281">
        <f>'BQ MAPLE ROOFTOP'!E124</f>
        <v>3163852.8409090908</v>
      </c>
      <c r="F124" s="281">
        <f t="shared" si="9"/>
        <v>20995327.452272728</v>
      </c>
    </row>
    <row r="125" spans="1:6">
      <c r="A125" s="285"/>
      <c r="B125" s="280" t="s">
        <v>458</v>
      </c>
      <c r="C125" s="359">
        <v>0</v>
      </c>
      <c r="D125" s="280" t="s">
        <v>9</v>
      </c>
      <c r="E125" s="281">
        <f>'BQ MAPLE ROOFTOP'!E125</f>
        <v>0</v>
      </c>
      <c r="F125" s="281">
        <f t="shared" si="9"/>
        <v>0</v>
      </c>
    </row>
    <row r="126" spans="1:6">
      <c r="A126" s="285"/>
      <c r="B126" s="280" t="s">
        <v>459</v>
      </c>
      <c r="C126" s="374">
        <f>(3.3*2.3+0.6*19.4)*0.1</f>
        <v>1.9229999999999998</v>
      </c>
      <c r="D126" s="280" t="s">
        <v>9</v>
      </c>
      <c r="E126" s="281">
        <f>'BQ MAPLE ROOFTOP'!E126</f>
        <v>3322371.9090909092</v>
      </c>
      <c r="F126" s="281">
        <f t="shared" si="9"/>
        <v>6388921.1811818173</v>
      </c>
    </row>
    <row r="127" spans="1:6">
      <c r="A127" s="285"/>
      <c r="B127" s="280" t="s">
        <v>460</v>
      </c>
      <c r="C127" s="359">
        <v>0</v>
      </c>
      <c r="D127" s="280" t="s">
        <v>9</v>
      </c>
      <c r="E127" s="281">
        <f>'BQ MAPLE ROOFTOP'!E127</f>
        <v>0</v>
      </c>
      <c r="F127" s="281">
        <f t="shared" si="9"/>
        <v>0</v>
      </c>
    </row>
    <row r="128" spans="1:6">
      <c r="A128" s="285"/>
      <c r="B128" s="280" t="s">
        <v>461</v>
      </c>
      <c r="C128" s="356">
        <v>0</v>
      </c>
      <c r="D128" s="280" t="s">
        <v>9</v>
      </c>
      <c r="E128" s="281">
        <f>'BQ MAPLE ROOFTOP'!E128</f>
        <v>0</v>
      </c>
      <c r="F128" s="281">
        <f t="shared" si="9"/>
        <v>0</v>
      </c>
    </row>
    <row r="129" spans="1:6">
      <c r="A129" s="285"/>
      <c r="B129" s="286" t="s">
        <v>397</v>
      </c>
      <c r="C129" s="361"/>
      <c r="D129" s="280"/>
      <c r="E129" s="281">
        <f>'BQ MAPLE ROOFTOP'!E129</f>
        <v>0</v>
      </c>
      <c r="F129" s="281">
        <f t="shared" si="9"/>
        <v>0</v>
      </c>
    </row>
    <row r="130" spans="1:6">
      <c r="A130" s="285"/>
      <c r="B130" s="286" t="s">
        <v>698</v>
      </c>
      <c r="C130" s="361">
        <f>(2.7*2.3-0.5*1.7)*0.1</f>
        <v>0.53600000000000003</v>
      </c>
      <c r="D130" s="280" t="s">
        <v>9</v>
      </c>
      <c r="E130" s="281">
        <f>'BQ MAPLE ROOFTOP'!E130</f>
        <v>3693411.8181818184</v>
      </c>
      <c r="F130" s="281">
        <f t="shared" si="9"/>
        <v>1979668.7345454548</v>
      </c>
    </row>
    <row r="131" spans="1:6">
      <c r="A131" s="285"/>
      <c r="B131" s="286" t="s">
        <v>819</v>
      </c>
      <c r="C131" s="361">
        <f>3.2*0.8*0.12+0.25*0.5*0.15</f>
        <v>0.32595000000000002</v>
      </c>
      <c r="D131" s="280" t="s">
        <v>9</v>
      </c>
      <c r="E131" s="281">
        <f>'BQ MAPLE ROOFTOP'!E131</f>
        <v>3163852.8409090908</v>
      </c>
      <c r="F131" s="281">
        <f t="shared" si="9"/>
        <v>1031257.8334943182</v>
      </c>
    </row>
    <row r="132" spans="1:6">
      <c r="A132" s="285"/>
      <c r="B132" s="280"/>
      <c r="C132" s="361"/>
      <c r="D132" s="280"/>
      <c r="E132" s="281"/>
      <c r="F132" s="281"/>
    </row>
    <row r="133" spans="1:6">
      <c r="A133" s="282" t="s">
        <v>201</v>
      </c>
      <c r="B133" s="282" t="s">
        <v>202</v>
      </c>
      <c r="C133" s="375"/>
      <c r="D133" s="282" t="s">
        <v>6</v>
      </c>
      <c r="E133" s="283"/>
      <c r="F133" s="284">
        <f>SUM(F134:F145)</f>
        <v>26764507.449875753</v>
      </c>
    </row>
    <row r="134" spans="1:6">
      <c r="A134" s="285"/>
      <c r="B134" s="280" t="s">
        <v>203</v>
      </c>
      <c r="C134" s="361"/>
      <c r="D134" s="280" t="s">
        <v>6</v>
      </c>
      <c r="E134" s="281"/>
      <c r="F134" s="281">
        <f t="shared" ref="F134:F143" si="10">+C134*E134</f>
        <v>0</v>
      </c>
    </row>
    <row r="135" spans="1:6">
      <c r="A135" s="285"/>
      <c r="B135" s="280" t="s">
        <v>462</v>
      </c>
      <c r="C135" s="361">
        <f>8.72*1.15*0.12+0.3*0.09*1.15*19</f>
        <v>1.79331</v>
      </c>
      <c r="D135" s="280" t="s">
        <v>9</v>
      </c>
      <c r="E135" s="281">
        <f>'BQ MAPLE ROOFTOP'!E135</f>
        <v>4519416.3799549546</v>
      </c>
      <c r="F135" s="281">
        <f t="shared" si="10"/>
        <v>8104714.5883370191</v>
      </c>
    </row>
    <row r="136" spans="1:6">
      <c r="A136" s="285"/>
      <c r="B136" s="280" t="s">
        <v>463</v>
      </c>
      <c r="C136" s="361">
        <f>8.72*1.15*0.12+0.3*0.09*1.15*19</f>
        <v>1.79331</v>
      </c>
      <c r="D136" s="280" t="s">
        <v>9</v>
      </c>
      <c r="E136" s="281">
        <f>'BQ MAPLE ROOFTOP'!E136</f>
        <v>4519416.3799549546</v>
      </c>
      <c r="F136" s="281">
        <f t="shared" si="10"/>
        <v>8104714.5883370191</v>
      </c>
    </row>
    <row r="137" spans="1:6">
      <c r="A137" s="285"/>
      <c r="B137" s="280" t="s">
        <v>464</v>
      </c>
      <c r="C137" s="361">
        <v>1</v>
      </c>
      <c r="D137" s="280" t="s">
        <v>204</v>
      </c>
      <c r="E137" s="281">
        <f>'BQ MAPLE ROOFTOP'!E137</f>
        <v>750000</v>
      </c>
      <c r="F137" s="281">
        <f t="shared" si="10"/>
        <v>750000</v>
      </c>
    </row>
    <row r="138" spans="1:6">
      <c r="A138" s="285"/>
      <c r="B138" s="280" t="s">
        <v>465</v>
      </c>
      <c r="C138" s="361">
        <v>3</v>
      </c>
      <c r="D138" s="280" t="s">
        <v>204</v>
      </c>
      <c r="E138" s="281">
        <f>'BQ MAPLE ROOFTOP'!E138</f>
        <v>350000</v>
      </c>
      <c r="F138" s="281">
        <f t="shared" si="10"/>
        <v>1050000</v>
      </c>
    </row>
    <row r="139" spans="1:6">
      <c r="A139" s="285"/>
      <c r="B139" s="280" t="s">
        <v>466</v>
      </c>
      <c r="C139" s="361">
        <f>0.13*0.15*33.15+0.13*0.15*30.75</f>
        <v>1.2460499999999999</v>
      </c>
      <c r="D139" s="280" t="s">
        <v>9</v>
      </c>
      <c r="E139" s="281">
        <f>'BQ MAPLE ROOFTOP'!E139</f>
        <v>3114582.1620046622</v>
      </c>
      <c r="F139" s="281">
        <f t="shared" si="10"/>
        <v>3880925.1029659091</v>
      </c>
    </row>
    <row r="140" spans="1:6">
      <c r="A140" s="285"/>
      <c r="B140" s="280" t="s">
        <v>467</v>
      </c>
      <c r="C140" s="361">
        <f>0.15*0.3*2.3*2</f>
        <v>0.20699999999999999</v>
      </c>
      <c r="D140" s="280" t="s">
        <v>9</v>
      </c>
      <c r="E140" s="281">
        <f>'BQ MAPLE ROOFTOP'!E140</f>
        <v>3569825.4991925494</v>
      </c>
      <c r="F140" s="281">
        <f t="shared" si="10"/>
        <v>738953.87833285774</v>
      </c>
    </row>
    <row r="141" spans="1:6">
      <c r="A141" s="285"/>
      <c r="B141" s="280" t="s">
        <v>468</v>
      </c>
      <c r="C141" s="361">
        <f>18*0.2*0.2</f>
        <v>0.72000000000000008</v>
      </c>
      <c r="D141" s="280" t="s">
        <v>9</v>
      </c>
      <c r="E141" s="281">
        <f>'BQ MAPLE ROOFTOP'!E141</f>
        <v>840000</v>
      </c>
      <c r="F141" s="281">
        <f t="shared" si="10"/>
        <v>604800.00000000012</v>
      </c>
    </row>
    <row r="142" spans="1:6">
      <c r="A142" s="285"/>
      <c r="B142" s="286" t="s">
        <v>397</v>
      </c>
      <c r="C142" s="361"/>
      <c r="D142" s="280"/>
      <c r="E142" s="281"/>
      <c r="F142" s="281">
        <f t="shared" si="10"/>
        <v>0</v>
      </c>
    </row>
    <row r="143" spans="1:6">
      <c r="A143" s="285"/>
      <c r="B143" s="286" t="s">
        <v>699</v>
      </c>
      <c r="C143" s="361">
        <f>2*0.25*0.25*1.5</f>
        <v>0.1875</v>
      </c>
      <c r="D143" s="280" t="s">
        <v>9</v>
      </c>
      <c r="E143" s="281">
        <f>'BQ MAPLE ROOFTOP'!E143</f>
        <v>4017169.5568157248</v>
      </c>
      <c r="F143" s="281">
        <f t="shared" si="10"/>
        <v>753219.2919029484</v>
      </c>
    </row>
    <row r="144" spans="1:6">
      <c r="A144" s="285"/>
      <c r="B144" s="286" t="s">
        <v>703</v>
      </c>
      <c r="C144" s="361">
        <f>(1.2+1.2+0.65)*9.36</f>
        <v>28.547999999999998</v>
      </c>
      <c r="D144" s="280" t="s">
        <v>43</v>
      </c>
      <c r="E144" s="281">
        <f>'BQ MAPLE ROOFTOP'!E144</f>
        <v>35000</v>
      </c>
      <c r="F144" s="281">
        <f>+C144*E144</f>
        <v>999179.99999999988</v>
      </c>
    </row>
    <row r="145" spans="1:6">
      <c r="A145" s="285"/>
      <c r="B145" s="286" t="s">
        <v>845</v>
      </c>
      <c r="C145" s="361">
        <f>12.7*4</f>
        <v>50.8</v>
      </c>
      <c r="D145" s="280" t="s">
        <v>43</v>
      </c>
      <c r="E145" s="281">
        <f>'BQ MAPLE ROOFTOP'!E145</f>
        <v>35000</v>
      </c>
      <c r="F145" s="281">
        <f>+C145*E145</f>
        <v>1778000</v>
      </c>
    </row>
    <row r="146" spans="1:6">
      <c r="A146" s="285"/>
      <c r="B146" s="280"/>
      <c r="C146" s="361"/>
      <c r="D146" s="280"/>
      <c r="E146" s="281"/>
      <c r="F146" s="281"/>
    </row>
    <row r="147" spans="1:6">
      <c r="A147" s="282" t="s">
        <v>15</v>
      </c>
      <c r="B147" s="282" t="s">
        <v>16</v>
      </c>
      <c r="C147" s="375"/>
      <c r="D147" s="282" t="s">
        <v>5</v>
      </c>
      <c r="E147" s="283"/>
      <c r="F147" s="284">
        <f>SUM(F148:F177)</f>
        <v>83810913.865035012</v>
      </c>
    </row>
    <row r="148" spans="1:6">
      <c r="A148" s="285"/>
      <c r="B148" s="280" t="s">
        <v>205</v>
      </c>
      <c r="C148" s="361"/>
      <c r="D148" s="280" t="s">
        <v>5</v>
      </c>
      <c r="E148" s="281"/>
      <c r="F148" s="281">
        <f t="shared" ref="F148:F172" si="11">+C148*E148</f>
        <v>0</v>
      </c>
    </row>
    <row r="149" spans="1:6" ht="27.6">
      <c r="A149" s="285"/>
      <c r="B149" s="280" t="s">
        <v>469</v>
      </c>
      <c r="C149" s="361">
        <f>6.2*5</f>
        <v>31</v>
      </c>
      <c r="D149" s="280" t="s">
        <v>5</v>
      </c>
      <c r="E149" s="281">
        <f>'BQ MAPLE ROOFTOP'!E149</f>
        <v>239262.5</v>
      </c>
      <c r="F149" s="281">
        <f>+C149*E149</f>
        <v>7417137.5</v>
      </c>
    </row>
    <row r="150" spans="1:6" ht="27.6">
      <c r="A150" s="285"/>
      <c r="B150" s="280" t="s">
        <v>470</v>
      </c>
      <c r="C150" s="361">
        <f>1.3*2.6</f>
        <v>3.3800000000000003</v>
      </c>
      <c r="D150" s="280" t="s">
        <v>5</v>
      </c>
      <c r="E150" s="281">
        <f>'BQ MAPLE ROOFTOP'!E150</f>
        <v>411099.34113680152</v>
      </c>
      <c r="F150" s="281">
        <f t="shared" si="11"/>
        <v>1389515.7730423892</v>
      </c>
    </row>
    <row r="151" spans="1:6" ht="27.6">
      <c r="A151" s="285"/>
      <c r="B151" s="280" t="s">
        <v>471</v>
      </c>
      <c r="C151" s="361">
        <f>1.3*2.9</f>
        <v>3.77</v>
      </c>
      <c r="D151" s="280" t="s">
        <v>5</v>
      </c>
      <c r="E151" s="281">
        <f>'BQ MAPLE ROOFTOP'!E151</f>
        <v>411099.34113680152</v>
      </c>
      <c r="F151" s="281">
        <f t="shared" si="11"/>
        <v>1549844.5160857418</v>
      </c>
    </row>
    <row r="152" spans="1:6" ht="27.6">
      <c r="A152" s="285"/>
      <c r="B152" s="280" t="s">
        <v>849</v>
      </c>
      <c r="C152" s="361">
        <f>3.5*3</f>
        <v>10.5</v>
      </c>
      <c r="D152" s="280" t="s">
        <v>5</v>
      </c>
      <c r="E152" s="281">
        <f>'BQ MAPLE ROOFTOP'!E152</f>
        <v>245653.84113680152</v>
      </c>
      <c r="F152" s="281">
        <f t="shared" si="11"/>
        <v>2579365.3319364162</v>
      </c>
    </row>
    <row r="153" spans="1:6" ht="27.6">
      <c r="A153" s="285"/>
      <c r="B153" s="280" t="s">
        <v>850</v>
      </c>
      <c r="C153" s="361">
        <f>4.5*9.8</f>
        <v>44.1</v>
      </c>
      <c r="D153" s="280" t="s">
        <v>5</v>
      </c>
      <c r="E153" s="281">
        <f>'BQ MAPLE ROOFTOP'!E153</f>
        <v>245653.84113680152</v>
      </c>
      <c r="F153" s="281">
        <f t="shared" si="11"/>
        <v>10833334.394132948</v>
      </c>
    </row>
    <row r="154" spans="1:6" ht="27.6">
      <c r="A154" s="285"/>
      <c r="B154" s="280" t="s">
        <v>851</v>
      </c>
      <c r="C154" s="361">
        <f>3.85*2.3-1.15*2.85</f>
        <v>5.5774999999999988</v>
      </c>
      <c r="D154" s="280" t="s">
        <v>5</v>
      </c>
      <c r="E154" s="281">
        <f>'BQ MAPLE ROOFTOP'!E154</f>
        <v>245653.84113680152</v>
      </c>
      <c r="F154" s="281">
        <f t="shared" si="11"/>
        <v>1370134.2989405103</v>
      </c>
    </row>
    <row r="155" spans="1:6" ht="27.6">
      <c r="A155" s="285"/>
      <c r="B155" s="280" t="s">
        <v>472</v>
      </c>
      <c r="C155" s="361">
        <f>18*(0.19+0.3)*1.25+1.1*2.5+0.19*1.25*3</f>
        <v>14.487500000000001</v>
      </c>
      <c r="D155" s="280" t="s">
        <v>5</v>
      </c>
      <c r="E155" s="281">
        <f>'BQ MAPLE ROOFTOP'!E155</f>
        <v>431653.84113680152</v>
      </c>
      <c r="F155" s="281">
        <f t="shared" si="11"/>
        <v>6253585.0234694127</v>
      </c>
    </row>
    <row r="156" spans="1:6">
      <c r="A156" s="285"/>
      <c r="B156" s="280" t="s">
        <v>473</v>
      </c>
      <c r="C156" s="361">
        <v>30</v>
      </c>
      <c r="D156" s="280" t="s">
        <v>297</v>
      </c>
      <c r="E156" s="281">
        <f>'BQ MAPLE ROOFTOP'!E156</f>
        <v>106592.30685613358</v>
      </c>
      <c r="F156" s="281">
        <f t="shared" si="11"/>
        <v>3197769.2056840076</v>
      </c>
    </row>
    <row r="157" spans="1:6" ht="27.6">
      <c r="A157" s="285"/>
      <c r="B157" s="280" t="s">
        <v>474</v>
      </c>
      <c r="C157" s="361">
        <f>5.5*1.6+2.45*0.7+2.4*2.15-(1*1)</f>
        <v>14.675000000000001</v>
      </c>
      <c r="D157" s="280" t="s">
        <v>5</v>
      </c>
      <c r="E157" s="281">
        <f>'BQ MAPLE ROOFTOP'!E157</f>
        <v>156762.5</v>
      </c>
      <c r="F157" s="281">
        <f t="shared" si="11"/>
        <v>2300489.6875</v>
      </c>
    </row>
    <row r="158" spans="1:6" ht="27.6">
      <c r="A158" s="285"/>
      <c r="B158" s="280" t="s">
        <v>475</v>
      </c>
      <c r="C158" s="361">
        <f>1.6*0.6+0.85*0.6</f>
        <v>1.47</v>
      </c>
      <c r="D158" s="280" t="s">
        <v>5</v>
      </c>
      <c r="E158" s="281">
        <f>'BQ MAPLE ROOFTOP'!E158</f>
        <v>233553.84113680152</v>
      </c>
      <c r="F158" s="281">
        <f t="shared" si="11"/>
        <v>343324.14647109824</v>
      </c>
    </row>
    <row r="159" spans="1:6" ht="27.6">
      <c r="A159" s="285"/>
      <c r="B159" s="280" t="s">
        <v>476</v>
      </c>
      <c r="C159" s="361">
        <f>3*0.6</f>
        <v>1.7999999999999998</v>
      </c>
      <c r="D159" s="280" t="s">
        <v>5</v>
      </c>
      <c r="E159" s="281">
        <f>'BQ MAPLE ROOFTOP'!E159</f>
        <v>233553.84113680152</v>
      </c>
      <c r="F159" s="281">
        <f t="shared" si="11"/>
        <v>420396.91404624272</v>
      </c>
    </row>
    <row r="160" spans="1:6" ht="27.6">
      <c r="A160" s="285"/>
      <c r="B160" s="280" t="s">
        <v>477</v>
      </c>
      <c r="C160" s="361">
        <f>1.45*1.35</f>
        <v>1.9575</v>
      </c>
      <c r="D160" s="280" t="s">
        <v>5</v>
      </c>
      <c r="E160" s="281">
        <f>'BQ MAPLE ROOFTOP'!E160</f>
        <v>240503.84113680152</v>
      </c>
      <c r="F160" s="281">
        <f t="shared" si="11"/>
        <v>470786.26902528899</v>
      </c>
    </row>
    <row r="161" spans="1:6" ht="27.6">
      <c r="A161" s="285"/>
      <c r="B161" s="280" t="s">
        <v>478</v>
      </c>
      <c r="C161" s="361">
        <f>0.95*1.35</f>
        <v>1.2825</v>
      </c>
      <c r="D161" s="280" t="s">
        <v>5</v>
      </c>
      <c r="E161" s="281">
        <f>'BQ MAPLE ROOFTOP'!E161</f>
        <v>235903.84113680152</v>
      </c>
      <c r="F161" s="281">
        <f t="shared" si="11"/>
        <v>302546.67625794793</v>
      </c>
    </row>
    <row r="162" spans="1:6" ht="27.6">
      <c r="A162" s="285"/>
      <c r="B162" s="280" t="s">
        <v>479</v>
      </c>
      <c r="C162" s="361">
        <f>1.2*(3.3-0.6)+3.3*1.2+3.3*2.25+2.25*3.3-0.7*2.6</f>
        <v>20.23</v>
      </c>
      <c r="D162" s="280" t="s">
        <v>5</v>
      </c>
      <c r="E162" s="281">
        <f>'BQ MAPLE ROOFTOP'!E162</f>
        <v>220675</v>
      </c>
      <c r="F162" s="281">
        <f t="shared" si="11"/>
        <v>4464255.25</v>
      </c>
    </row>
    <row r="163" spans="1:6" ht="27.6">
      <c r="A163" s="285"/>
      <c r="B163" s="280" t="s">
        <v>480</v>
      </c>
      <c r="C163" s="361">
        <f>(1.65+0.15)*1.05</f>
        <v>1.89</v>
      </c>
      <c r="D163" s="280" t="s">
        <v>5</v>
      </c>
      <c r="E163" s="281">
        <f>'BQ MAPLE ROOFTOP'!E163</f>
        <v>121830.06756756757</v>
      </c>
      <c r="F163" s="281">
        <f t="shared" si="11"/>
        <v>230258.82770270269</v>
      </c>
    </row>
    <row r="164" spans="1:6">
      <c r="A164" s="285"/>
      <c r="B164" s="280" t="s">
        <v>481</v>
      </c>
      <c r="C164" s="356">
        <v>0</v>
      </c>
      <c r="D164" s="280" t="s">
        <v>5</v>
      </c>
      <c r="E164" s="281">
        <f>'BQ MAPLE ROOFTOP'!E164</f>
        <v>0</v>
      </c>
      <c r="F164" s="281">
        <f t="shared" si="11"/>
        <v>0</v>
      </c>
    </row>
    <row r="165" spans="1:6" ht="27.6">
      <c r="A165" s="285"/>
      <c r="B165" s="280" t="s">
        <v>482</v>
      </c>
      <c r="C165" s="361">
        <v>1</v>
      </c>
      <c r="D165" s="280" t="s">
        <v>7</v>
      </c>
      <c r="E165" s="281">
        <f>'BQ MAPLE ROOFTOP'!E165</f>
        <v>750000</v>
      </c>
      <c r="F165" s="281">
        <f>+C165*E165</f>
        <v>750000</v>
      </c>
    </row>
    <row r="166" spans="1:6">
      <c r="A166" s="285"/>
      <c r="B166" s="280" t="s">
        <v>483</v>
      </c>
      <c r="C166" s="361">
        <f>20.1</f>
        <v>20.100000000000001</v>
      </c>
      <c r="D166" s="280" t="s">
        <v>5</v>
      </c>
      <c r="E166" s="281">
        <f>'BQ MAPLE ROOFTOP'!E166</f>
        <v>30450</v>
      </c>
      <c r="F166" s="281">
        <f t="shared" si="11"/>
        <v>612045</v>
      </c>
    </row>
    <row r="167" spans="1:6">
      <c r="A167" s="285"/>
      <c r="B167" s="280" t="s">
        <v>484</v>
      </c>
      <c r="C167" s="361">
        <v>45</v>
      </c>
      <c r="D167" s="280" t="s">
        <v>5</v>
      </c>
      <c r="E167" s="281">
        <f>'BQ MAPLE ROOFTOP'!E167</f>
        <v>59215.384113680149</v>
      </c>
      <c r="F167" s="281">
        <f t="shared" si="11"/>
        <v>2664692.2851156066</v>
      </c>
    </row>
    <row r="168" spans="1:6" ht="27.6">
      <c r="A168" s="285"/>
      <c r="B168" s="280" t="s">
        <v>485</v>
      </c>
      <c r="C168" s="361">
        <f>11.2*3.3+2.4*7.4+2.7*4.4</f>
        <v>66.599999999999994</v>
      </c>
      <c r="D168" s="280" t="s">
        <v>5</v>
      </c>
      <c r="E168" s="281">
        <f>'BQ MAPLE ROOFTOP'!E168</f>
        <v>85000</v>
      </c>
      <c r="F168" s="281">
        <f t="shared" si="11"/>
        <v>5660999.9999999991</v>
      </c>
    </row>
    <row r="169" spans="1:6" ht="27.6">
      <c r="A169" s="285"/>
      <c r="B169" s="280" t="s">
        <v>486</v>
      </c>
      <c r="C169" s="361">
        <f>1.75*0.9+4.2*0.5+2.15*2.6-1.7*0.55+3.75*1</f>
        <v>12.08</v>
      </c>
      <c r="D169" s="280" t="s">
        <v>5</v>
      </c>
      <c r="E169" s="281">
        <f>'BQ MAPLE ROOFTOP'!E169</f>
        <v>66147.193181818177</v>
      </c>
      <c r="F169" s="281">
        <f t="shared" si="11"/>
        <v>799058.09363636363</v>
      </c>
    </row>
    <row r="170" spans="1:6">
      <c r="A170" s="285"/>
      <c r="B170" s="280" t="s">
        <v>487</v>
      </c>
      <c r="C170" s="361">
        <f>2.8*2.1-1.4*0.7</f>
        <v>4.9000000000000004</v>
      </c>
      <c r="D170" s="280" t="s">
        <v>5</v>
      </c>
      <c r="E170" s="281">
        <f>'BQ MAPLE ROOFTOP'!E170</f>
        <v>447838.7171717172</v>
      </c>
      <c r="F170" s="281">
        <f t="shared" si="11"/>
        <v>2194409.7141414145</v>
      </c>
    </row>
    <row r="171" spans="1:6" ht="27.6">
      <c r="A171" s="285"/>
      <c r="B171" s="280" t="s">
        <v>488</v>
      </c>
      <c r="C171" s="361">
        <v>2.1</v>
      </c>
      <c r="D171" s="280" t="s">
        <v>5</v>
      </c>
      <c r="E171" s="281">
        <f>'BQ MAPLE ROOFTOP'!E171</f>
        <v>411099.34113680152</v>
      </c>
      <c r="F171" s="281">
        <f t="shared" si="11"/>
        <v>863308.6163872832</v>
      </c>
    </row>
    <row r="172" spans="1:6" ht="27.6">
      <c r="A172" s="285"/>
      <c r="B172" s="280" t="s">
        <v>489</v>
      </c>
      <c r="C172" s="361">
        <v>16.64</v>
      </c>
      <c r="D172" s="280" t="s">
        <v>5</v>
      </c>
      <c r="E172" s="281">
        <f>'BQ MAPLE ROOFTOP'!E172</f>
        <v>463813.84113680152</v>
      </c>
      <c r="F172" s="281">
        <f t="shared" si="11"/>
        <v>7717862.316516378</v>
      </c>
    </row>
    <row r="173" spans="1:6" ht="27.6">
      <c r="A173" s="285"/>
      <c r="B173" s="280" t="s">
        <v>490</v>
      </c>
      <c r="C173" s="361">
        <f>(3.6*3.2)*0+1</f>
        <v>1</v>
      </c>
      <c r="D173" s="280" t="s">
        <v>5</v>
      </c>
      <c r="E173" s="281">
        <f>'BQ MAPLE ROOFTOP'!E173</f>
        <v>13629458</v>
      </c>
      <c r="F173" s="281">
        <f>+C173*E173</f>
        <v>13629458</v>
      </c>
    </row>
    <row r="174" spans="1:6" ht="27.6">
      <c r="A174" s="285"/>
      <c r="B174" s="280" t="s">
        <v>491</v>
      </c>
      <c r="C174" s="361">
        <f>7.55*0.975</f>
        <v>7.3612500000000001</v>
      </c>
      <c r="D174" s="280" t="s">
        <v>5</v>
      </c>
      <c r="E174" s="281">
        <f>'BQ MAPLE ROOFTOP'!E174</f>
        <v>411099.34113680152</v>
      </c>
      <c r="F174" s="281">
        <f t="shared" ref="F174:F175" si="12">+C174*E174</f>
        <v>3026205.02494328</v>
      </c>
    </row>
    <row r="175" spans="1:6">
      <c r="A175" s="285"/>
      <c r="B175" s="286" t="s">
        <v>397</v>
      </c>
      <c r="C175" s="361"/>
      <c r="D175" s="280"/>
      <c r="E175" s="281"/>
      <c r="F175" s="281">
        <f t="shared" si="12"/>
        <v>0</v>
      </c>
    </row>
    <row r="176" spans="1:6">
      <c r="A176" s="285"/>
      <c r="B176" s="286" t="s">
        <v>840</v>
      </c>
      <c r="C176" s="361">
        <f>0.2*2.6+1*2.6+1.5*2.6+1.5*2.6</f>
        <v>10.920000000000002</v>
      </c>
      <c r="D176" s="280" t="s">
        <v>5</v>
      </c>
      <c r="E176" s="281">
        <f>'BQ MAPLE ROOFTOP'!E176</f>
        <v>253675.00000000003</v>
      </c>
      <c r="F176" s="281">
        <f>+C176*E176</f>
        <v>2770131.0000000009</v>
      </c>
    </row>
    <row r="177" spans="1:6">
      <c r="A177" s="285"/>
      <c r="B177" s="286" t="s">
        <v>399</v>
      </c>
      <c r="C177" s="361"/>
      <c r="D177" s="280"/>
      <c r="E177" s="281"/>
      <c r="F177" s="281">
        <f>+C177*E177</f>
        <v>0</v>
      </c>
    </row>
    <row r="178" spans="1:6">
      <c r="A178" s="285"/>
      <c r="B178" s="280"/>
      <c r="C178" s="361"/>
      <c r="D178" s="280"/>
      <c r="E178" s="281"/>
      <c r="F178" s="281"/>
    </row>
    <row r="179" spans="1:6">
      <c r="A179" s="282" t="s">
        <v>206</v>
      </c>
      <c r="B179" s="282" t="s">
        <v>207</v>
      </c>
      <c r="C179" s="375"/>
      <c r="D179" s="282" t="s">
        <v>5</v>
      </c>
      <c r="E179" s="283"/>
      <c r="F179" s="284">
        <f>SUM(F180:F207)</f>
        <v>70431221.209874973</v>
      </c>
    </row>
    <row r="180" spans="1:6">
      <c r="A180" s="285"/>
      <c r="B180" s="280" t="s">
        <v>208</v>
      </c>
      <c r="C180" s="361"/>
      <c r="D180" s="280" t="s">
        <v>5</v>
      </c>
      <c r="E180" s="281"/>
      <c r="F180" s="281">
        <f>+C180*E180</f>
        <v>0</v>
      </c>
    </row>
    <row r="181" spans="1:6" ht="41.4">
      <c r="A181" s="285"/>
      <c r="B181" s="280" t="s">
        <v>852</v>
      </c>
      <c r="C181" s="361">
        <f>3.75*3.1+3*3.8+2.05*1+3*5.8+5.15*1.5+0.7*2.15</f>
        <v>51.704999999999998</v>
      </c>
      <c r="D181" s="280" t="s">
        <v>5</v>
      </c>
      <c r="E181" s="281">
        <f>'BQ MAPLE ROOFTOP'!E181</f>
        <v>245653.84113680152</v>
      </c>
      <c r="F181" s="281">
        <f t="shared" ref="F181:F183" si="13">+C181*E181</f>
        <v>12701531.855978323</v>
      </c>
    </row>
    <row r="182" spans="1:6" ht="27.6">
      <c r="A182" s="285"/>
      <c r="B182" s="280" t="s">
        <v>853</v>
      </c>
      <c r="C182" s="361">
        <f>0.7*1.6+4.5*2.3+1.5*2.4+1.75*1.35</f>
        <v>17.432499999999997</v>
      </c>
      <c r="D182" s="280" t="s">
        <v>5</v>
      </c>
      <c r="E182" s="281">
        <f>'BQ MAPLE ROOFTOP'!E182</f>
        <v>245653.84113680152</v>
      </c>
      <c r="F182" s="281">
        <f t="shared" si="13"/>
        <v>4282360.5856172917</v>
      </c>
    </row>
    <row r="183" spans="1:6" ht="27.6">
      <c r="A183" s="285"/>
      <c r="B183" s="280" t="s">
        <v>492</v>
      </c>
      <c r="C183" s="361">
        <f>1.9*1.75-1*0.6</f>
        <v>2.7249999999999996</v>
      </c>
      <c r="D183" s="280" t="s">
        <v>5</v>
      </c>
      <c r="E183" s="281">
        <f>'BQ MAPLE ROOFTOP'!E183</f>
        <v>240503.84113680152</v>
      </c>
      <c r="F183" s="281">
        <f t="shared" si="13"/>
        <v>655372.96709778404</v>
      </c>
    </row>
    <row r="184" spans="1:6" ht="27.6">
      <c r="A184" s="285"/>
      <c r="B184" s="280" t="s">
        <v>493</v>
      </c>
      <c r="C184" s="361">
        <f>1*1.5</f>
        <v>1.5</v>
      </c>
      <c r="D184" s="280" t="s">
        <v>5</v>
      </c>
      <c r="E184" s="281">
        <f>'BQ MAPLE ROOFTOP'!E184</f>
        <v>235903.84113680152</v>
      </c>
      <c r="F184" s="281">
        <f>+C184*E184</f>
        <v>353855.76170520228</v>
      </c>
    </row>
    <row r="185" spans="1:6" ht="27.6">
      <c r="A185" s="285"/>
      <c r="B185" s="280" t="s">
        <v>494</v>
      </c>
      <c r="C185" s="361">
        <f>6.9*2.7+0.9*1.2</f>
        <v>19.71</v>
      </c>
      <c r="D185" s="280" t="s">
        <v>5</v>
      </c>
      <c r="E185" s="281">
        <f>'BQ MAPLE ROOFTOP'!E185</f>
        <v>220675</v>
      </c>
      <c r="F185" s="281">
        <f t="shared" ref="F185:F186" si="14">+C185*E185</f>
        <v>4349504.25</v>
      </c>
    </row>
    <row r="186" spans="1:6" ht="41.4">
      <c r="A186" s="285"/>
      <c r="B186" s="280" t="s">
        <v>495</v>
      </c>
      <c r="C186" s="361">
        <f>(2.85+0.6)*1.8-0.8*1.5</f>
        <v>5.0100000000000007</v>
      </c>
      <c r="D186" s="280" t="s">
        <v>5</v>
      </c>
      <c r="E186" s="281">
        <f>'BQ MAPLE ROOFTOP'!E186</f>
        <v>240503.84113680152</v>
      </c>
      <c r="F186" s="281">
        <f t="shared" si="14"/>
        <v>1204924.2440953758</v>
      </c>
    </row>
    <row r="187" spans="1:6" ht="27.6">
      <c r="A187" s="285"/>
      <c r="B187" s="280" t="s">
        <v>496</v>
      </c>
      <c r="C187" s="361">
        <f>1*1.8</f>
        <v>1.8</v>
      </c>
      <c r="D187" s="280" t="s">
        <v>5</v>
      </c>
      <c r="E187" s="281">
        <f>'BQ MAPLE ROOFTOP'!E187</f>
        <v>235903.84113680152</v>
      </c>
      <c r="F187" s="281">
        <f>+C187*E187</f>
        <v>424626.91404624277</v>
      </c>
    </row>
    <row r="188" spans="1:6" ht="27.6">
      <c r="A188" s="285"/>
      <c r="B188" s="280" t="s">
        <v>497</v>
      </c>
      <c r="C188" s="361">
        <f>0.9*3.3+3*2.7-0.6*2.5+1*3.2+2*2.75+1.6*0.2+1.6*2.75</f>
        <v>22.990000000000002</v>
      </c>
      <c r="D188" s="280" t="s">
        <v>5</v>
      </c>
      <c r="E188" s="281">
        <f>'BQ MAPLE ROOFTOP'!E188</f>
        <v>220675</v>
      </c>
      <c r="F188" s="281">
        <f>+C188*E188</f>
        <v>5073318.25</v>
      </c>
    </row>
    <row r="189" spans="1:6" ht="27.6">
      <c r="A189" s="285"/>
      <c r="B189" s="280" t="s">
        <v>498</v>
      </c>
      <c r="C189" s="398">
        <f>4*2.5+21*1.3*0.2</f>
        <v>15.46</v>
      </c>
      <c r="D189" s="280" t="s">
        <v>5</v>
      </c>
      <c r="E189" s="281">
        <f>'BQ MAPLE ROOFTOP'!E189</f>
        <v>431653.84113680152</v>
      </c>
      <c r="F189" s="281">
        <f>+C189*E189</f>
        <v>6673368.3839749517</v>
      </c>
    </row>
    <row r="190" spans="1:6">
      <c r="A190" s="285"/>
      <c r="B190" s="280" t="s">
        <v>499</v>
      </c>
      <c r="C190" s="398">
        <v>30</v>
      </c>
      <c r="D190" s="280" t="s">
        <v>297</v>
      </c>
      <c r="E190" s="281">
        <f>'BQ MAPLE ROOFTOP'!E190</f>
        <v>106592.30685613358</v>
      </c>
      <c r="F190" s="281">
        <f t="shared" ref="F190:F205" si="15">+C190*E190</f>
        <v>3197769.2056840076</v>
      </c>
    </row>
    <row r="191" spans="1:6" ht="27.6">
      <c r="A191" s="285"/>
      <c r="B191" s="280" t="s">
        <v>500</v>
      </c>
      <c r="C191" s="361">
        <f>3.75*1+1.7*1.05</f>
        <v>5.5350000000000001</v>
      </c>
      <c r="D191" s="280" t="s">
        <v>5</v>
      </c>
      <c r="E191" s="281">
        <f>'BQ MAPLE ROOFTOP'!E191</f>
        <v>204953.84113680155</v>
      </c>
      <c r="F191" s="281">
        <f t="shared" si="15"/>
        <v>1134419.5106921967</v>
      </c>
    </row>
    <row r="192" spans="1:6" ht="27.6">
      <c r="A192" s="285"/>
      <c r="B192" s="280" t="s">
        <v>501</v>
      </c>
      <c r="C192" s="361">
        <v>3</v>
      </c>
      <c r="D192" s="280" t="s">
        <v>7</v>
      </c>
      <c r="E192" s="281">
        <f>'BQ MAPLE ROOFTOP'!E192</f>
        <v>750000</v>
      </c>
      <c r="F192" s="281">
        <f t="shared" si="15"/>
        <v>2250000</v>
      </c>
    </row>
    <row r="193" spans="1:6">
      <c r="A193" s="285"/>
      <c r="B193" s="280" t="s">
        <v>502</v>
      </c>
      <c r="C193" s="361">
        <f>64.12</f>
        <v>64.12</v>
      </c>
      <c r="D193" s="280" t="s">
        <v>8</v>
      </c>
      <c r="E193" s="281">
        <f>'BQ MAPLE ROOFTOP'!E193</f>
        <v>59215.384113680149</v>
      </c>
      <c r="F193" s="281">
        <f t="shared" si="15"/>
        <v>3796890.4293691716</v>
      </c>
    </row>
    <row r="194" spans="1:6" ht="27.6">
      <c r="A194" s="285"/>
      <c r="B194" s="280" t="s">
        <v>503</v>
      </c>
      <c r="C194" s="356">
        <f>24.83*0</f>
        <v>0</v>
      </c>
      <c r="D194" s="280" t="s">
        <v>5</v>
      </c>
      <c r="E194" s="281">
        <f>'BQ MAPLE ROOFTOP'!E194</f>
        <v>13629458</v>
      </c>
      <c r="F194" s="281">
        <f t="shared" si="15"/>
        <v>0</v>
      </c>
    </row>
    <row r="195" spans="1:6" ht="27.6">
      <c r="A195" s="285"/>
      <c r="B195" s="280" t="s">
        <v>504</v>
      </c>
      <c r="C195" s="361">
        <f>11+19.13</f>
        <v>30.13</v>
      </c>
      <c r="D195" s="280" t="s">
        <v>5</v>
      </c>
      <c r="E195" s="281">
        <f>'BQ MAPLE ROOFTOP'!E195</f>
        <v>65000</v>
      </c>
      <c r="F195" s="281">
        <f t="shared" si="15"/>
        <v>1958450</v>
      </c>
    </row>
    <row r="196" spans="1:6" ht="41.4">
      <c r="A196" s="285"/>
      <c r="B196" s="280" t="s">
        <v>505</v>
      </c>
      <c r="C196" s="361">
        <f>0.9*2.7</f>
        <v>2.4300000000000002</v>
      </c>
      <c r="D196" s="280" t="s">
        <v>5</v>
      </c>
      <c r="E196" s="281">
        <f>'BQ MAPLE ROOFTOP'!E196</f>
        <v>431653.84113680152</v>
      </c>
      <c r="F196" s="281">
        <f t="shared" si="15"/>
        <v>1048918.8339624277</v>
      </c>
    </row>
    <row r="197" spans="1:6" ht="41.4">
      <c r="A197" s="285"/>
      <c r="B197" s="280" t="s">
        <v>506</v>
      </c>
      <c r="C197" s="361">
        <f>0.9*2.7</f>
        <v>2.4300000000000002</v>
      </c>
      <c r="D197" s="280" t="s">
        <v>5</v>
      </c>
      <c r="E197" s="281">
        <f>'BQ MAPLE ROOFTOP'!E197</f>
        <v>431653.84113680152</v>
      </c>
      <c r="F197" s="281">
        <f>+C197*E197</f>
        <v>1048918.8339624277</v>
      </c>
    </row>
    <row r="198" spans="1:6" ht="27.6">
      <c r="A198" s="285"/>
      <c r="B198" s="280" t="s">
        <v>507</v>
      </c>
      <c r="C198" s="361">
        <f>4.15*2.55</f>
        <v>10.5825</v>
      </c>
      <c r="D198" s="280" t="s">
        <v>5</v>
      </c>
      <c r="E198" s="281">
        <f>'BQ MAPLE ROOFTOP'!E198</f>
        <v>175000</v>
      </c>
      <c r="F198" s="281">
        <f t="shared" si="15"/>
        <v>1851937.5</v>
      </c>
    </row>
    <row r="199" spans="1:6">
      <c r="A199" s="285"/>
      <c r="B199" s="285"/>
      <c r="C199" s="361"/>
      <c r="D199" s="285"/>
      <c r="E199" s="281"/>
      <c r="F199" s="281">
        <f t="shared" si="15"/>
        <v>0</v>
      </c>
    </row>
    <row r="200" spans="1:6">
      <c r="A200" s="285"/>
      <c r="B200" s="280" t="s">
        <v>508</v>
      </c>
      <c r="C200" s="361"/>
      <c r="D200" s="285"/>
      <c r="E200" s="281"/>
      <c r="F200" s="281">
        <f t="shared" si="15"/>
        <v>0</v>
      </c>
    </row>
    <row r="201" spans="1:6" ht="27.6">
      <c r="A201" s="285"/>
      <c r="B201" s="280" t="s">
        <v>854</v>
      </c>
      <c r="C201" s="374">
        <f>3.9*5.1</f>
        <v>19.889999999999997</v>
      </c>
      <c r="D201" s="280" t="s">
        <v>5</v>
      </c>
      <c r="E201" s="281">
        <f>'BQ MAPLE ROOFTOP'!E201</f>
        <v>245653.84113680152</v>
      </c>
      <c r="F201" s="281">
        <f t="shared" si="15"/>
        <v>4886054.9002109813</v>
      </c>
    </row>
    <row r="202" spans="1:6" ht="27.6">
      <c r="A202" s="285"/>
      <c r="B202" s="280" t="s">
        <v>509</v>
      </c>
      <c r="C202" s="374">
        <f>4.7*4.5+0.6*2.85</f>
        <v>22.860000000000003</v>
      </c>
      <c r="D202" s="280" t="s">
        <v>5</v>
      </c>
      <c r="E202" s="281">
        <f>'BQ MAPLE ROOFTOP'!E202</f>
        <v>411099.34113680152</v>
      </c>
      <c r="F202" s="281">
        <f t="shared" si="15"/>
        <v>9397730.9383872841</v>
      </c>
    </row>
    <row r="203" spans="1:6">
      <c r="A203" s="285"/>
      <c r="B203" s="280" t="s">
        <v>510</v>
      </c>
      <c r="C203" s="374">
        <v>9</v>
      </c>
      <c r="D203" s="280" t="s">
        <v>8</v>
      </c>
      <c r="E203" s="281">
        <f>'BQ MAPLE ROOFTOP'!E203</f>
        <v>59215.384113680149</v>
      </c>
      <c r="F203" s="281">
        <f t="shared" si="15"/>
        <v>532938.4570231213</v>
      </c>
    </row>
    <row r="204" spans="1:6" ht="27.6">
      <c r="A204" s="285"/>
      <c r="B204" s="280" t="s">
        <v>511</v>
      </c>
      <c r="C204" s="361">
        <v>54.55</v>
      </c>
      <c r="D204" s="280" t="s">
        <v>5</v>
      </c>
      <c r="E204" s="281">
        <f>'BQ MAPLE ROOFTOP'!E204</f>
        <v>66147.193181818177</v>
      </c>
      <c r="F204" s="281">
        <f t="shared" si="15"/>
        <v>3608329.3880681815</v>
      </c>
    </row>
    <row r="205" spans="1:6">
      <c r="A205" s="285"/>
      <c r="B205" s="286" t="s">
        <v>397</v>
      </c>
      <c r="C205" s="361"/>
      <c r="D205" s="280"/>
      <c r="E205" s="281"/>
      <c r="F205" s="281">
        <f t="shared" si="15"/>
        <v>0</v>
      </c>
    </row>
    <row r="206" spans="1:6">
      <c r="A206" s="285"/>
      <c r="B206" s="286" t="s">
        <v>398</v>
      </c>
      <c r="C206" s="361"/>
      <c r="D206" s="280"/>
      <c r="E206" s="281"/>
      <c r="F206" s="281">
        <f>+C206*E206</f>
        <v>0</v>
      </c>
    </row>
    <row r="207" spans="1:6">
      <c r="A207" s="285"/>
      <c r="B207" s="286" t="s">
        <v>399</v>
      </c>
      <c r="C207" s="361"/>
      <c r="D207" s="280"/>
      <c r="E207" s="281"/>
      <c r="F207" s="281">
        <f>+C207*E207</f>
        <v>0</v>
      </c>
    </row>
    <row r="208" spans="1:6">
      <c r="A208" s="285"/>
      <c r="B208" s="280"/>
      <c r="C208" s="361"/>
      <c r="D208" s="280"/>
      <c r="E208" s="281"/>
      <c r="F208" s="281"/>
    </row>
    <row r="209" spans="1:8">
      <c r="A209" s="282" t="s">
        <v>17</v>
      </c>
      <c r="B209" s="282" t="s">
        <v>18</v>
      </c>
      <c r="C209" s="375"/>
      <c r="D209" s="282" t="s">
        <v>5</v>
      </c>
      <c r="E209" s="283"/>
      <c r="F209" s="284">
        <f>SUM(F210:F217)</f>
        <v>7625183.7500000009</v>
      </c>
    </row>
    <row r="210" spans="1:8">
      <c r="A210" s="285"/>
      <c r="B210" s="280" t="s">
        <v>209</v>
      </c>
      <c r="C210" s="361"/>
      <c r="D210" s="280" t="s">
        <v>5</v>
      </c>
      <c r="E210" s="281"/>
      <c r="F210" s="281">
        <f>+C210*E210</f>
        <v>0</v>
      </c>
    </row>
    <row r="211" spans="1:8" ht="27.6">
      <c r="A211" s="285"/>
      <c r="B211" s="280" t="s">
        <v>210</v>
      </c>
      <c r="C211" s="361">
        <f>4.5*9.8+3.85*2.3-1.12*2.85+3.5*7.8-0.7*2.6-1.6*1-1.35*2.4</f>
        <v>70.40300000000002</v>
      </c>
      <c r="D211" s="280" t="s">
        <v>5</v>
      </c>
      <c r="E211" s="281">
        <f>'BQ MAPLE ROOFTOP'!E211</f>
        <v>67500</v>
      </c>
      <c r="F211" s="281">
        <f t="shared" ref="F211:F217" si="16">+C211*E211</f>
        <v>4752202.5000000009</v>
      </c>
      <c r="H211" s="358"/>
    </row>
    <row r="212" spans="1:8" ht="41.4">
      <c r="A212" s="285"/>
      <c r="B212" s="280" t="s">
        <v>512</v>
      </c>
      <c r="C212" s="361">
        <f>7.55*0.975+2.4*1.35+1.7*1.05</f>
        <v>12.38625</v>
      </c>
      <c r="D212" s="280" t="s">
        <v>5</v>
      </c>
      <c r="E212" s="281">
        <f>'BQ MAPLE ROOFTOP'!E212</f>
        <v>85000</v>
      </c>
      <c r="F212" s="281">
        <f t="shared" si="16"/>
        <v>1052831.25</v>
      </c>
    </row>
    <row r="213" spans="1:8">
      <c r="A213" s="285"/>
      <c r="B213" s="280" t="s">
        <v>211</v>
      </c>
      <c r="C213" s="361">
        <f>101.3</f>
        <v>101.3</v>
      </c>
      <c r="D213" s="280" t="s">
        <v>8</v>
      </c>
      <c r="E213" s="281">
        <f>'BQ MAPLE ROOFTOP'!E213</f>
        <v>15500</v>
      </c>
      <c r="F213" s="281">
        <f t="shared" si="16"/>
        <v>1570150</v>
      </c>
    </row>
    <row r="214" spans="1:8">
      <c r="A214" s="285"/>
      <c r="B214" s="280" t="s">
        <v>513</v>
      </c>
      <c r="C214" s="361">
        <v>1</v>
      </c>
      <c r="D214" s="280" t="s">
        <v>204</v>
      </c>
      <c r="E214" s="281">
        <f>'BQ MAPLE ROOFTOP'!E214</f>
        <v>250000</v>
      </c>
      <c r="F214" s="281">
        <f t="shared" si="16"/>
        <v>250000</v>
      </c>
    </row>
    <row r="215" spans="1:8">
      <c r="A215" s="285"/>
      <c r="B215" s="286" t="s">
        <v>397</v>
      </c>
      <c r="C215" s="361"/>
      <c r="D215" s="280"/>
      <c r="E215" s="281"/>
      <c r="F215" s="281">
        <f t="shared" si="16"/>
        <v>0</v>
      </c>
    </row>
    <row r="216" spans="1:8">
      <c r="A216" s="285"/>
      <c r="B216" s="286" t="s">
        <v>398</v>
      </c>
      <c r="C216" s="361"/>
      <c r="D216" s="280"/>
      <c r="E216" s="281"/>
      <c r="F216" s="281">
        <f t="shared" si="16"/>
        <v>0</v>
      </c>
    </row>
    <row r="217" spans="1:8">
      <c r="A217" s="285"/>
      <c r="B217" s="286" t="s">
        <v>399</v>
      </c>
      <c r="C217" s="361"/>
      <c r="D217" s="280"/>
      <c r="E217" s="281"/>
      <c r="F217" s="281">
        <f t="shared" si="16"/>
        <v>0</v>
      </c>
    </row>
    <row r="218" spans="1:8">
      <c r="A218" s="285"/>
      <c r="B218" s="280"/>
      <c r="C218" s="361"/>
      <c r="D218" s="280"/>
      <c r="E218" s="281"/>
      <c r="F218" s="281"/>
    </row>
    <row r="219" spans="1:8">
      <c r="A219" s="282" t="s">
        <v>19</v>
      </c>
      <c r="B219" s="282" t="s">
        <v>20</v>
      </c>
      <c r="C219" s="375"/>
      <c r="D219" s="282" t="s">
        <v>5</v>
      </c>
      <c r="E219" s="283"/>
      <c r="F219" s="284">
        <f>SUM(F220:F234)</f>
        <v>10991237.5</v>
      </c>
    </row>
    <row r="220" spans="1:8">
      <c r="A220" s="285"/>
      <c r="B220" s="280" t="s">
        <v>212</v>
      </c>
      <c r="C220" s="361"/>
      <c r="D220" s="280" t="s">
        <v>5</v>
      </c>
      <c r="E220" s="281"/>
      <c r="F220" s="281">
        <f t="shared" ref="F220:F224" si="17">+C220*E220</f>
        <v>0</v>
      </c>
    </row>
    <row r="221" spans="1:8" ht="27.6">
      <c r="A221" s="285"/>
      <c r="B221" s="280" t="s">
        <v>210</v>
      </c>
      <c r="C221" s="361">
        <f>4.65*2.3+1.6*0.75+1.5*2.4+1.75*1.3+3.75*3.1+3.8*3+4.5*5.15+3*0.65+1*2.05</f>
        <v>67.97</v>
      </c>
      <c r="D221" s="280" t="s">
        <v>5</v>
      </c>
      <c r="E221" s="281">
        <f>'BQ MAPLE ROOFTOP'!E221</f>
        <v>67500</v>
      </c>
      <c r="F221" s="281">
        <f t="shared" si="17"/>
        <v>4587975</v>
      </c>
    </row>
    <row r="222" spans="1:8" ht="41.4">
      <c r="A222" s="285"/>
      <c r="B222" s="280" t="s">
        <v>512</v>
      </c>
      <c r="C222" s="361">
        <f>1*3.75+3*1.75+1.75*1.9+1*0.6+1.7*1.1</f>
        <v>14.794999999999998</v>
      </c>
      <c r="D222" s="280" t="s">
        <v>5</v>
      </c>
      <c r="E222" s="281">
        <f>'BQ MAPLE ROOFTOP'!E222</f>
        <v>85000</v>
      </c>
      <c r="F222" s="281">
        <f t="shared" si="17"/>
        <v>1257574.9999999998</v>
      </c>
    </row>
    <row r="223" spans="1:8">
      <c r="A223" s="285"/>
      <c r="B223" s="280" t="s">
        <v>211</v>
      </c>
      <c r="C223" s="361">
        <f>112.3</f>
        <v>112.3</v>
      </c>
      <c r="D223" s="280" t="s">
        <v>8</v>
      </c>
      <c r="E223" s="281">
        <f>'BQ MAPLE ROOFTOP'!E223</f>
        <v>15500</v>
      </c>
      <c r="F223" s="281">
        <f t="shared" si="17"/>
        <v>1740650</v>
      </c>
    </row>
    <row r="224" spans="1:8">
      <c r="A224" s="285"/>
      <c r="B224" s="280" t="s">
        <v>513</v>
      </c>
      <c r="C224" s="361">
        <v>1</v>
      </c>
      <c r="D224" s="280" t="s">
        <v>204</v>
      </c>
      <c r="E224" s="281">
        <f>'BQ MAPLE ROOFTOP'!E224</f>
        <v>250000</v>
      </c>
      <c r="F224" s="281">
        <f t="shared" si="17"/>
        <v>250000</v>
      </c>
    </row>
    <row r="225" spans="1:6">
      <c r="A225" s="285"/>
      <c r="B225" s="285"/>
      <c r="C225" s="361"/>
      <c r="D225" s="285"/>
      <c r="E225" s="281"/>
      <c r="F225" s="281"/>
    </row>
    <row r="226" spans="1:6">
      <c r="A226" s="285"/>
      <c r="B226" s="280" t="s">
        <v>514</v>
      </c>
      <c r="C226" s="361"/>
      <c r="D226" s="285"/>
      <c r="E226" s="281"/>
      <c r="F226" s="281"/>
    </row>
    <row r="227" spans="1:6" ht="27.6">
      <c r="A227" s="285"/>
      <c r="B227" s="280" t="s">
        <v>210</v>
      </c>
      <c r="C227" s="374">
        <f>3.9*2.85+17.83</f>
        <v>28.945</v>
      </c>
      <c r="D227" s="280" t="s">
        <v>5</v>
      </c>
      <c r="E227" s="281">
        <f>'BQ MAPLE ROOFTOP'!E227</f>
        <v>67500</v>
      </c>
      <c r="F227" s="281">
        <f t="shared" ref="F227:F234" si="18">+C227*E227</f>
        <v>1953787.5</v>
      </c>
    </row>
    <row r="228" spans="1:6" ht="41.4">
      <c r="A228" s="285"/>
      <c r="B228" s="280" t="s">
        <v>512</v>
      </c>
      <c r="C228" s="374">
        <f>9.2*0.6</f>
        <v>5.52</v>
      </c>
      <c r="D228" s="280" t="s">
        <v>5</v>
      </c>
      <c r="E228" s="281">
        <f>'BQ MAPLE ROOFTOP'!E228</f>
        <v>85000</v>
      </c>
      <c r="F228" s="281">
        <f t="shared" si="18"/>
        <v>469199.99999999994</v>
      </c>
    </row>
    <row r="229" spans="1:6">
      <c r="A229" s="285"/>
      <c r="B229" s="280" t="s">
        <v>211</v>
      </c>
      <c r="C229" s="374">
        <v>31.1</v>
      </c>
      <c r="D229" s="280" t="s">
        <v>8</v>
      </c>
      <c r="E229" s="281">
        <f>'BQ MAPLE ROOFTOP'!E229</f>
        <v>15500</v>
      </c>
      <c r="F229" s="281">
        <f t="shared" si="18"/>
        <v>482050</v>
      </c>
    </row>
    <row r="230" spans="1:6" ht="27.6">
      <c r="A230" s="285"/>
      <c r="B230" s="280" t="s">
        <v>515</v>
      </c>
      <c r="C230" s="359">
        <v>0</v>
      </c>
      <c r="D230" s="280" t="s">
        <v>5</v>
      </c>
      <c r="E230" s="281">
        <f>'BQ MAPLE ROOFTOP'!E230</f>
        <v>67500</v>
      </c>
      <c r="F230" s="281">
        <f t="shared" si="18"/>
        <v>0</v>
      </c>
    </row>
    <row r="231" spans="1:6">
      <c r="A231" s="285"/>
      <c r="B231" s="280" t="s">
        <v>516</v>
      </c>
      <c r="C231" s="374">
        <v>1</v>
      </c>
      <c r="D231" s="280" t="s">
        <v>204</v>
      </c>
      <c r="E231" s="281">
        <f>'BQ MAPLE ROOFTOP'!E231</f>
        <v>250000</v>
      </c>
      <c r="F231" s="281">
        <f>+C231*E231</f>
        <v>250000</v>
      </c>
    </row>
    <row r="232" spans="1:6">
      <c r="A232" s="285"/>
      <c r="B232" s="286" t="s">
        <v>397</v>
      </c>
      <c r="C232" s="361"/>
      <c r="D232" s="280"/>
      <c r="E232" s="281">
        <f>'BQ MAPLE ROOFTOP'!E232</f>
        <v>0</v>
      </c>
      <c r="F232" s="281">
        <f t="shared" si="18"/>
        <v>0</v>
      </c>
    </row>
    <row r="233" spans="1:6">
      <c r="A233" s="285"/>
      <c r="B233" s="286" t="s">
        <v>398</v>
      </c>
      <c r="C233" s="356">
        <v>0</v>
      </c>
      <c r="D233" s="280" t="s">
        <v>5</v>
      </c>
      <c r="E233" s="281">
        <f>'BQ MAPLE ROOFTOP'!E233</f>
        <v>750000</v>
      </c>
      <c r="F233" s="281">
        <f t="shared" si="18"/>
        <v>0</v>
      </c>
    </row>
    <row r="234" spans="1:6">
      <c r="A234" s="285"/>
      <c r="B234" s="286" t="s">
        <v>399</v>
      </c>
      <c r="C234" s="361"/>
      <c r="D234" s="280"/>
      <c r="E234" s="281"/>
      <c r="F234" s="281">
        <f t="shared" si="18"/>
        <v>0</v>
      </c>
    </row>
    <row r="235" spans="1:6">
      <c r="A235" s="285"/>
      <c r="B235" s="280"/>
      <c r="C235" s="361"/>
      <c r="D235" s="280"/>
      <c r="E235" s="281"/>
      <c r="F235" s="281"/>
    </row>
    <row r="236" spans="1:6" ht="27.6">
      <c r="A236" s="282" t="s">
        <v>21</v>
      </c>
      <c r="B236" s="282" t="s">
        <v>22</v>
      </c>
      <c r="C236" s="375"/>
      <c r="D236" s="282" t="s">
        <v>5</v>
      </c>
      <c r="E236" s="283"/>
      <c r="F236" s="284">
        <f>SUM(F237:F244)</f>
        <v>69947503.299999997</v>
      </c>
    </row>
    <row r="237" spans="1:6">
      <c r="A237" s="285"/>
      <c r="B237" s="280" t="s">
        <v>213</v>
      </c>
      <c r="C237" s="361"/>
      <c r="D237" s="280" t="s">
        <v>5</v>
      </c>
      <c r="E237" s="281"/>
      <c r="F237" s="281">
        <f t="shared" ref="F237:F244" si="19">+C237*E237</f>
        <v>0</v>
      </c>
    </row>
    <row r="238" spans="1:6" ht="27.6">
      <c r="A238" s="285"/>
      <c r="B238" s="280" t="s">
        <v>214</v>
      </c>
      <c r="C238" s="421">
        <f>(88.9*4.25-51.98)*0+300</f>
        <v>300</v>
      </c>
      <c r="D238" s="280" t="s">
        <v>5</v>
      </c>
      <c r="E238" s="281">
        <f>'BQ MAPLE ROOFTOP'!E238</f>
        <v>106861.25</v>
      </c>
      <c r="F238" s="281">
        <f t="shared" si="19"/>
        <v>32058375</v>
      </c>
    </row>
    <row r="239" spans="1:6">
      <c r="A239" s="285"/>
      <c r="B239" s="280" t="s">
        <v>215</v>
      </c>
      <c r="C239" s="361">
        <f>C238*2-38.8*4.25-138*0.35+100-16</f>
        <v>470.8</v>
      </c>
      <c r="D239" s="280" t="s">
        <v>5</v>
      </c>
      <c r="E239" s="281">
        <f>'BQ MAPLE ROOFTOP'!E239</f>
        <v>56880</v>
      </c>
      <c r="F239" s="281">
        <f t="shared" si="19"/>
        <v>26779104</v>
      </c>
    </row>
    <row r="240" spans="1:6">
      <c r="A240" s="285"/>
      <c r="B240" s="280" t="s">
        <v>216</v>
      </c>
      <c r="C240" s="361">
        <f>371</f>
        <v>371</v>
      </c>
      <c r="D240" s="280" t="s">
        <v>5</v>
      </c>
      <c r="E240" s="281">
        <f>'BQ MAPLE ROOFTOP'!E240</f>
        <v>14391.2</v>
      </c>
      <c r="F240" s="281">
        <f t="shared" si="19"/>
        <v>5339135.2</v>
      </c>
    </row>
    <row r="241" spans="1:6">
      <c r="A241" s="285"/>
      <c r="B241" s="280" t="s">
        <v>217</v>
      </c>
      <c r="C241" s="361">
        <v>265</v>
      </c>
      <c r="D241" s="280" t="s">
        <v>8</v>
      </c>
      <c r="E241" s="281">
        <f>'BQ MAPLE ROOFTOP'!E241</f>
        <v>21776.94</v>
      </c>
      <c r="F241" s="281">
        <f t="shared" si="19"/>
        <v>5770889.0999999996</v>
      </c>
    </row>
    <row r="242" spans="1:6">
      <c r="A242" s="285"/>
      <c r="B242" s="286" t="s">
        <v>397</v>
      </c>
      <c r="C242" s="361"/>
      <c r="D242" s="280"/>
      <c r="E242" s="281"/>
      <c r="F242" s="281">
        <f t="shared" si="19"/>
        <v>0</v>
      </c>
    </row>
    <row r="243" spans="1:6">
      <c r="A243" s="285"/>
      <c r="B243" s="286" t="s">
        <v>398</v>
      </c>
      <c r="C243" s="361"/>
      <c r="D243" s="280"/>
      <c r="E243" s="281"/>
      <c r="F243" s="281">
        <f t="shared" si="19"/>
        <v>0</v>
      </c>
    </row>
    <row r="244" spans="1:6">
      <c r="A244" s="285"/>
      <c r="B244" s="286" t="s">
        <v>399</v>
      </c>
      <c r="C244" s="361"/>
      <c r="D244" s="280"/>
      <c r="E244" s="281"/>
      <c r="F244" s="281">
        <f t="shared" si="19"/>
        <v>0</v>
      </c>
    </row>
    <row r="245" spans="1:6">
      <c r="A245" s="285"/>
      <c r="B245" s="280"/>
      <c r="C245" s="361"/>
      <c r="D245" s="280"/>
      <c r="E245" s="281"/>
      <c r="F245" s="281"/>
    </row>
    <row r="246" spans="1:6" ht="27.6">
      <c r="A246" s="282" t="s">
        <v>23</v>
      </c>
      <c r="B246" s="282" t="s">
        <v>24</v>
      </c>
      <c r="C246" s="375"/>
      <c r="D246" s="282" t="s">
        <v>5</v>
      </c>
      <c r="E246" s="283"/>
      <c r="F246" s="284">
        <f>SUM(F247:F255)</f>
        <v>70735143.219999999</v>
      </c>
    </row>
    <row r="247" spans="1:6">
      <c r="A247" s="285"/>
      <c r="B247" s="280" t="s">
        <v>218</v>
      </c>
      <c r="C247" s="361"/>
      <c r="D247" s="280" t="s">
        <v>5</v>
      </c>
      <c r="E247" s="281"/>
      <c r="F247" s="281">
        <f t="shared" ref="F247:F255" si="20">+C247*E247</f>
        <v>0</v>
      </c>
    </row>
    <row r="248" spans="1:6" ht="27.6">
      <c r="A248" s="285"/>
      <c r="B248" s="280" t="s">
        <v>517</v>
      </c>
      <c r="C248" s="421">
        <f>(87.25*3.8+7.7*1.9-49.39)*0+288</f>
        <v>288</v>
      </c>
      <c r="D248" s="280" t="s">
        <v>5</v>
      </c>
      <c r="E248" s="281">
        <f>'BQ MAPLE ROOFTOP'!E248</f>
        <v>106861.25</v>
      </c>
      <c r="F248" s="281">
        <f t="shared" si="20"/>
        <v>30776040</v>
      </c>
    </row>
    <row r="249" spans="1:6">
      <c r="A249" s="285"/>
      <c r="B249" s="280" t="s">
        <v>215</v>
      </c>
      <c r="C249" s="421">
        <f>(C248*2-23.8*3.8-7.7*1.9+35)*0+490</f>
        <v>490</v>
      </c>
      <c r="D249" s="280" t="s">
        <v>5</v>
      </c>
      <c r="E249" s="281">
        <f>'BQ MAPLE ROOFTOP'!E249</f>
        <v>56880</v>
      </c>
      <c r="F249" s="281">
        <f t="shared" si="20"/>
        <v>27871200</v>
      </c>
    </row>
    <row r="250" spans="1:6">
      <c r="A250" s="285"/>
      <c r="B250" s="280" t="s">
        <v>216</v>
      </c>
      <c r="C250" s="421">
        <f>C249-40</f>
        <v>450</v>
      </c>
      <c r="D250" s="280" t="s">
        <v>5</v>
      </c>
      <c r="E250" s="281">
        <f>'BQ MAPLE ROOFTOP'!E250</f>
        <v>14391.2</v>
      </c>
      <c r="F250" s="281">
        <f t="shared" si="20"/>
        <v>6476040</v>
      </c>
    </row>
    <row r="251" spans="1:6">
      <c r="A251" s="285"/>
      <c r="B251" s="280" t="s">
        <v>217</v>
      </c>
      <c r="C251" s="361">
        <v>213</v>
      </c>
      <c r="D251" s="280" t="s">
        <v>8</v>
      </c>
      <c r="E251" s="281">
        <f>'BQ MAPLE ROOFTOP'!E251</f>
        <v>21776.94</v>
      </c>
      <c r="F251" s="281">
        <f t="shared" si="20"/>
        <v>4638488.22</v>
      </c>
    </row>
    <row r="252" spans="1:6">
      <c r="A252" s="285"/>
      <c r="B252" s="280" t="s">
        <v>518</v>
      </c>
      <c r="C252" s="361">
        <f>3.75*1+1.75*4+1.9*1.75+1*0.9</f>
        <v>14.975</v>
      </c>
      <c r="D252" s="280" t="s">
        <v>5</v>
      </c>
      <c r="E252" s="281">
        <f>'BQ MAPLE ROOFTOP'!E252</f>
        <v>65000</v>
      </c>
      <c r="F252" s="281">
        <f t="shared" si="20"/>
        <v>973375</v>
      </c>
    </row>
    <row r="253" spans="1:6">
      <c r="A253" s="285"/>
      <c r="B253" s="286" t="s">
        <v>397</v>
      </c>
      <c r="C253" s="361"/>
      <c r="D253" s="280"/>
      <c r="E253" s="281"/>
      <c r="F253" s="281">
        <f t="shared" si="20"/>
        <v>0</v>
      </c>
    </row>
    <row r="254" spans="1:6">
      <c r="A254" s="285"/>
      <c r="B254" s="286" t="s">
        <v>398</v>
      </c>
      <c r="C254" s="361"/>
      <c r="D254" s="280"/>
      <c r="E254" s="281"/>
      <c r="F254" s="281">
        <f t="shared" si="20"/>
        <v>0</v>
      </c>
    </row>
    <row r="255" spans="1:6">
      <c r="A255" s="285"/>
      <c r="B255" s="286" t="s">
        <v>399</v>
      </c>
      <c r="C255" s="361"/>
      <c r="D255" s="280"/>
      <c r="E255" s="281"/>
      <c r="F255" s="281">
        <f t="shared" si="20"/>
        <v>0</v>
      </c>
    </row>
    <row r="256" spans="1:6">
      <c r="A256" s="285"/>
      <c r="B256" s="280"/>
      <c r="C256" s="361"/>
      <c r="D256" s="280"/>
      <c r="E256" s="281"/>
      <c r="F256" s="281"/>
    </row>
    <row r="257" spans="1:6" ht="27.6">
      <c r="A257" s="282" t="s">
        <v>519</v>
      </c>
      <c r="B257" s="282" t="s">
        <v>520</v>
      </c>
      <c r="C257" s="375">
        <v>1</v>
      </c>
      <c r="D257" s="282" t="s">
        <v>8</v>
      </c>
      <c r="E257" s="283"/>
      <c r="F257" s="284">
        <f>SUM(F258:F265)</f>
        <v>21567484.5625</v>
      </c>
    </row>
    <row r="258" spans="1:6">
      <c r="A258" s="285"/>
      <c r="B258" s="280" t="s">
        <v>521</v>
      </c>
      <c r="C258" s="361">
        <v>1</v>
      </c>
      <c r="D258" s="280" t="s">
        <v>8</v>
      </c>
      <c r="E258" s="281"/>
      <c r="F258" s="281">
        <f>+C258*E258</f>
        <v>0</v>
      </c>
    </row>
    <row r="259" spans="1:6" ht="27.6">
      <c r="A259" s="285"/>
      <c r="B259" s="280" t="s">
        <v>517</v>
      </c>
      <c r="C259" s="421">
        <f>30.9*1.5+17.25*2.8-5</f>
        <v>89.649999999999991</v>
      </c>
      <c r="D259" s="280" t="s">
        <v>5</v>
      </c>
      <c r="E259" s="281">
        <f>'BQ MAPLE ROOFTOP'!E259</f>
        <v>106861.25</v>
      </c>
      <c r="F259" s="281">
        <f t="shared" ref="F259:F265" si="21">+C259*E259</f>
        <v>9580111.0625</v>
      </c>
    </row>
    <row r="260" spans="1:6">
      <c r="A260" s="285"/>
      <c r="B260" s="280" t="s">
        <v>215</v>
      </c>
      <c r="C260" s="421">
        <v>130</v>
      </c>
      <c r="D260" s="280" t="s">
        <v>5</v>
      </c>
      <c r="E260" s="281">
        <f>'BQ MAPLE ROOFTOP'!E260</f>
        <v>56880</v>
      </c>
      <c r="F260" s="281">
        <f t="shared" si="21"/>
        <v>7394400</v>
      </c>
    </row>
    <row r="261" spans="1:6">
      <c r="A261" s="285"/>
      <c r="B261" s="280" t="s">
        <v>216</v>
      </c>
      <c r="C261" s="421">
        <f>C260</f>
        <v>130</v>
      </c>
      <c r="D261" s="280" t="s">
        <v>5</v>
      </c>
      <c r="E261" s="281">
        <f>'BQ MAPLE ROOFTOP'!E261</f>
        <v>14391.2</v>
      </c>
      <c r="F261" s="281">
        <f t="shared" si="21"/>
        <v>1870856</v>
      </c>
    </row>
    <row r="262" spans="1:6">
      <c r="A262" s="285"/>
      <c r="B262" s="280" t="s">
        <v>217</v>
      </c>
      <c r="C262" s="361">
        <v>125</v>
      </c>
      <c r="D262" s="280" t="s">
        <v>8</v>
      </c>
      <c r="E262" s="281">
        <f>'BQ MAPLE ROOFTOP'!E262</f>
        <v>21776.94</v>
      </c>
      <c r="F262" s="281">
        <f t="shared" si="21"/>
        <v>2722117.5</v>
      </c>
    </row>
    <row r="263" spans="1:6">
      <c r="A263" s="285"/>
      <c r="B263" s="286" t="s">
        <v>397</v>
      </c>
      <c r="C263" s="361"/>
      <c r="D263" s="280"/>
      <c r="E263" s="281"/>
      <c r="F263" s="281">
        <f t="shared" si="21"/>
        <v>0</v>
      </c>
    </row>
    <row r="264" spans="1:6">
      <c r="A264" s="285"/>
      <c r="B264" s="286" t="s">
        <v>398</v>
      </c>
      <c r="C264" s="361"/>
      <c r="D264" s="280"/>
      <c r="E264" s="281"/>
      <c r="F264" s="281">
        <f t="shared" si="21"/>
        <v>0</v>
      </c>
    </row>
    <row r="265" spans="1:6">
      <c r="A265" s="285"/>
      <c r="B265" s="286" t="s">
        <v>399</v>
      </c>
      <c r="C265" s="361"/>
      <c r="D265" s="280"/>
      <c r="E265" s="281"/>
      <c r="F265" s="281">
        <f t="shared" si="21"/>
        <v>0</v>
      </c>
    </row>
    <row r="266" spans="1:6">
      <c r="A266" s="285"/>
      <c r="B266" s="280"/>
      <c r="C266" s="361"/>
      <c r="D266" s="280"/>
      <c r="E266" s="281"/>
      <c r="F266" s="281"/>
    </row>
    <row r="267" spans="1:6" ht="27.6">
      <c r="A267" s="282" t="s">
        <v>219</v>
      </c>
      <c r="B267" s="282" t="s">
        <v>220</v>
      </c>
      <c r="C267" s="375">
        <v>1</v>
      </c>
      <c r="D267" s="282" t="s">
        <v>6</v>
      </c>
      <c r="E267" s="283"/>
      <c r="F267" s="284">
        <f>SUM(F268:F278)</f>
        <v>8978438.432</v>
      </c>
    </row>
    <row r="268" spans="1:6">
      <c r="A268" s="285"/>
      <c r="B268" s="280" t="s">
        <v>522</v>
      </c>
      <c r="C268" s="361"/>
      <c r="D268" s="280" t="s">
        <v>6</v>
      </c>
      <c r="E268" s="281"/>
      <c r="F268" s="281">
        <f>+C268*E268</f>
        <v>0</v>
      </c>
    </row>
    <row r="269" spans="1:6">
      <c r="A269" s="285"/>
      <c r="B269" s="280" t="s">
        <v>221</v>
      </c>
      <c r="C269" s="361">
        <f>20*2+28</f>
        <v>68</v>
      </c>
      <c r="D269" s="280" t="s">
        <v>6</v>
      </c>
      <c r="E269" s="360">
        <f>'BQ MAPLE ROOFTOP'!E269</f>
        <v>21776.94</v>
      </c>
      <c r="F269" s="281">
        <f t="shared" ref="F269:F278" si="22">+C269*E269</f>
        <v>1480831.92</v>
      </c>
    </row>
    <row r="270" spans="1:6" ht="27.6">
      <c r="A270" s="285"/>
      <c r="B270" s="280" t="s">
        <v>222</v>
      </c>
      <c r="C270" s="361">
        <f>3*2.15+1.75*0.82+4</f>
        <v>11.884999999999998</v>
      </c>
      <c r="D270" s="280" t="s">
        <v>5</v>
      </c>
      <c r="E270" s="360">
        <f>'BQ MAPLE ROOFTOP'!E270</f>
        <v>115600</v>
      </c>
      <c r="F270" s="281">
        <f t="shared" si="22"/>
        <v>1373905.9999999998</v>
      </c>
    </row>
    <row r="271" spans="1:6" ht="27.6">
      <c r="A271" s="285"/>
      <c r="B271" s="280" t="s">
        <v>223</v>
      </c>
      <c r="C271" s="361">
        <f>20+14</f>
        <v>34</v>
      </c>
      <c r="D271" s="280" t="s">
        <v>8</v>
      </c>
      <c r="E271" s="360">
        <f>'BQ MAPLE ROOFTOP'!E271</f>
        <v>27150</v>
      </c>
      <c r="F271" s="281">
        <f t="shared" si="22"/>
        <v>923100</v>
      </c>
    </row>
    <row r="272" spans="1:6" ht="27.6">
      <c r="A272" s="285"/>
      <c r="B272" s="280" t="s">
        <v>224</v>
      </c>
      <c r="C272" s="361">
        <f>2.5*3.1+0.3*3+4</f>
        <v>12.65</v>
      </c>
      <c r="D272" s="280" t="s">
        <v>5</v>
      </c>
      <c r="E272" s="360">
        <f>'BQ MAPLE ROOFTOP'!E272</f>
        <v>24434.400000000001</v>
      </c>
      <c r="F272" s="281">
        <f t="shared" si="22"/>
        <v>309095.16000000003</v>
      </c>
    </row>
    <row r="273" spans="1:6">
      <c r="A273" s="285"/>
      <c r="B273" s="280" t="s">
        <v>523</v>
      </c>
      <c r="C273" s="356">
        <v>0</v>
      </c>
      <c r="D273" s="280" t="s">
        <v>8</v>
      </c>
      <c r="E273" s="360">
        <f>'BQ MAPLE ROOFTOP'!E273</f>
        <v>27150</v>
      </c>
      <c r="F273" s="281">
        <f t="shared" si="22"/>
        <v>0</v>
      </c>
    </row>
    <row r="274" spans="1:6">
      <c r="A274" s="285"/>
      <c r="B274" s="280" t="s">
        <v>524</v>
      </c>
      <c r="C274" s="361">
        <v>52.5</v>
      </c>
      <c r="D274" s="280" t="s">
        <v>8</v>
      </c>
      <c r="E274" s="360">
        <f>'BQ MAPLE ROOFTOP'!E274</f>
        <v>33750</v>
      </c>
      <c r="F274" s="281">
        <f t="shared" si="22"/>
        <v>1771875</v>
      </c>
    </row>
    <row r="275" spans="1:6">
      <c r="A275" s="285"/>
      <c r="B275" s="280" t="s">
        <v>525</v>
      </c>
      <c r="C275" s="361">
        <f>8.6*1.4*2</f>
        <v>24.08</v>
      </c>
      <c r="D275" s="280" t="s">
        <v>5</v>
      </c>
      <c r="E275" s="360">
        <f>'BQ MAPLE ROOFTOP'!E275</f>
        <v>24434.400000000001</v>
      </c>
      <c r="F275" s="281">
        <f t="shared" si="22"/>
        <v>588380.35199999996</v>
      </c>
    </row>
    <row r="276" spans="1:6">
      <c r="A276" s="285"/>
      <c r="B276" s="286" t="s">
        <v>397</v>
      </c>
      <c r="C276" s="361"/>
      <c r="D276" s="280"/>
      <c r="E276" s="281"/>
      <c r="F276" s="281">
        <f t="shared" si="22"/>
        <v>0</v>
      </c>
    </row>
    <row r="277" spans="1:6">
      <c r="A277" s="285"/>
      <c r="B277" s="286" t="s">
        <v>834</v>
      </c>
      <c r="C277" s="361">
        <v>75</v>
      </c>
      <c r="D277" s="280" t="s">
        <v>8</v>
      </c>
      <c r="E277" s="281">
        <f>E274</f>
        <v>33750</v>
      </c>
      <c r="F277" s="281">
        <f t="shared" si="22"/>
        <v>2531250</v>
      </c>
    </row>
    <row r="278" spans="1:6">
      <c r="A278" s="285"/>
      <c r="B278" s="286" t="s">
        <v>399</v>
      </c>
      <c r="C278" s="361"/>
      <c r="D278" s="280"/>
      <c r="E278" s="281"/>
      <c r="F278" s="281">
        <f t="shared" si="22"/>
        <v>0</v>
      </c>
    </row>
    <row r="279" spans="1:6">
      <c r="A279" s="285"/>
      <c r="B279" s="280"/>
      <c r="C279" s="361"/>
      <c r="D279" s="280"/>
      <c r="E279" s="281"/>
      <c r="F279" s="281"/>
    </row>
    <row r="280" spans="1:6">
      <c r="A280" s="282" t="s">
        <v>25</v>
      </c>
      <c r="B280" s="282" t="s">
        <v>26</v>
      </c>
      <c r="C280" s="375"/>
      <c r="D280" s="282" t="s">
        <v>5</v>
      </c>
      <c r="E280" s="283"/>
      <c r="F280" s="284">
        <f>SUM(F281:F298)</f>
        <v>26490103.569819819</v>
      </c>
    </row>
    <row r="281" spans="1:6">
      <c r="A281" s="285"/>
      <c r="B281" s="280" t="s">
        <v>225</v>
      </c>
      <c r="C281" s="361"/>
      <c r="D281" s="280" t="s">
        <v>5</v>
      </c>
      <c r="E281" s="281"/>
      <c r="F281" s="281">
        <f t="shared" ref="F281:F298" si="23">+C281*E281</f>
        <v>0</v>
      </c>
    </row>
    <row r="282" spans="1:6" ht="27.6">
      <c r="A282" s="285"/>
      <c r="B282" s="280" t="s">
        <v>526</v>
      </c>
      <c r="C282" s="361">
        <v>42.3</v>
      </c>
      <c r="D282" s="280" t="s">
        <v>5</v>
      </c>
      <c r="E282" s="360">
        <f>'BQ MAPLE ROOFTOP'!E282</f>
        <v>115315.31531531531</v>
      </c>
      <c r="F282" s="281">
        <f t="shared" si="23"/>
        <v>4877837.8378378376</v>
      </c>
    </row>
    <row r="283" spans="1:6" ht="27.6">
      <c r="A283" s="285"/>
      <c r="B283" s="280" t="s">
        <v>527</v>
      </c>
      <c r="C283" s="361">
        <f>C282*1.05</f>
        <v>44.414999999999999</v>
      </c>
      <c r="D283" s="280" t="s">
        <v>5</v>
      </c>
      <c r="E283" s="360">
        <f>'BQ MAPLE ROOFTOP'!E283</f>
        <v>116317.56756756756</v>
      </c>
      <c r="F283" s="281">
        <f>+C283*E283</f>
        <v>5166244.7635135129</v>
      </c>
    </row>
    <row r="284" spans="1:6" ht="27.6">
      <c r="A284" s="285"/>
      <c r="B284" s="280" t="s">
        <v>226</v>
      </c>
      <c r="C284" s="361">
        <f>2.45*4+1.5</f>
        <v>11.3</v>
      </c>
      <c r="D284" s="280" t="s">
        <v>8</v>
      </c>
      <c r="E284" s="360">
        <f>'BQ MAPLE ROOFTOP'!E284</f>
        <v>237572.07207207207</v>
      </c>
      <c r="F284" s="281">
        <f t="shared" si="23"/>
        <v>2684564.4144144147</v>
      </c>
    </row>
    <row r="285" spans="1:6">
      <c r="A285" s="285"/>
      <c r="B285" s="280" t="s">
        <v>227</v>
      </c>
      <c r="C285" s="398">
        <v>4</v>
      </c>
      <c r="D285" s="280" t="s">
        <v>204</v>
      </c>
      <c r="E285" s="360">
        <f>'BQ MAPLE ROOFTOP'!E285</f>
        <v>35675.675675675673</v>
      </c>
      <c r="F285" s="281">
        <f t="shared" si="23"/>
        <v>142702.70270270269</v>
      </c>
    </row>
    <row r="286" spans="1:6" ht="27.6">
      <c r="A286" s="285"/>
      <c r="B286" s="280" t="s">
        <v>528</v>
      </c>
      <c r="C286" s="398">
        <v>2</v>
      </c>
      <c r="D286" s="280" t="s">
        <v>204</v>
      </c>
      <c r="E286" s="360">
        <f>'BQ MAPLE ROOFTOP'!E286</f>
        <v>35675.675675675673</v>
      </c>
      <c r="F286" s="281">
        <f t="shared" si="23"/>
        <v>71351.351351351346</v>
      </c>
    </row>
    <row r="287" spans="1:6">
      <c r="A287" s="285"/>
      <c r="B287" s="280" t="s">
        <v>529</v>
      </c>
      <c r="C287" s="356">
        <v>0</v>
      </c>
      <c r="D287" s="280" t="s">
        <v>8</v>
      </c>
      <c r="E287" s="360">
        <f>'BQ MAPLE ROOFTOP'!E287</f>
        <v>56000</v>
      </c>
      <c r="F287" s="281">
        <f t="shared" si="23"/>
        <v>0</v>
      </c>
    </row>
    <row r="288" spans="1:6">
      <c r="A288" s="285"/>
      <c r="B288" s="280" t="s">
        <v>530</v>
      </c>
      <c r="C288" s="359">
        <v>0</v>
      </c>
      <c r="D288" s="280" t="s">
        <v>8</v>
      </c>
      <c r="E288" s="360">
        <f>'BQ MAPLE ROOFTOP'!E288</f>
        <v>0</v>
      </c>
      <c r="F288" s="281">
        <f t="shared" si="23"/>
        <v>0</v>
      </c>
    </row>
    <row r="289" spans="1:6">
      <c r="A289" s="285"/>
      <c r="B289" s="280" t="s">
        <v>531</v>
      </c>
      <c r="C289" s="361">
        <v>12.5</v>
      </c>
      <c r="D289" s="280" t="s">
        <v>8</v>
      </c>
      <c r="E289" s="360">
        <f>'BQ MAPLE ROOFTOP'!E289</f>
        <v>237125</v>
      </c>
      <c r="F289" s="281">
        <f t="shared" si="23"/>
        <v>2964062.5</v>
      </c>
    </row>
    <row r="290" spans="1:6" ht="27.6">
      <c r="A290" s="285"/>
      <c r="B290" s="280" t="s">
        <v>828</v>
      </c>
      <c r="C290" s="361">
        <f>0.75*2.75</f>
        <v>2.0625</v>
      </c>
      <c r="D290" s="280" t="s">
        <v>5</v>
      </c>
      <c r="E290" s="360">
        <f>'BQ MAPLE ROOFTOP'!E290</f>
        <v>850000</v>
      </c>
      <c r="F290" s="281">
        <f t="shared" si="23"/>
        <v>1753125</v>
      </c>
    </row>
    <row r="291" spans="1:6" ht="27.6">
      <c r="A291" s="285"/>
      <c r="B291" s="280" t="s">
        <v>532</v>
      </c>
      <c r="C291" s="361">
        <f>0.5*1.1</f>
        <v>0.55000000000000004</v>
      </c>
      <c r="D291" s="280" t="s">
        <v>5</v>
      </c>
      <c r="E291" s="360">
        <f>'BQ MAPLE ROOFTOP'!E291</f>
        <v>850000</v>
      </c>
      <c r="F291" s="281">
        <f t="shared" si="23"/>
        <v>467500.00000000006</v>
      </c>
    </row>
    <row r="292" spans="1:6" ht="27.6">
      <c r="A292" s="285"/>
      <c r="B292" s="280" t="s">
        <v>830</v>
      </c>
      <c r="C292" s="361">
        <f>1.73*0.95</f>
        <v>1.6435</v>
      </c>
      <c r="D292" s="280" t="s">
        <v>5</v>
      </c>
      <c r="E292" s="360">
        <f>'BQ MAPLE ROOFTOP'!E292</f>
        <v>850000</v>
      </c>
      <c r="F292" s="281">
        <f t="shared" si="23"/>
        <v>1396975</v>
      </c>
    </row>
    <row r="293" spans="1:6" ht="27.6">
      <c r="A293" s="285"/>
      <c r="B293" s="280" t="s">
        <v>831</v>
      </c>
      <c r="C293" s="361">
        <f>2*2.25</f>
        <v>4.5</v>
      </c>
      <c r="D293" s="280" t="s">
        <v>5</v>
      </c>
      <c r="E293" s="360">
        <f>'BQ MAPLE ROOFTOP'!E293</f>
        <v>1050000</v>
      </c>
      <c r="F293" s="281">
        <f t="shared" si="23"/>
        <v>4725000</v>
      </c>
    </row>
    <row r="294" spans="1:6" ht="27.6">
      <c r="A294" s="285"/>
      <c r="B294" s="280" t="s">
        <v>832</v>
      </c>
      <c r="C294" s="361">
        <f>0.6*2.35</f>
        <v>1.41</v>
      </c>
      <c r="D294" s="280" t="s">
        <v>5</v>
      </c>
      <c r="E294" s="360">
        <f>'BQ MAPLE ROOFTOP'!E294</f>
        <v>1050000</v>
      </c>
      <c r="F294" s="281">
        <f t="shared" si="23"/>
        <v>1480500</v>
      </c>
    </row>
    <row r="295" spans="1:6" ht="27.6">
      <c r="A295" s="285"/>
      <c r="B295" s="280" t="s">
        <v>534</v>
      </c>
      <c r="C295" s="361">
        <f>1.72*0.52</f>
        <v>0.89439999999999997</v>
      </c>
      <c r="D295" s="280" t="s">
        <v>5</v>
      </c>
      <c r="E295" s="360">
        <f>'BQ MAPLE ROOFTOP'!E295</f>
        <v>850000</v>
      </c>
      <c r="F295" s="281">
        <f t="shared" si="23"/>
        <v>760240</v>
      </c>
    </row>
    <row r="296" spans="1:6">
      <c r="A296" s="285"/>
      <c r="B296" s="286" t="s">
        <v>397</v>
      </c>
      <c r="C296" s="280"/>
      <c r="D296" s="280"/>
      <c r="E296" s="281"/>
      <c r="F296" s="281">
        <f t="shared" si="23"/>
        <v>0</v>
      </c>
    </row>
    <row r="297" spans="1:6">
      <c r="A297" s="285"/>
      <c r="B297" s="286" t="s">
        <v>398</v>
      </c>
      <c r="C297" s="280"/>
      <c r="D297" s="280"/>
      <c r="E297" s="281"/>
      <c r="F297" s="281">
        <f t="shared" si="23"/>
        <v>0</v>
      </c>
    </row>
    <row r="298" spans="1:6">
      <c r="A298" s="285"/>
      <c r="B298" s="286" t="s">
        <v>399</v>
      </c>
      <c r="C298" s="280"/>
      <c r="D298" s="280"/>
      <c r="E298" s="281"/>
      <c r="F298" s="281">
        <f t="shared" si="23"/>
        <v>0</v>
      </c>
    </row>
    <row r="299" spans="1:6">
      <c r="A299" s="285"/>
      <c r="B299" s="286"/>
      <c r="C299" s="280"/>
      <c r="D299" s="280"/>
      <c r="E299" s="281"/>
      <c r="F299" s="281"/>
    </row>
    <row r="300" spans="1:6" ht="27.6">
      <c r="A300" s="282" t="s">
        <v>228</v>
      </c>
      <c r="B300" s="282" t="s">
        <v>229</v>
      </c>
      <c r="C300" s="282"/>
      <c r="D300" s="282" t="s">
        <v>7</v>
      </c>
      <c r="E300" s="283"/>
      <c r="F300" s="284">
        <f>SUM(F301:F340)+144200000</f>
        <v>205347733.52252251</v>
      </c>
    </row>
    <row r="301" spans="1:6" ht="27.6">
      <c r="A301" s="285"/>
      <c r="B301" s="280" t="s">
        <v>535</v>
      </c>
      <c r="C301" s="280"/>
      <c r="D301" s="280" t="s">
        <v>7</v>
      </c>
      <c r="E301" s="281"/>
      <c r="F301" s="281">
        <f t="shared" ref="F301:F340" si="24">+C301*E301</f>
        <v>0</v>
      </c>
    </row>
    <row r="302" spans="1:6">
      <c r="A302" s="285"/>
      <c r="B302" s="280" t="s">
        <v>536</v>
      </c>
      <c r="C302" s="356">
        <v>1</v>
      </c>
      <c r="D302" s="280" t="s">
        <v>204</v>
      </c>
      <c r="E302" s="281">
        <f>4664234*0</f>
        <v>0</v>
      </c>
      <c r="F302" s="281">
        <f t="shared" si="24"/>
        <v>0</v>
      </c>
    </row>
    <row r="303" spans="1:6">
      <c r="A303" s="285"/>
      <c r="B303" s="280" t="s">
        <v>537</v>
      </c>
      <c r="C303" s="356">
        <f>1</f>
        <v>1</v>
      </c>
      <c r="D303" s="280" t="s">
        <v>204</v>
      </c>
      <c r="E303" s="281">
        <f>28441018*0</f>
        <v>0</v>
      </c>
      <c r="F303" s="281">
        <f t="shared" si="24"/>
        <v>0</v>
      </c>
    </row>
    <row r="304" spans="1:6">
      <c r="A304" s="285"/>
      <c r="B304" s="280" t="s">
        <v>538</v>
      </c>
      <c r="C304" s="356">
        <f>1</f>
        <v>1</v>
      </c>
      <c r="D304" s="280" t="s">
        <v>204</v>
      </c>
      <c r="E304" s="281">
        <f>10681808*0</f>
        <v>0</v>
      </c>
      <c r="F304" s="281">
        <f t="shared" si="24"/>
        <v>0</v>
      </c>
    </row>
    <row r="305" spans="1:6">
      <c r="A305" s="285"/>
      <c r="B305" s="280" t="s">
        <v>539</v>
      </c>
      <c r="C305" s="356">
        <v>0</v>
      </c>
      <c r="D305" s="280" t="s">
        <v>204</v>
      </c>
      <c r="E305" s="360">
        <v>0</v>
      </c>
      <c r="F305" s="281">
        <f t="shared" si="24"/>
        <v>0</v>
      </c>
    </row>
    <row r="306" spans="1:6">
      <c r="A306" s="285"/>
      <c r="B306" s="280" t="s">
        <v>540</v>
      </c>
      <c r="C306" s="356">
        <f>0+1</f>
        <v>1</v>
      </c>
      <c r="D306" s="280" t="s">
        <v>204</v>
      </c>
      <c r="E306" s="281">
        <f>4795295*0</f>
        <v>0</v>
      </c>
      <c r="F306" s="281">
        <f t="shared" si="24"/>
        <v>0</v>
      </c>
    </row>
    <row r="307" spans="1:6">
      <c r="A307" s="285"/>
      <c r="B307" s="280" t="s">
        <v>541</v>
      </c>
      <c r="C307" s="356">
        <f>0+1</f>
        <v>1</v>
      </c>
      <c r="D307" s="280" t="s">
        <v>204</v>
      </c>
      <c r="E307" s="281">
        <f>4453907*0</f>
        <v>0</v>
      </c>
      <c r="F307" s="281">
        <f t="shared" si="24"/>
        <v>0</v>
      </c>
    </row>
    <row r="308" spans="1:6">
      <c r="A308" s="285"/>
      <c r="B308" s="280" t="s">
        <v>542</v>
      </c>
      <c r="C308" s="356">
        <f>0+1</f>
        <v>1</v>
      </c>
      <c r="D308" s="280" t="s">
        <v>204</v>
      </c>
      <c r="E308" s="281">
        <f>19094658*0</f>
        <v>0</v>
      </c>
      <c r="F308" s="281">
        <f t="shared" si="24"/>
        <v>0</v>
      </c>
    </row>
    <row r="309" spans="1:6">
      <c r="A309" s="285"/>
      <c r="B309" s="280" t="s">
        <v>543</v>
      </c>
      <c r="C309" s="359">
        <v>1</v>
      </c>
      <c r="D309" s="280" t="s">
        <v>204</v>
      </c>
      <c r="E309" s="281">
        <f>5256232*0</f>
        <v>0</v>
      </c>
      <c r="F309" s="281">
        <f t="shared" si="24"/>
        <v>0</v>
      </c>
    </row>
    <row r="310" spans="1:6">
      <c r="A310" s="285"/>
      <c r="B310" s="280" t="s">
        <v>544</v>
      </c>
      <c r="C310" s="359">
        <v>1</v>
      </c>
      <c r="D310" s="280" t="s">
        <v>204</v>
      </c>
      <c r="E310" s="281">
        <f>6951325*0</f>
        <v>0</v>
      </c>
      <c r="F310" s="281">
        <f t="shared" si="24"/>
        <v>0</v>
      </c>
    </row>
    <row r="311" spans="1:6">
      <c r="A311" s="285"/>
      <c r="B311" s="280" t="s">
        <v>545</v>
      </c>
      <c r="C311" s="359">
        <v>1</v>
      </c>
      <c r="D311" s="280" t="s">
        <v>204</v>
      </c>
      <c r="E311" s="281">
        <f>14189968*0</f>
        <v>0</v>
      </c>
      <c r="F311" s="281">
        <f t="shared" si="24"/>
        <v>0</v>
      </c>
    </row>
    <row r="312" spans="1:6">
      <c r="A312" s="285"/>
      <c r="B312" s="280" t="s">
        <v>546</v>
      </c>
      <c r="C312" s="359">
        <v>1</v>
      </c>
      <c r="D312" s="280" t="s">
        <v>204</v>
      </c>
      <c r="E312" s="281">
        <f>8411650*0</f>
        <v>0</v>
      </c>
      <c r="F312" s="281">
        <f t="shared" si="24"/>
        <v>0</v>
      </c>
    </row>
    <row r="313" spans="1:6">
      <c r="A313" s="285"/>
      <c r="B313" s="280" t="s">
        <v>547</v>
      </c>
      <c r="C313" s="359">
        <v>1</v>
      </c>
      <c r="D313" s="280" t="s">
        <v>204</v>
      </c>
      <c r="E313" s="281">
        <f>7043439*0</f>
        <v>0</v>
      </c>
      <c r="F313" s="281">
        <f t="shared" si="24"/>
        <v>0</v>
      </c>
    </row>
    <row r="314" spans="1:6">
      <c r="A314" s="285"/>
      <c r="B314" s="280" t="s">
        <v>548</v>
      </c>
      <c r="C314" s="359">
        <v>1</v>
      </c>
      <c r="D314" s="280" t="s">
        <v>204</v>
      </c>
      <c r="E314" s="281">
        <f>1060040*0</f>
        <v>0</v>
      </c>
      <c r="F314" s="281">
        <f t="shared" si="24"/>
        <v>0</v>
      </c>
    </row>
    <row r="315" spans="1:6">
      <c r="A315" s="285"/>
      <c r="B315" s="280" t="s">
        <v>549</v>
      </c>
      <c r="C315" s="359">
        <v>1</v>
      </c>
      <c r="D315" s="280" t="s">
        <v>204</v>
      </c>
      <c r="E315" s="281">
        <f>2872584*0</f>
        <v>0</v>
      </c>
      <c r="F315" s="281">
        <f t="shared" si="24"/>
        <v>0</v>
      </c>
    </row>
    <row r="316" spans="1:6">
      <c r="A316" s="285"/>
      <c r="B316" s="280" t="s">
        <v>550</v>
      </c>
      <c r="C316" s="359">
        <v>1</v>
      </c>
      <c r="D316" s="280" t="s">
        <v>204</v>
      </c>
      <c r="E316" s="281">
        <f>3353630*0</f>
        <v>0</v>
      </c>
      <c r="F316" s="281">
        <f t="shared" si="24"/>
        <v>0</v>
      </c>
    </row>
    <row r="317" spans="1:6">
      <c r="A317" s="285"/>
      <c r="B317" s="280" t="s">
        <v>551</v>
      </c>
      <c r="C317" s="359">
        <v>1</v>
      </c>
      <c r="D317" s="280" t="s">
        <v>204</v>
      </c>
      <c r="E317" s="281">
        <f>2877006*0</f>
        <v>0</v>
      </c>
      <c r="F317" s="281">
        <f t="shared" si="24"/>
        <v>0</v>
      </c>
    </row>
    <row r="318" spans="1:6">
      <c r="A318" s="285"/>
      <c r="B318" s="280" t="s">
        <v>552</v>
      </c>
      <c r="C318" s="359">
        <v>1</v>
      </c>
      <c r="D318" s="280" t="s">
        <v>204</v>
      </c>
      <c r="E318" s="281">
        <f>3374719*0</f>
        <v>0</v>
      </c>
      <c r="F318" s="281">
        <f t="shared" si="24"/>
        <v>0</v>
      </c>
    </row>
    <row r="319" spans="1:6">
      <c r="A319" s="285"/>
      <c r="B319" s="280" t="s">
        <v>553</v>
      </c>
      <c r="C319" s="359">
        <v>1</v>
      </c>
      <c r="D319" s="280" t="s">
        <v>204</v>
      </c>
      <c r="E319" s="281">
        <f>3401785*0</f>
        <v>0</v>
      </c>
      <c r="F319" s="281">
        <f t="shared" si="24"/>
        <v>0</v>
      </c>
    </row>
    <row r="320" spans="1:6">
      <c r="A320" s="285"/>
      <c r="B320" s="280" t="s">
        <v>554</v>
      </c>
      <c r="C320" s="359">
        <v>1</v>
      </c>
      <c r="D320" s="280" t="s">
        <v>204</v>
      </c>
      <c r="E320" s="281">
        <f>5528272*0</f>
        <v>0</v>
      </c>
      <c r="F320" s="281">
        <f t="shared" si="24"/>
        <v>0</v>
      </c>
    </row>
    <row r="321" spans="1:6">
      <c r="A321" s="285"/>
      <c r="B321" s="280" t="s">
        <v>555</v>
      </c>
      <c r="C321" s="359">
        <v>1</v>
      </c>
      <c r="D321" s="280" t="s">
        <v>204</v>
      </c>
      <c r="E321" s="281">
        <f>460334*0</f>
        <v>0</v>
      </c>
      <c r="F321" s="281">
        <f t="shared" si="24"/>
        <v>0</v>
      </c>
    </row>
    <row r="322" spans="1:6">
      <c r="A322" s="285"/>
      <c r="B322" s="280" t="s">
        <v>556</v>
      </c>
      <c r="C322" s="359">
        <v>1</v>
      </c>
      <c r="D322" s="280" t="s">
        <v>204</v>
      </c>
      <c r="E322" s="281">
        <f>594236*0</f>
        <v>0</v>
      </c>
      <c r="F322" s="281">
        <f t="shared" si="24"/>
        <v>0</v>
      </c>
    </row>
    <row r="323" spans="1:6">
      <c r="A323" s="285"/>
      <c r="B323" s="280" t="s">
        <v>557</v>
      </c>
      <c r="C323" s="359">
        <v>1</v>
      </c>
      <c r="D323" s="280" t="s">
        <v>204</v>
      </c>
      <c r="E323" s="281">
        <f>1250269*0</f>
        <v>0</v>
      </c>
      <c r="F323" s="281">
        <f t="shared" si="24"/>
        <v>0</v>
      </c>
    </row>
    <row r="324" spans="1:6">
      <c r="A324" s="285"/>
      <c r="B324" s="285"/>
      <c r="C324" s="361"/>
      <c r="D324" s="285"/>
      <c r="E324" s="281"/>
      <c r="F324" s="281">
        <f t="shared" si="24"/>
        <v>0</v>
      </c>
    </row>
    <row r="325" spans="1:6">
      <c r="A325" s="285"/>
      <c r="B325" s="280" t="s">
        <v>558</v>
      </c>
      <c r="C325" s="361"/>
      <c r="D325" s="285"/>
      <c r="E325" s="281"/>
      <c r="F325" s="281">
        <f t="shared" si="24"/>
        <v>0</v>
      </c>
    </row>
    <row r="326" spans="1:6">
      <c r="A326" s="285"/>
      <c r="B326" s="280" t="s">
        <v>559</v>
      </c>
      <c r="C326" s="361"/>
      <c r="D326" s="285"/>
      <c r="E326" s="281"/>
      <c r="F326" s="281">
        <f t="shared" si="24"/>
        <v>0</v>
      </c>
    </row>
    <row r="327" spans="1:6">
      <c r="A327" s="285"/>
      <c r="B327" s="280" t="s">
        <v>560</v>
      </c>
      <c r="C327" s="356">
        <f>1</f>
        <v>1</v>
      </c>
      <c r="D327" s="280" t="s">
        <v>204</v>
      </c>
      <c r="E327" s="281">
        <f>'BQ MAPLE ROOFTOP'!E327</f>
        <v>2802319.8198198196</v>
      </c>
      <c r="F327" s="281">
        <f t="shared" si="24"/>
        <v>2802319.8198198196</v>
      </c>
    </row>
    <row r="328" spans="1:6">
      <c r="A328" s="285"/>
      <c r="B328" s="280" t="s">
        <v>561</v>
      </c>
      <c r="C328" s="356">
        <f>2</f>
        <v>2</v>
      </c>
      <c r="D328" s="280" t="s">
        <v>204</v>
      </c>
      <c r="E328" s="281">
        <f>'BQ MAPLE ROOFTOP'!E328</f>
        <v>4516261.261261262</v>
      </c>
      <c r="F328" s="281">
        <f t="shared" si="24"/>
        <v>9032522.522522524</v>
      </c>
    </row>
    <row r="329" spans="1:6">
      <c r="A329" s="285"/>
      <c r="B329" s="280" t="s">
        <v>562</v>
      </c>
      <c r="C329" s="356">
        <f>1</f>
        <v>1</v>
      </c>
      <c r="D329" s="280" t="s">
        <v>204</v>
      </c>
      <c r="E329" s="281">
        <f>'BQ MAPLE ROOFTOP'!E329</f>
        <v>4705450.4504504511</v>
      </c>
      <c r="F329" s="281">
        <f t="shared" si="24"/>
        <v>4705450.4504504511</v>
      </c>
    </row>
    <row r="330" spans="1:6">
      <c r="A330" s="285"/>
      <c r="B330" s="280" t="s">
        <v>563</v>
      </c>
      <c r="C330" s="356">
        <f>1</f>
        <v>1</v>
      </c>
      <c r="D330" s="280" t="s">
        <v>204</v>
      </c>
      <c r="E330" s="281">
        <f>'BQ MAPLE ROOFTOP'!E330</f>
        <v>4955450.4504504511</v>
      </c>
      <c r="F330" s="281">
        <f t="shared" si="24"/>
        <v>4955450.4504504511</v>
      </c>
    </row>
    <row r="331" spans="1:6">
      <c r="A331" s="285"/>
      <c r="B331" s="280" t="s">
        <v>564</v>
      </c>
      <c r="C331" s="356">
        <f>1</f>
        <v>1</v>
      </c>
      <c r="D331" s="280" t="s">
        <v>204</v>
      </c>
      <c r="E331" s="281">
        <f>'BQ MAPLE ROOFTOP'!E331</f>
        <v>10837197.486486485</v>
      </c>
      <c r="F331" s="281">
        <f t="shared" si="24"/>
        <v>10837197.486486485</v>
      </c>
    </row>
    <row r="332" spans="1:6">
      <c r="A332" s="285"/>
      <c r="B332" s="280" t="s">
        <v>565</v>
      </c>
      <c r="C332" s="356">
        <f>1</f>
        <v>1</v>
      </c>
      <c r="D332" s="280" t="s">
        <v>204</v>
      </c>
      <c r="E332" s="281">
        <f>'BQ MAPLE ROOFTOP'!E332</f>
        <v>4134819.8198198201</v>
      </c>
      <c r="F332" s="281">
        <f t="shared" si="24"/>
        <v>4134819.8198198201</v>
      </c>
    </row>
    <row r="333" spans="1:6">
      <c r="A333" s="285"/>
      <c r="B333" s="285"/>
      <c r="C333" s="356"/>
      <c r="D333" s="285"/>
      <c r="E333" s="281">
        <f>'BQ MAPLE ROOFTOP'!E333</f>
        <v>0</v>
      </c>
      <c r="F333" s="281">
        <f t="shared" si="24"/>
        <v>0</v>
      </c>
    </row>
    <row r="334" spans="1:6">
      <c r="A334" s="285"/>
      <c r="B334" s="280" t="s">
        <v>566</v>
      </c>
      <c r="C334" s="356"/>
      <c r="D334" s="285"/>
      <c r="E334" s="281">
        <f>'BQ MAPLE ROOFTOP'!E334</f>
        <v>0</v>
      </c>
      <c r="F334" s="281">
        <f t="shared" si="24"/>
        <v>0</v>
      </c>
    </row>
    <row r="335" spans="1:6">
      <c r="A335" s="285"/>
      <c r="B335" s="280" t="s">
        <v>567</v>
      </c>
      <c r="C335" s="356">
        <f>3</f>
        <v>3</v>
      </c>
      <c r="D335" s="280" t="s">
        <v>204</v>
      </c>
      <c r="E335" s="281">
        <f>'BQ MAPLE ROOFTOP'!E335</f>
        <v>4955450.4504504511</v>
      </c>
      <c r="F335" s="281">
        <f t="shared" si="24"/>
        <v>14866351.351351354</v>
      </c>
    </row>
    <row r="336" spans="1:6">
      <c r="A336" s="285"/>
      <c r="B336" s="280" t="s">
        <v>568</v>
      </c>
      <c r="C336" s="356">
        <f>1</f>
        <v>1</v>
      </c>
      <c r="D336" s="280" t="s">
        <v>204</v>
      </c>
      <c r="E336" s="281">
        <f>'BQ MAPLE ROOFTOP'!E336</f>
        <v>4705450.4504504511</v>
      </c>
      <c r="F336" s="281">
        <f t="shared" si="24"/>
        <v>4705450.4504504511</v>
      </c>
    </row>
    <row r="337" spans="1:6">
      <c r="A337" s="285"/>
      <c r="B337" s="280" t="s">
        <v>569</v>
      </c>
      <c r="C337" s="356">
        <f>1</f>
        <v>1</v>
      </c>
      <c r="D337" s="280" t="s">
        <v>204</v>
      </c>
      <c r="E337" s="281">
        <f>'BQ MAPLE ROOFTOP'!E337</f>
        <v>5108171.1711711707</v>
      </c>
      <c r="F337" s="281">
        <f t="shared" si="24"/>
        <v>5108171.1711711707</v>
      </c>
    </row>
    <row r="338" spans="1:6">
      <c r="A338" s="285"/>
      <c r="B338" s="286" t="s">
        <v>397</v>
      </c>
      <c r="C338" s="356"/>
      <c r="D338" s="280"/>
      <c r="E338" s="281"/>
      <c r="F338" s="281">
        <f t="shared" si="24"/>
        <v>0</v>
      </c>
    </row>
    <row r="339" spans="1:6">
      <c r="A339" s="285"/>
      <c r="B339" s="286"/>
      <c r="C339" s="359"/>
      <c r="D339" s="280"/>
      <c r="E339" s="360"/>
      <c r="F339" s="281">
        <f t="shared" si="24"/>
        <v>0</v>
      </c>
    </row>
    <row r="340" spans="1:6">
      <c r="A340" s="285"/>
      <c r="B340" s="286"/>
      <c r="C340" s="280"/>
      <c r="D340" s="280"/>
      <c r="E340" s="360"/>
      <c r="F340" s="281">
        <f t="shared" si="24"/>
        <v>0</v>
      </c>
    </row>
    <row r="341" spans="1:6">
      <c r="A341" s="285"/>
      <c r="B341" s="280"/>
      <c r="C341" s="280"/>
      <c r="D341" s="280"/>
      <c r="E341" s="281"/>
      <c r="F341" s="281"/>
    </row>
    <row r="342" spans="1:6" ht="27.6">
      <c r="A342" s="282" t="s">
        <v>27</v>
      </c>
      <c r="B342" s="282" t="s">
        <v>28</v>
      </c>
      <c r="C342" s="282"/>
      <c r="D342" s="282" t="s">
        <v>5</v>
      </c>
      <c r="E342" s="283"/>
      <c r="F342" s="284">
        <f>SUM(F343:F350)</f>
        <v>13804241.77251984</v>
      </c>
    </row>
    <row r="343" spans="1:6">
      <c r="A343" s="285"/>
      <c r="B343" s="280" t="s">
        <v>230</v>
      </c>
      <c r="C343" s="280"/>
      <c r="D343" s="280" t="s">
        <v>5</v>
      </c>
      <c r="E343" s="281"/>
      <c r="F343" s="281">
        <f t="shared" ref="F343:F350" si="25">+C343*E343</f>
        <v>0</v>
      </c>
    </row>
    <row r="344" spans="1:6">
      <c r="A344" s="285"/>
      <c r="B344" s="280" t="s">
        <v>570</v>
      </c>
      <c r="C344" s="361">
        <f>107*0+54</f>
        <v>54</v>
      </c>
      <c r="D344" s="280" t="s">
        <v>5</v>
      </c>
      <c r="E344" s="281">
        <f>'BQ MAPLE ROOFTOP'!E344</f>
        <v>41282.142857142855</v>
      </c>
      <c r="F344" s="281">
        <f t="shared" si="25"/>
        <v>2229235.7142857141</v>
      </c>
    </row>
    <row r="345" spans="1:6">
      <c r="A345" s="285"/>
      <c r="B345" s="280" t="s">
        <v>571</v>
      </c>
      <c r="C345" s="361">
        <f>(88.1*3.5-58.73-20.23)*0+330</f>
        <v>330</v>
      </c>
      <c r="D345" s="280" t="s">
        <v>5</v>
      </c>
      <c r="E345" s="281">
        <f>'BQ MAPLE ROOFTOP'!E345</f>
        <v>27631.349206349205</v>
      </c>
      <c r="F345" s="281">
        <f t="shared" si="25"/>
        <v>9118345.2380952369</v>
      </c>
    </row>
    <row r="346" spans="1:6">
      <c r="A346" s="285"/>
      <c r="B346" s="280" t="s">
        <v>572</v>
      </c>
      <c r="C346" s="361">
        <f>C211</f>
        <v>70.40300000000002</v>
      </c>
      <c r="D346" s="280" t="s">
        <v>5</v>
      </c>
      <c r="E346" s="281">
        <f>'BQ MAPLE ROOFTOP'!E346</f>
        <v>27631.349206349205</v>
      </c>
      <c r="F346" s="281">
        <f t="shared" si="25"/>
        <v>1945329.8781746037</v>
      </c>
    </row>
    <row r="347" spans="1:6">
      <c r="A347" s="285"/>
      <c r="B347" s="280" t="s">
        <v>573</v>
      </c>
      <c r="C347" s="361">
        <f>C212</f>
        <v>12.38625</v>
      </c>
      <c r="D347" s="280" t="s">
        <v>5</v>
      </c>
      <c r="E347" s="281">
        <f>'BQ MAPLE ROOFTOP'!E347</f>
        <v>41282.142857142855</v>
      </c>
      <c r="F347" s="281">
        <f>+C347*E347</f>
        <v>511330.94196428568</v>
      </c>
    </row>
    <row r="348" spans="1:6">
      <c r="A348" s="285"/>
      <c r="B348" s="286" t="s">
        <v>397</v>
      </c>
      <c r="C348" s="361"/>
      <c r="D348" s="280"/>
      <c r="E348" s="281"/>
      <c r="F348" s="281">
        <f t="shared" si="25"/>
        <v>0</v>
      </c>
    </row>
    <row r="349" spans="1:6">
      <c r="A349" s="285"/>
      <c r="B349" s="286" t="s">
        <v>398</v>
      </c>
      <c r="C349" s="361"/>
      <c r="D349" s="280"/>
      <c r="E349" s="281"/>
      <c r="F349" s="281">
        <f t="shared" si="25"/>
        <v>0</v>
      </c>
    </row>
    <row r="350" spans="1:6">
      <c r="A350" s="285"/>
      <c r="B350" s="286" t="s">
        <v>399</v>
      </c>
      <c r="C350" s="361"/>
      <c r="D350" s="280"/>
      <c r="E350" s="281"/>
      <c r="F350" s="281">
        <f t="shared" si="25"/>
        <v>0</v>
      </c>
    </row>
    <row r="351" spans="1:6">
      <c r="A351" s="285"/>
      <c r="B351" s="280"/>
      <c r="C351" s="361"/>
      <c r="D351" s="280"/>
      <c r="E351" s="281"/>
      <c r="F351" s="281"/>
    </row>
    <row r="352" spans="1:6" ht="27.6">
      <c r="A352" s="282" t="s">
        <v>231</v>
      </c>
      <c r="B352" s="282" t="s">
        <v>232</v>
      </c>
      <c r="C352" s="375"/>
      <c r="D352" s="282" t="s">
        <v>5</v>
      </c>
      <c r="E352" s="283"/>
      <c r="F352" s="284">
        <f>SUM(F353:F360)</f>
        <v>16284760.998015873</v>
      </c>
    </row>
    <row r="353" spans="1:6">
      <c r="A353" s="285"/>
      <c r="B353" s="280" t="s">
        <v>233</v>
      </c>
      <c r="C353" s="361"/>
      <c r="D353" s="280" t="s">
        <v>5</v>
      </c>
      <c r="E353" s="281"/>
      <c r="F353" s="281">
        <f t="shared" ref="F353:F360" si="26">+C353*E353</f>
        <v>0</v>
      </c>
    </row>
    <row r="354" spans="1:6">
      <c r="A354" s="285"/>
      <c r="B354" s="280" t="s">
        <v>570</v>
      </c>
      <c r="C354" s="361">
        <f>141*0+120</f>
        <v>120</v>
      </c>
      <c r="D354" s="280" t="s">
        <v>5</v>
      </c>
      <c r="E354" s="281">
        <f>'BQ MAPLE ROOFTOP'!E354</f>
        <v>41282.142857142855</v>
      </c>
      <c r="F354" s="281">
        <f t="shared" si="26"/>
        <v>4953857.1428571427</v>
      </c>
    </row>
    <row r="355" spans="1:6">
      <c r="A355" s="285"/>
      <c r="B355" s="280" t="s">
        <v>571</v>
      </c>
      <c r="C355" s="361">
        <f>(105.95*3.2-57.75-19-22)*0+320</f>
        <v>320</v>
      </c>
      <c r="D355" s="280" t="s">
        <v>5</v>
      </c>
      <c r="E355" s="281">
        <f>'BQ MAPLE ROOFTOP'!E355</f>
        <v>27631.349206349205</v>
      </c>
      <c r="F355" s="281">
        <f t="shared" si="26"/>
        <v>8842031.7460317463</v>
      </c>
    </row>
    <row r="356" spans="1:6">
      <c r="A356" s="285"/>
      <c r="B356" s="280" t="s">
        <v>572</v>
      </c>
      <c r="C356" s="361">
        <f>C221</f>
        <v>67.97</v>
      </c>
      <c r="D356" s="280" t="s">
        <v>5</v>
      </c>
      <c r="E356" s="281">
        <f>'BQ MAPLE ROOFTOP'!E356</f>
        <v>27631.349206349205</v>
      </c>
      <c r="F356" s="281">
        <f t="shared" si="26"/>
        <v>1878102.8055555555</v>
      </c>
    </row>
    <row r="357" spans="1:6">
      <c r="A357" s="285"/>
      <c r="B357" s="280" t="s">
        <v>573</v>
      </c>
      <c r="C357" s="361">
        <f>C222</f>
        <v>14.794999999999998</v>
      </c>
      <c r="D357" s="280" t="s">
        <v>5</v>
      </c>
      <c r="E357" s="281">
        <f>'BQ MAPLE ROOFTOP'!E357</f>
        <v>41282.142857142855</v>
      </c>
      <c r="F357" s="281">
        <f t="shared" si="26"/>
        <v>610769.30357142852</v>
      </c>
    </row>
    <row r="358" spans="1:6">
      <c r="A358" s="285"/>
      <c r="B358" s="286" t="s">
        <v>397</v>
      </c>
      <c r="C358" s="361"/>
      <c r="D358" s="280"/>
      <c r="E358" s="281"/>
      <c r="F358" s="281">
        <f t="shared" si="26"/>
        <v>0</v>
      </c>
    </row>
    <row r="359" spans="1:6">
      <c r="A359" s="285"/>
      <c r="B359" s="286" t="s">
        <v>398</v>
      </c>
      <c r="C359" s="361"/>
      <c r="D359" s="280"/>
      <c r="E359" s="281"/>
      <c r="F359" s="281">
        <f t="shared" si="26"/>
        <v>0</v>
      </c>
    </row>
    <row r="360" spans="1:6">
      <c r="A360" s="285"/>
      <c r="B360" s="286" t="s">
        <v>399</v>
      </c>
      <c r="C360" s="361"/>
      <c r="D360" s="280"/>
      <c r="E360" s="281"/>
      <c r="F360" s="281">
        <f t="shared" si="26"/>
        <v>0</v>
      </c>
    </row>
    <row r="361" spans="1:6">
      <c r="A361" s="285"/>
      <c r="B361" s="280"/>
      <c r="C361" s="361"/>
      <c r="D361" s="280"/>
      <c r="E361" s="281"/>
      <c r="F361" s="281"/>
    </row>
    <row r="362" spans="1:6" ht="27.6">
      <c r="A362" s="282" t="s">
        <v>574</v>
      </c>
      <c r="B362" s="282" t="s">
        <v>575</v>
      </c>
      <c r="C362" s="375">
        <v>1</v>
      </c>
      <c r="D362" s="282" t="s">
        <v>8</v>
      </c>
      <c r="E362" s="283"/>
      <c r="F362" s="284">
        <f>SUM(F363:F370)</f>
        <v>4095714.5297619044</v>
      </c>
    </row>
    <row r="363" spans="1:6">
      <c r="A363" s="285"/>
      <c r="B363" s="280" t="s">
        <v>576</v>
      </c>
      <c r="C363" s="361">
        <v>1</v>
      </c>
      <c r="D363" s="280" t="s">
        <v>8</v>
      </c>
      <c r="E363" s="281"/>
      <c r="F363" s="281">
        <f t="shared" ref="F363:F370" si="27">+C363*E363</f>
        <v>0</v>
      </c>
    </row>
    <row r="364" spans="1:6">
      <c r="A364" s="285"/>
      <c r="B364" s="280" t="s">
        <v>570</v>
      </c>
      <c r="C364" s="402">
        <f>(56+7.3*2.8+16.5*1.5)*0+50</f>
        <v>50</v>
      </c>
      <c r="D364" s="280" t="s">
        <v>5</v>
      </c>
      <c r="E364" s="281">
        <f>'BQ MAPLE ROOFTOP'!E364</f>
        <v>41282.142857142855</v>
      </c>
      <c r="F364" s="281">
        <f t="shared" si="27"/>
        <v>2064107.1428571427</v>
      </c>
    </row>
    <row r="365" spans="1:6">
      <c r="A365" s="285"/>
      <c r="B365" s="280" t="s">
        <v>571</v>
      </c>
      <c r="C365" s="374">
        <f>14.7*2.8+8.4*1.5</f>
        <v>53.76</v>
      </c>
      <c r="D365" s="280" t="s">
        <v>5</v>
      </c>
      <c r="E365" s="281">
        <f>'BQ MAPLE ROOFTOP'!E365</f>
        <v>27631.349206349205</v>
      </c>
      <c r="F365" s="281">
        <f t="shared" si="27"/>
        <v>1485461.3333333333</v>
      </c>
    </row>
    <row r="366" spans="1:6">
      <c r="A366" s="285"/>
      <c r="B366" s="280" t="s">
        <v>572</v>
      </c>
      <c r="C366" s="374">
        <f>3.9*2.85</f>
        <v>11.115</v>
      </c>
      <c r="D366" s="280" t="s">
        <v>5</v>
      </c>
      <c r="E366" s="281">
        <f>'BQ MAPLE ROOFTOP'!E366</f>
        <v>27631.349206349205</v>
      </c>
      <c r="F366" s="281">
        <f t="shared" si="27"/>
        <v>307122.44642857142</v>
      </c>
    </row>
    <row r="367" spans="1:6">
      <c r="A367" s="285"/>
      <c r="B367" s="280" t="s">
        <v>573</v>
      </c>
      <c r="C367" s="374">
        <f>9.65*0.6</f>
        <v>5.79</v>
      </c>
      <c r="D367" s="280" t="s">
        <v>5</v>
      </c>
      <c r="E367" s="281">
        <f>'BQ MAPLE ROOFTOP'!E367</f>
        <v>41282.142857142855</v>
      </c>
      <c r="F367" s="281">
        <f t="shared" si="27"/>
        <v>239023.60714285713</v>
      </c>
    </row>
    <row r="368" spans="1:6">
      <c r="A368" s="285"/>
      <c r="B368" s="286" t="s">
        <v>397</v>
      </c>
      <c r="C368" s="361"/>
      <c r="D368" s="280"/>
      <c r="E368" s="281"/>
      <c r="F368" s="281">
        <f t="shared" si="27"/>
        <v>0</v>
      </c>
    </row>
    <row r="369" spans="1:6">
      <c r="A369" s="285"/>
      <c r="B369" s="286" t="s">
        <v>398</v>
      </c>
      <c r="C369" s="361"/>
      <c r="D369" s="280"/>
      <c r="E369" s="281"/>
      <c r="F369" s="281">
        <f t="shared" si="27"/>
        <v>0</v>
      </c>
    </row>
    <row r="370" spans="1:6">
      <c r="A370" s="285"/>
      <c r="B370" s="286" t="s">
        <v>399</v>
      </c>
      <c r="C370" s="361"/>
      <c r="D370" s="280"/>
      <c r="E370" s="281"/>
      <c r="F370" s="281">
        <f t="shared" si="27"/>
        <v>0</v>
      </c>
    </row>
    <row r="371" spans="1:6">
      <c r="A371" s="285"/>
      <c r="B371" s="280"/>
      <c r="C371" s="361"/>
      <c r="D371" s="280"/>
      <c r="E371" s="281"/>
      <c r="F371" s="281"/>
    </row>
    <row r="372" spans="1:6">
      <c r="A372" s="282" t="s">
        <v>234</v>
      </c>
      <c r="B372" s="282" t="s">
        <v>235</v>
      </c>
      <c r="C372" s="375"/>
      <c r="D372" s="282" t="s">
        <v>6</v>
      </c>
      <c r="E372" s="283"/>
      <c r="F372" s="284">
        <f>SUM(F373:F381)</f>
        <v>4244321.6785714291</v>
      </c>
    </row>
    <row r="373" spans="1:6">
      <c r="A373" s="285"/>
      <c r="B373" s="280" t="s">
        <v>577</v>
      </c>
      <c r="C373" s="361"/>
      <c r="D373" s="280" t="s">
        <v>6</v>
      </c>
      <c r="E373" s="281"/>
      <c r="F373" s="281">
        <f t="shared" ref="F373:F381" si="28">+C373*E373</f>
        <v>0</v>
      </c>
    </row>
    <row r="374" spans="1:6">
      <c r="A374" s="285"/>
      <c r="B374" s="280" t="s">
        <v>236</v>
      </c>
      <c r="C374" s="356">
        <v>0</v>
      </c>
      <c r="D374" s="280" t="s">
        <v>5</v>
      </c>
      <c r="E374" s="281">
        <f>'BQ MAPLE ROOFTOP'!E374</f>
        <v>30953.571428571428</v>
      </c>
      <c r="F374" s="281">
        <f t="shared" si="28"/>
        <v>0</v>
      </c>
    </row>
    <row r="375" spans="1:6">
      <c r="A375" s="285"/>
      <c r="B375" s="280" t="s">
        <v>237</v>
      </c>
      <c r="C375" s="361">
        <f>C272+C275</f>
        <v>36.729999999999997</v>
      </c>
      <c r="D375" s="280" t="s">
        <v>5</v>
      </c>
      <c r="E375" s="281">
        <f>'BQ MAPLE ROOFTOP'!E375</f>
        <v>41282.142857142855</v>
      </c>
      <c r="F375" s="281">
        <f t="shared" si="28"/>
        <v>1516293.107142857</v>
      </c>
    </row>
    <row r="376" spans="1:6">
      <c r="A376" s="285"/>
      <c r="B376" s="280" t="s">
        <v>238</v>
      </c>
      <c r="C376" s="361">
        <f>7*2</f>
        <v>14</v>
      </c>
      <c r="D376" s="280" t="s">
        <v>8</v>
      </c>
      <c r="E376" s="281">
        <f>'BQ MAPLE ROOFTOP'!E376</f>
        <v>55000</v>
      </c>
      <c r="F376" s="281">
        <f t="shared" si="28"/>
        <v>770000</v>
      </c>
    </row>
    <row r="377" spans="1:6">
      <c r="A377" s="285"/>
      <c r="B377" s="280" t="s">
        <v>578</v>
      </c>
      <c r="C377" s="361">
        <v>18</v>
      </c>
      <c r="D377" s="280" t="s">
        <v>8</v>
      </c>
      <c r="E377" s="281">
        <f>'BQ MAPLE ROOFTOP'!E377</f>
        <v>41282.142857142855</v>
      </c>
      <c r="F377" s="281">
        <f t="shared" si="28"/>
        <v>743078.57142857136</v>
      </c>
    </row>
    <row r="378" spans="1:6">
      <c r="A378" s="285"/>
      <c r="B378" s="280" t="s">
        <v>579</v>
      </c>
      <c r="C378" s="374">
        <v>14</v>
      </c>
      <c r="D378" s="280" t="s">
        <v>8</v>
      </c>
      <c r="E378" s="281">
        <f>'BQ MAPLE ROOFTOP'!E378</f>
        <v>41282.142857142855</v>
      </c>
      <c r="F378" s="281">
        <f t="shared" si="28"/>
        <v>577950</v>
      </c>
    </row>
    <row r="379" spans="1:6">
      <c r="A379" s="285"/>
      <c r="B379" s="286" t="s">
        <v>397</v>
      </c>
      <c r="C379" s="280"/>
      <c r="D379" s="280"/>
      <c r="E379" s="281"/>
      <c r="F379" s="281">
        <f t="shared" si="28"/>
        <v>0</v>
      </c>
    </row>
    <row r="380" spans="1:6">
      <c r="A380" s="285"/>
      <c r="B380" s="367" t="s">
        <v>835</v>
      </c>
      <c r="C380" s="280">
        <f>C170*2</f>
        <v>9.8000000000000007</v>
      </c>
      <c r="D380" s="280" t="s">
        <v>5</v>
      </c>
      <c r="E380" s="360">
        <f>'BQ MAPLE POOL'!E379</f>
        <v>65000</v>
      </c>
      <c r="F380" s="281">
        <f t="shared" si="28"/>
        <v>637000</v>
      </c>
    </row>
    <row r="381" spans="1:6">
      <c r="A381" s="285"/>
      <c r="B381" s="286" t="s">
        <v>399</v>
      </c>
      <c r="C381" s="280"/>
      <c r="D381" s="280"/>
      <c r="E381" s="281"/>
      <c r="F381" s="281">
        <f t="shared" si="28"/>
        <v>0</v>
      </c>
    </row>
    <row r="382" spans="1:6">
      <c r="A382" s="285"/>
      <c r="B382" s="280"/>
      <c r="C382" s="280"/>
      <c r="D382" s="280"/>
      <c r="E382" s="281"/>
      <c r="F382" s="281"/>
    </row>
    <row r="383" spans="1:6" ht="27.6">
      <c r="A383" s="282" t="s">
        <v>29</v>
      </c>
      <c r="B383" s="282" t="s">
        <v>30</v>
      </c>
      <c r="C383" s="282"/>
      <c r="D383" s="282" t="s">
        <v>7</v>
      </c>
      <c r="E383" s="283"/>
      <c r="F383" s="284">
        <f>SUM(F384:F416)</f>
        <v>48170350</v>
      </c>
    </row>
    <row r="384" spans="1:6">
      <c r="A384" s="285"/>
      <c r="B384" s="280" t="s">
        <v>580</v>
      </c>
      <c r="C384" s="280"/>
      <c r="D384" s="280" t="s">
        <v>7</v>
      </c>
      <c r="E384" s="281"/>
      <c r="F384" s="281">
        <f t="shared" ref="F384:F392" si="29">+C384*E384</f>
        <v>0</v>
      </c>
    </row>
    <row r="385" spans="1:6">
      <c r="A385" s="285"/>
      <c r="B385" s="280" t="s">
        <v>239</v>
      </c>
      <c r="C385" s="280"/>
      <c r="D385" s="285"/>
      <c r="E385" s="281"/>
      <c r="F385" s="281">
        <f t="shared" si="29"/>
        <v>0</v>
      </c>
    </row>
    <row r="386" spans="1:6">
      <c r="A386" s="285"/>
      <c r="B386" s="280" t="s">
        <v>581</v>
      </c>
      <c r="C386" s="280">
        <f>1+1</f>
        <v>2</v>
      </c>
      <c r="D386" s="280" t="s">
        <v>7</v>
      </c>
      <c r="E386" s="281">
        <f>'BQ MAPLE ROOFTOP'!E386</f>
        <v>1244000</v>
      </c>
      <c r="F386" s="281">
        <f t="shared" si="29"/>
        <v>2488000</v>
      </c>
    </row>
    <row r="387" spans="1:6">
      <c r="A387" s="285"/>
      <c r="B387" s="280" t="s">
        <v>582</v>
      </c>
      <c r="C387" s="280">
        <f>1+1</f>
        <v>2</v>
      </c>
      <c r="D387" s="280" t="s">
        <v>7</v>
      </c>
      <c r="E387" s="281">
        <f>'BQ MAPLE ROOFTOP'!E387</f>
        <v>2317000</v>
      </c>
      <c r="F387" s="281">
        <f t="shared" si="29"/>
        <v>4634000</v>
      </c>
    </row>
    <row r="388" spans="1:6">
      <c r="A388" s="285"/>
      <c r="B388" s="280" t="s">
        <v>240</v>
      </c>
      <c r="C388" s="280">
        <v>1</v>
      </c>
      <c r="D388" s="280" t="s">
        <v>7</v>
      </c>
      <c r="E388" s="281">
        <f>'BQ MAPLE ROOFTOP'!E388</f>
        <v>1619600.0000000002</v>
      </c>
      <c r="F388" s="281">
        <f t="shared" si="29"/>
        <v>1619600.0000000002</v>
      </c>
    </row>
    <row r="389" spans="1:6">
      <c r="A389" s="285"/>
      <c r="B389" s="280" t="s">
        <v>241</v>
      </c>
      <c r="C389" s="280">
        <f>1+1</f>
        <v>2</v>
      </c>
      <c r="D389" s="280" t="s">
        <v>7</v>
      </c>
      <c r="E389" s="281">
        <f>'BQ MAPLE ROOFTOP'!E389</f>
        <v>513400.00000000006</v>
      </c>
      <c r="F389" s="281">
        <f t="shared" si="29"/>
        <v>1026800.0000000001</v>
      </c>
    </row>
    <row r="390" spans="1:6">
      <c r="A390" s="285"/>
      <c r="B390" s="280" t="s">
        <v>242</v>
      </c>
      <c r="C390" s="280">
        <f>1+1</f>
        <v>2</v>
      </c>
      <c r="D390" s="280" t="s">
        <v>7</v>
      </c>
      <c r="E390" s="281">
        <f>'BQ MAPLE ROOFTOP'!E390</f>
        <v>205950.00000000003</v>
      </c>
      <c r="F390" s="281">
        <f t="shared" si="29"/>
        <v>411900.00000000006</v>
      </c>
    </row>
    <row r="391" spans="1:6">
      <c r="A391" s="285"/>
      <c r="B391" s="280" t="s">
        <v>583</v>
      </c>
      <c r="C391" s="280">
        <v>4</v>
      </c>
      <c r="D391" s="280" t="s">
        <v>7</v>
      </c>
      <c r="E391" s="281">
        <f>'BQ MAPLE ROOFTOP'!E391</f>
        <v>297950</v>
      </c>
      <c r="F391" s="281">
        <f t="shared" si="29"/>
        <v>1191800</v>
      </c>
    </row>
    <row r="392" spans="1:6">
      <c r="A392" s="285"/>
      <c r="B392" s="280" t="s">
        <v>243</v>
      </c>
      <c r="C392" s="280">
        <f>1+1</f>
        <v>2</v>
      </c>
      <c r="D392" s="280" t="s">
        <v>7</v>
      </c>
      <c r="E392" s="281">
        <f>'BQ MAPLE ROOFTOP'!E392</f>
        <v>250000</v>
      </c>
      <c r="F392" s="281">
        <f t="shared" si="29"/>
        <v>500000</v>
      </c>
    </row>
    <row r="393" spans="1:6" ht="27.6">
      <c r="A393" s="285"/>
      <c r="B393" s="280" t="s">
        <v>584</v>
      </c>
      <c r="C393" s="280">
        <v>1</v>
      </c>
      <c r="D393" s="280" t="s">
        <v>7</v>
      </c>
      <c r="E393" s="281">
        <f>'BQ MAPLE ROOFTOP'!E393</f>
        <v>1569600</v>
      </c>
      <c r="F393" s="281">
        <f>+C393*E393</f>
        <v>1569600</v>
      </c>
    </row>
    <row r="394" spans="1:6" ht="27.6">
      <c r="A394" s="285"/>
      <c r="B394" s="280" t="s">
        <v>585</v>
      </c>
      <c r="C394" s="280">
        <v>1</v>
      </c>
      <c r="D394" s="280" t="s">
        <v>7</v>
      </c>
      <c r="E394" s="281">
        <f>'BQ MAPLE ROOFTOP'!E394</f>
        <v>5598400</v>
      </c>
      <c r="F394" s="281">
        <f>+C394*E394</f>
        <v>5598400</v>
      </c>
    </row>
    <row r="395" spans="1:6">
      <c r="A395" s="285"/>
      <c r="B395" s="285"/>
      <c r="C395" s="280"/>
      <c r="D395" s="285"/>
      <c r="E395" s="281"/>
      <c r="F395" s="281"/>
    </row>
    <row r="396" spans="1:6">
      <c r="A396" s="285"/>
      <c r="B396" s="280" t="s">
        <v>586</v>
      </c>
      <c r="C396" s="280"/>
      <c r="D396" s="285"/>
      <c r="E396" s="281"/>
      <c r="F396" s="281"/>
    </row>
    <row r="397" spans="1:6">
      <c r="A397" s="285"/>
      <c r="B397" s="280" t="s">
        <v>305</v>
      </c>
      <c r="C397" s="280">
        <v>1</v>
      </c>
      <c r="D397" s="280" t="s">
        <v>7</v>
      </c>
      <c r="E397" s="281">
        <f>'BQ MAPLE ROOFTOP'!E397</f>
        <v>4247000</v>
      </c>
      <c r="F397" s="281">
        <f>+C397*E397</f>
        <v>4247000</v>
      </c>
    </row>
    <row r="398" spans="1:6">
      <c r="A398" s="285"/>
      <c r="B398" s="280" t="s">
        <v>244</v>
      </c>
      <c r="C398" s="280">
        <v>1</v>
      </c>
      <c r="D398" s="280" t="s">
        <v>7</v>
      </c>
      <c r="E398" s="281">
        <f>'BQ MAPLE ROOFTOP'!E398</f>
        <v>205950.00000000003</v>
      </c>
      <c r="F398" s="281">
        <f t="shared" ref="F398:F413" si="30">+C398*E398</f>
        <v>205950.00000000003</v>
      </c>
    </row>
    <row r="399" spans="1:6">
      <c r="A399" s="285"/>
      <c r="B399" s="280" t="s">
        <v>587</v>
      </c>
      <c r="C399" s="280">
        <v>1</v>
      </c>
      <c r="D399" s="280" t="s">
        <v>7</v>
      </c>
      <c r="E399" s="281">
        <f>'BQ MAPLE ROOFTOP'!E399</f>
        <v>5925000.0000000009</v>
      </c>
      <c r="F399" s="281">
        <f t="shared" si="30"/>
        <v>5925000.0000000009</v>
      </c>
    </row>
    <row r="400" spans="1:6">
      <c r="A400" s="285"/>
      <c r="B400" s="280" t="s">
        <v>306</v>
      </c>
      <c r="C400" s="280">
        <v>1</v>
      </c>
      <c r="D400" s="280" t="s">
        <v>7</v>
      </c>
      <c r="E400" s="281">
        <f>'BQ MAPLE ROOFTOP'!E400</f>
        <v>1608600.0000000002</v>
      </c>
      <c r="F400" s="281">
        <f t="shared" si="30"/>
        <v>1608600.0000000002</v>
      </c>
    </row>
    <row r="401" spans="1:6">
      <c r="A401" s="285"/>
      <c r="B401" s="280" t="s">
        <v>588</v>
      </c>
      <c r="C401" s="280">
        <v>1</v>
      </c>
      <c r="D401" s="280" t="s">
        <v>7</v>
      </c>
      <c r="E401" s="281">
        <f>'BQ MAPLE ROOFTOP'!E401</f>
        <v>1262500</v>
      </c>
      <c r="F401" s="281">
        <f t="shared" si="30"/>
        <v>1262500</v>
      </c>
    </row>
    <row r="402" spans="1:6">
      <c r="A402" s="285"/>
      <c r="B402" s="280" t="s">
        <v>583</v>
      </c>
      <c r="C402" s="280">
        <v>2</v>
      </c>
      <c r="D402" s="280" t="s">
        <v>7</v>
      </c>
      <c r="E402" s="281">
        <f>'BQ MAPLE ROOFTOP'!E402</f>
        <v>297950</v>
      </c>
      <c r="F402" s="281">
        <f t="shared" si="30"/>
        <v>595900</v>
      </c>
    </row>
    <row r="403" spans="1:6">
      <c r="A403" s="285"/>
      <c r="B403" s="280" t="s">
        <v>243</v>
      </c>
      <c r="C403" s="280">
        <v>1</v>
      </c>
      <c r="D403" s="280" t="s">
        <v>7</v>
      </c>
      <c r="E403" s="281">
        <f>'BQ MAPLE ROOFTOP'!E403</f>
        <v>250000</v>
      </c>
      <c r="F403" s="281">
        <f t="shared" si="30"/>
        <v>250000</v>
      </c>
    </row>
    <row r="404" spans="1:6">
      <c r="A404" s="285"/>
      <c r="B404" s="280" t="s">
        <v>589</v>
      </c>
      <c r="C404" s="280">
        <v>1</v>
      </c>
      <c r="D404" s="280" t="s">
        <v>7</v>
      </c>
      <c r="E404" s="281">
        <f>'BQ MAPLE ROOFTOP'!E404</f>
        <v>6007600</v>
      </c>
      <c r="F404" s="281">
        <f t="shared" si="30"/>
        <v>6007600</v>
      </c>
    </row>
    <row r="405" spans="1:6">
      <c r="A405" s="285"/>
      <c r="B405" s="280" t="s">
        <v>590</v>
      </c>
      <c r="C405" s="280">
        <v>1</v>
      </c>
      <c r="D405" s="280" t="s">
        <v>7</v>
      </c>
      <c r="E405" s="281">
        <f>'BQ MAPLE ROOFTOP'!E405</f>
        <v>3302500.0000000005</v>
      </c>
      <c r="F405" s="281">
        <f t="shared" si="30"/>
        <v>3302500.0000000005</v>
      </c>
    </row>
    <row r="406" spans="1:6">
      <c r="A406" s="285"/>
      <c r="B406" s="280" t="s">
        <v>591</v>
      </c>
      <c r="C406" s="280">
        <v>1</v>
      </c>
      <c r="D406" s="280" t="s">
        <v>7</v>
      </c>
      <c r="E406" s="281">
        <f>'BQ MAPLE ROOFTOP'!E406</f>
        <v>1482500.0000000002</v>
      </c>
      <c r="F406" s="281">
        <f t="shared" si="30"/>
        <v>1482500.0000000002</v>
      </c>
    </row>
    <row r="407" spans="1:6" ht="27.6">
      <c r="A407" s="285"/>
      <c r="B407" s="280" t="s">
        <v>592</v>
      </c>
      <c r="C407" s="280">
        <v>1</v>
      </c>
      <c r="D407" s="280" t="s">
        <v>6</v>
      </c>
      <c r="E407" s="281">
        <f>'BQ MAPLE ROOFTOP'!E407</f>
        <v>1200000</v>
      </c>
      <c r="F407" s="281">
        <f t="shared" si="30"/>
        <v>1200000</v>
      </c>
    </row>
    <row r="408" spans="1:6">
      <c r="A408" s="285"/>
      <c r="B408" s="285"/>
      <c r="C408" s="280"/>
      <c r="D408" s="285"/>
      <c r="E408" s="281"/>
      <c r="F408" s="281">
        <f t="shared" si="30"/>
        <v>0</v>
      </c>
    </row>
    <row r="409" spans="1:6">
      <c r="A409" s="285"/>
      <c r="B409" s="280" t="s">
        <v>245</v>
      </c>
      <c r="C409" s="280"/>
      <c r="D409" s="285"/>
      <c r="E409" s="281"/>
      <c r="F409" s="281">
        <f t="shared" si="30"/>
        <v>0</v>
      </c>
    </row>
    <row r="410" spans="1:6">
      <c r="A410" s="285"/>
      <c r="B410" s="280" t="s">
        <v>593</v>
      </c>
      <c r="C410" s="280">
        <v>1</v>
      </c>
      <c r="D410" s="280" t="s">
        <v>7</v>
      </c>
      <c r="E410" s="281">
        <f>'BQ MAPLE ROOFTOP'!E410</f>
        <v>550400</v>
      </c>
      <c r="F410" s="281">
        <f t="shared" si="30"/>
        <v>550400</v>
      </c>
    </row>
    <row r="411" spans="1:6">
      <c r="A411" s="285"/>
      <c r="B411" s="280" t="s">
        <v>246</v>
      </c>
      <c r="C411" s="280">
        <v>1</v>
      </c>
      <c r="D411" s="280" t="s">
        <v>7</v>
      </c>
      <c r="E411" s="281">
        <f>'BQ MAPLE ROOFTOP'!E411</f>
        <v>246000</v>
      </c>
      <c r="F411" s="281">
        <f t="shared" si="30"/>
        <v>246000</v>
      </c>
    </row>
    <row r="412" spans="1:6">
      <c r="A412" s="285"/>
      <c r="B412" s="280" t="s">
        <v>247</v>
      </c>
      <c r="C412" s="280">
        <v>1</v>
      </c>
      <c r="D412" s="280" t="s">
        <v>7</v>
      </c>
      <c r="E412" s="281">
        <f>'BQ MAPLE ROOFTOP'!E412</f>
        <v>327200</v>
      </c>
      <c r="F412" s="281">
        <f t="shared" si="30"/>
        <v>327200</v>
      </c>
    </row>
    <row r="413" spans="1:6">
      <c r="A413" s="285"/>
      <c r="B413" s="280" t="s">
        <v>248</v>
      </c>
      <c r="C413" s="280">
        <v>1</v>
      </c>
      <c r="D413" s="280" t="s">
        <v>7</v>
      </c>
      <c r="E413" s="281">
        <f>'BQ MAPLE ROOFTOP'!E413</f>
        <v>250000</v>
      </c>
      <c r="F413" s="281">
        <f t="shared" si="30"/>
        <v>250000</v>
      </c>
    </row>
    <row r="414" spans="1:6">
      <c r="A414" s="285"/>
      <c r="B414" s="286" t="s">
        <v>397</v>
      </c>
      <c r="C414" s="280"/>
      <c r="D414" s="280"/>
      <c r="E414" s="281"/>
      <c r="F414" s="281">
        <f t="shared" ref="F414:F416" si="31">+C414*E414</f>
        <v>0</v>
      </c>
    </row>
    <row r="415" spans="1:6">
      <c r="A415" s="285"/>
      <c r="B415" s="286" t="s">
        <v>789</v>
      </c>
      <c r="C415" s="280">
        <v>1</v>
      </c>
      <c r="D415" s="280" t="s">
        <v>7</v>
      </c>
      <c r="E415" s="281">
        <f>'BQ MAPLE ROOFTOP'!E415</f>
        <v>1669100.0000000002</v>
      </c>
      <c r="F415" s="281">
        <f t="shared" si="31"/>
        <v>1669100.0000000002</v>
      </c>
    </row>
    <row r="416" spans="1:6">
      <c r="A416" s="285"/>
      <c r="B416" s="286" t="s">
        <v>399</v>
      </c>
      <c r="C416" s="280"/>
      <c r="D416" s="280"/>
      <c r="E416" s="281"/>
      <c r="F416" s="281">
        <f t="shared" si="31"/>
        <v>0</v>
      </c>
    </row>
    <row r="417" spans="1:6">
      <c r="A417" s="285"/>
      <c r="B417" s="280"/>
      <c r="C417" s="280"/>
      <c r="D417" s="280"/>
      <c r="E417" s="281"/>
      <c r="F417" s="281"/>
    </row>
    <row r="418" spans="1:6">
      <c r="A418" s="282" t="s">
        <v>594</v>
      </c>
      <c r="B418" s="282" t="s">
        <v>595</v>
      </c>
      <c r="C418" s="282"/>
      <c r="D418" s="282" t="s">
        <v>7</v>
      </c>
      <c r="E418" s="283"/>
      <c r="F418" s="284">
        <f>SUM(F419:F427)</f>
        <v>1965600</v>
      </c>
    </row>
    <row r="419" spans="1:6">
      <c r="A419" s="285"/>
      <c r="B419" s="280" t="s">
        <v>249</v>
      </c>
      <c r="C419" s="280"/>
      <c r="D419" s="280" t="s">
        <v>7</v>
      </c>
      <c r="E419" s="281"/>
      <c r="F419" s="281">
        <f t="shared" ref="F419:F427" si="32">+C419*E419</f>
        <v>0</v>
      </c>
    </row>
    <row r="420" spans="1:6">
      <c r="A420" s="285"/>
      <c r="B420" s="280" t="s">
        <v>250</v>
      </c>
      <c r="C420" s="280"/>
      <c r="D420" s="285"/>
      <c r="E420" s="281"/>
      <c r="F420" s="281">
        <f t="shared" si="32"/>
        <v>0</v>
      </c>
    </row>
    <row r="421" spans="1:6">
      <c r="A421" s="285"/>
      <c r="B421" s="280" t="s">
        <v>251</v>
      </c>
      <c r="C421" s="280">
        <v>4</v>
      </c>
      <c r="D421" s="280" t="s">
        <v>7</v>
      </c>
      <c r="E421" s="281">
        <f>'BQ MAPLE ROOFTOP'!E421</f>
        <v>246000</v>
      </c>
      <c r="F421" s="281">
        <f t="shared" si="32"/>
        <v>984000</v>
      </c>
    </row>
    <row r="422" spans="1:6">
      <c r="A422" s="285"/>
      <c r="B422" s="285"/>
      <c r="C422" s="280"/>
      <c r="D422" s="285"/>
      <c r="E422" s="281"/>
      <c r="F422" s="281">
        <f t="shared" si="32"/>
        <v>0</v>
      </c>
    </row>
    <row r="423" spans="1:6">
      <c r="A423" s="285"/>
      <c r="B423" s="280" t="s">
        <v>596</v>
      </c>
      <c r="C423" s="280"/>
      <c r="D423" s="285"/>
      <c r="E423" s="281"/>
      <c r="F423" s="281">
        <f t="shared" si="32"/>
        <v>0</v>
      </c>
    </row>
    <row r="424" spans="1:6">
      <c r="A424" s="285"/>
      <c r="B424" s="280" t="s">
        <v>597</v>
      </c>
      <c r="C424" s="280">
        <v>3</v>
      </c>
      <c r="D424" s="280" t="s">
        <v>7</v>
      </c>
      <c r="E424" s="281">
        <f>'BQ MAPLE ROOFTOP'!E424</f>
        <v>327200</v>
      </c>
      <c r="F424" s="281">
        <f t="shared" si="32"/>
        <v>981600</v>
      </c>
    </row>
    <row r="425" spans="1:6">
      <c r="A425" s="285"/>
      <c r="B425" s="286" t="s">
        <v>397</v>
      </c>
      <c r="C425" s="280"/>
      <c r="D425" s="280"/>
      <c r="E425" s="281"/>
      <c r="F425" s="281">
        <f t="shared" si="32"/>
        <v>0</v>
      </c>
    </row>
    <row r="426" spans="1:6">
      <c r="A426" s="285"/>
      <c r="B426" s="286" t="s">
        <v>398</v>
      </c>
      <c r="C426" s="280"/>
      <c r="D426" s="280"/>
      <c r="E426" s="281"/>
      <c r="F426" s="281">
        <f t="shared" si="32"/>
        <v>0</v>
      </c>
    </row>
    <row r="427" spans="1:6">
      <c r="A427" s="285"/>
      <c r="B427" s="286" t="s">
        <v>399</v>
      </c>
      <c r="C427" s="280"/>
      <c r="D427" s="280"/>
      <c r="E427" s="281"/>
      <c r="F427" s="281">
        <f t="shared" si="32"/>
        <v>0</v>
      </c>
    </row>
    <row r="428" spans="1:6">
      <c r="A428" s="285"/>
      <c r="B428" s="280"/>
      <c r="C428" s="280"/>
      <c r="D428" s="280"/>
      <c r="E428" s="281"/>
      <c r="F428" s="281"/>
    </row>
    <row r="429" spans="1:6" ht="27.6">
      <c r="A429" s="282" t="s">
        <v>31</v>
      </c>
      <c r="B429" s="282" t="s">
        <v>32</v>
      </c>
      <c r="C429" s="282"/>
      <c r="D429" s="282" t="s">
        <v>7</v>
      </c>
      <c r="E429" s="283"/>
      <c r="F429" s="284">
        <f>SUM(F430:F437)</f>
        <v>2684201.3513513515</v>
      </c>
    </row>
    <row r="430" spans="1:6">
      <c r="A430" s="285"/>
      <c r="B430" s="280" t="s">
        <v>32</v>
      </c>
      <c r="C430" s="280"/>
      <c r="D430" s="280" t="s">
        <v>7</v>
      </c>
      <c r="E430" s="281"/>
      <c r="F430" s="281">
        <f t="shared" ref="F430:F437" si="33">+C430*E430</f>
        <v>0</v>
      </c>
    </row>
    <row r="431" spans="1:6">
      <c r="A431" s="285"/>
      <c r="B431" s="280" t="s">
        <v>252</v>
      </c>
      <c r="C431" s="280"/>
      <c r="D431" s="285"/>
      <c r="E431" s="281"/>
      <c r="F431" s="281">
        <f t="shared" si="33"/>
        <v>0</v>
      </c>
    </row>
    <row r="432" spans="1:6">
      <c r="A432" s="285"/>
      <c r="B432" s="280" t="s">
        <v>598</v>
      </c>
      <c r="C432" s="280">
        <v>1</v>
      </c>
      <c r="D432" s="280" t="s">
        <v>7</v>
      </c>
      <c r="E432" s="281">
        <f>'BQ MAPLE ROOFTOP'!E432</f>
        <v>1501351.3513513512</v>
      </c>
      <c r="F432" s="281">
        <f t="shared" si="33"/>
        <v>1501351.3513513512</v>
      </c>
    </row>
    <row r="433" spans="1:6">
      <c r="A433" s="285"/>
      <c r="B433" s="280" t="s">
        <v>599</v>
      </c>
      <c r="C433" s="280">
        <v>1</v>
      </c>
      <c r="D433" s="280" t="s">
        <v>204</v>
      </c>
      <c r="E433" s="281">
        <f>'BQ MAPLE ROOFTOP'!E433</f>
        <v>457850.00000000006</v>
      </c>
      <c r="F433" s="281">
        <f t="shared" si="33"/>
        <v>457850.00000000006</v>
      </c>
    </row>
    <row r="434" spans="1:6">
      <c r="A434" s="285"/>
      <c r="B434" s="280" t="s">
        <v>253</v>
      </c>
      <c r="C434" s="280">
        <v>1</v>
      </c>
      <c r="D434" s="280" t="s">
        <v>204</v>
      </c>
      <c r="E434" s="281">
        <f>'BQ MAPLE ROOFTOP'!E434</f>
        <v>725000</v>
      </c>
      <c r="F434" s="281">
        <f t="shared" si="33"/>
        <v>725000</v>
      </c>
    </row>
    <row r="435" spans="1:6">
      <c r="A435" s="285"/>
      <c r="B435" s="286" t="s">
        <v>397</v>
      </c>
      <c r="C435" s="280"/>
      <c r="D435" s="280"/>
      <c r="E435" s="281"/>
      <c r="F435" s="281">
        <f t="shared" si="33"/>
        <v>0</v>
      </c>
    </row>
    <row r="436" spans="1:6">
      <c r="A436" s="285"/>
      <c r="B436" s="286" t="s">
        <v>398</v>
      </c>
      <c r="C436" s="280"/>
      <c r="D436" s="280"/>
      <c r="E436" s="281"/>
      <c r="F436" s="281">
        <f t="shared" si="33"/>
        <v>0</v>
      </c>
    </row>
    <row r="437" spans="1:6">
      <c r="A437" s="285"/>
      <c r="B437" s="286" t="s">
        <v>399</v>
      </c>
      <c r="C437" s="280"/>
      <c r="D437" s="280"/>
      <c r="E437" s="281"/>
      <c r="F437" s="281">
        <f t="shared" si="33"/>
        <v>0</v>
      </c>
    </row>
    <row r="438" spans="1:6">
      <c r="A438" s="285"/>
      <c r="B438" s="280"/>
      <c r="C438" s="280"/>
      <c r="D438" s="280"/>
      <c r="E438" s="281"/>
      <c r="F438" s="281"/>
    </row>
    <row r="439" spans="1:6">
      <c r="A439" s="282" t="s">
        <v>33</v>
      </c>
      <c r="B439" s="282" t="s">
        <v>34</v>
      </c>
      <c r="C439" s="282"/>
      <c r="D439" s="282" t="s">
        <v>8</v>
      </c>
      <c r="E439" s="283"/>
      <c r="F439" s="284">
        <f>SUM(F440:F447)</f>
        <v>13565000</v>
      </c>
    </row>
    <row r="440" spans="1:6">
      <c r="A440" s="285"/>
      <c r="B440" s="280" t="s">
        <v>254</v>
      </c>
      <c r="C440" s="280"/>
      <c r="D440" s="280" t="s">
        <v>8</v>
      </c>
      <c r="E440" s="281"/>
      <c r="F440" s="281">
        <f t="shared" ref="F440:F447" si="34">+C440*E440</f>
        <v>0</v>
      </c>
    </row>
    <row r="441" spans="1:6">
      <c r="A441" s="285"/>
      <c r="B441" s="280" t="s">
        <v>255</v>
      </c>
      <c r="C441" s="280">
        <v>62</v>
      </c>
      <c r="D441" s="280" t="s">
        <v>8</v>
      </c>
      <c r="E441" s="281">
        <f>'BQ MAPLE ROOFTOP'!E441</f>
        <v>45000</v>
      </c>
      <c r="F441" s="281">
        <f t="shared" si="34"/>
        <v>2790000</v>
      </c>
    </row>
    <row r="442" spans="1:6">
      <c r="A442" s="285"/>
      <c r="B442" s="280" t="s">
        <v>256</v>
      </c>
      <c r="C442" s="280">
        <v>167</v>
      </c>
      <c r="D442" s="280" t="s">
        <v>8</v>
      </c>
      <c r="E442" s="281">
        <f>'BQ MAPLE ROOFTOP'!E442</f>
        <v>40000</v>
      </c>
      <c r="F442" s="281">
        <f t="shared" si="34"/>
        <v>6680000</v>
      </c>
    </row>
    <row r="443" spans="1:6">
      <c r="A443" s="285"/>
      <c r="B443" s="280" t="s">
        <v>600</v>
      </c>
      <c r="C443" s="356">
        <v>0</v>
      </c>
      <c r="D443" s="280" t="s">
        <v>8</v>
      </c>
      <c r="E443" s="281">
        <f>'BQ MAPLE ROOFTOP'!E443</f>
        <v>60000</v>
      </c>
      <c r="F443" s="281">
        <f t="shared" si="34"/>
        <v>0</v>
      </c>
    </row>
    <row r="444" spans="1:6">
      <c r="A444" s="285"/>
      <c r="B444" s="280" t="s">
        <v>601</v>
      </c>
      <c r="C444" s="280">
        <v>57</v>
      </c>
      <c r="D444" s="280" t="s">
        <v>8</v>
      </c>
      <c r="E444" s="281">
        <f>'BQ MAPLE ROOFTOP'!E444</f>
        <v>55000</v>
      </c>
      <c r="F444" s="281">
        <f t="shared" si="34"/>
        <v>3135000</v>
      </c>
    </row>
    <row r="445" spans="1:6">
      <c r="A445" s="285"/>
      <c r="B445" s="286" t="s">
        <v>397</v>
      </c>
      <c r="C445" s="280"/>
      <c r="D445" s="280"/>
      <c r="E445" s="281"/>
      <c r="F445" s="281">
        <f t="shared" si="34"/>
        <v>0</v>
      </c>
    </row>
    <row r="446" spans="1:6">
      <c r="A446" s="285"/>
      <c r="B446" s="367" t="s">
        <v>803</v>
      </c>
      <c r="C446" s="280">
        <v>24</v>
      </c>
      <c r="D446" s="280" t="s">
        <v>49</v>
      </c>
      <c r="E446" s="281">
        <f>'BQ MAPLE ROOFTOP'!E446</f>
        <v>40000</v>
      </c>
      <c r="F446" s="281">
        <f t="shared" si="34"/>
        <v>960000</v>
      </c>
    </row>
    <row r="447" spans="1:6">
      <c r="A447" s="285"/>
      <c r="B447" s="286" t="s">
        <v>399</v>
      </c>
      <c r="C447" s="280"/>
      <c r="D447" s="280"/>
      <c r="E447" s="281"/>
      <c r="F447" s="281">
        <f t="shared" si="34"/>
        <v>0</v>
      </c>
    </row>
    <row r="448" spans="1:6">
      <c r="A448" s="285"/>
      <c r="B448" s="280"/>
      <c r="C448" s="280"/>
      <c r="D448" s="280"/>
      <c r="E448" s="281"/>
      <c r="F448" s="281"/>
    </row>
    <row r="449" spans="1:6">
      <c r="A449" s="282" t="s">
        <v>35</v>
      </c>
      <c r="B449" s="282" t="s">
        <v>36</v>
      </c>
      <c r="C449" s="282"/>
      <c r="D449" s="282" t="s">
        <v>8</v>
      </c>
      <c r="E449" s="283"/>
      <c r="F449" s="284">
        <f>SUM(F450:F462)</f>
        <v>22777997.837837838</v>
      </c>
    </row>
    <row r="450" spans="1:6">
      <c r="A450" s="285"/>
      <c r="B450" s="280" t="s">
        <v>257</v>
      </c>
      <c r="C450" s="280"/>
      <c r="D450" s="280" t="s">
        <v>8</v>
      </c>
      <c r="E450" s="281"/>
      <c r="F450" s="281">
        <f t="shared" ref="F450:F462" si="35">+C450*E450</f>
        <v>0</v>
      </c>
    </row>
    <row r="451" spans="1:6">
      <c r="A451" s="285"/>
      <c r="B451" s="280" t="s">
        <v>258</v>
      </c>
      <c r="C451" s="280">
        <v>8</v>
      </c>
      <c r="D451" s="280" t="s">
        <v>8</v>
      </c>
      <c r="E451" s="281">
        <f>'BQ MAPLE ROOFTOP'!E451</f>
        <v>33145</v>
      </c>
      <c r="F451" s="281">
        <f t="shared" si="35"/>
        <v>265160</v>
      </c>
    </row>
    <row r="452" spans="1:6">
      <c r="A452" s="285"/>
      <c r="B452" s="280" t="s">
        <v>259</v>
      </c>
      <c r="C452" s="356">
        <v>0</v>
      </c>
      <c r="D452" s="280" t="s">
        <v>8</v>
      </c>
      <c r="E452" s="281">
        <f>'BQ MAPLE ROOFTOP'!E452</f>
        <v>45500</v>
      </c>
      <c r="F452" s="281">
        <f t="shared" si="35"/>
        <v>0</v>
      </c>
    </row>
    <row r="453" spans="1:6">
      <c r="A453" s="285"/>
      <c r="B453" s="280" t="s">
        <v>260</v>
      </c>
      <c r="C453" s="280">
        <v>100</v>
      </c>
      <c r="D453" s="280" t="s">
        <v>8</v>
      </c>
      <c r="E453" s="281">
        <f>'BQ MAPLE ROOFTOP'!E453</f>
        <v>52540.54054054054</v>
      </c>
      <c r="F453" s="281">
        <f t="shared" si="35"/>
        <v>5254054.0540540544</v>
      </c>
    </row>
    <row r="454" spans="1:6">
      <c r="A454" s="285"/>
      <c r="B454" s="280" t="s">
        <v>261</v>
      </c>
      <c r="C454" s="396">
        <v>58</v>
      </c>
      <c r="D454" s="280" t="s">
        <v>8</v>
      </c>
      <c r="E454" s="281">
        <f>'BQ MAPLE ROOFTOP'!E454</f>
        <v>64752.252252252249</v>
      </c>
      <c r="F454" s="281">
        <f t="shared" si="35"/>
        <v>3755630.6306306305</v>
      </c>
    </row>
    <row r="455" spans="1:6">
      <c r="A455" s="285"/>
      <c r="B455" s="280" t="s">
        <v>262</v>
      </c>
      <c r="C455" s="280">
        <f>102*0+92</f>
        <v>92</v>
      </c>
      <c r="D455" s="280" t="s">
        <v>8</v>
      </c>
      <c r="E455" s="281">
        <f>'BQ MAPLE ROOFTOP'!E455</f>
        <v>82860.360360360355</v>
      </c>
      <c r="F455" s="281">
        <f t="shared" si="35"/>
        <v>7623153.1531531531</v>
      </c>
    </row>
    <row r="456" spans="1:6">
      <c r="A456" s="285"/>
      <c r="B456" s="280" t="s">
        <v>263</v>
      </c>
      <c r="C456" s="280">
        <v>1</v>
      </c>
      <c r="D456" s="280" t="s">
        <v>7</v>
      </c>
      <c r="E456" s="281">
        <f>'BQ MAPLE ROOFTOP'!E456</f>
        <v>2420000</v>
      </c>
      <c r="F456" s="281">
        <f t="shared" si="35"/>
        <v>2420000</v>
      </c>
    </row>
    <row r="457" spans="1:6">
      <c r="A457" s="285"/>
      <c r="B457" s="280" t="s">
        <v>264</v>
      </c>
      <c r="C457" s="280">
        <v>2</v>
      </c>
      <c r="D457" s="280" t="s">
        <v>204</v>
      </c>
      <c r="E457" s="281">
        <f>'BQ MAPLE ROOFTOP'!E457</f>
        <v>300000</v>
      </c>
      <c r="F457" s="281">
        <f t="shared" si="35"/>
        <v>600000</v>
      </c>
    </row>
    <row r="458" spans="1:6">
      <c r="A458" s="285"/>
      <c r="B458" s="280" t="s">
        <v>265</v>
      </c>
      <c r="C458" s="280">
        <v>2</v>
      </c>
      <c r="D458" s="280" t="s">
        <v>204</v>
      </c>
      <c r="E458" s="281">
        <f>'BQ MAPLE ROOFTOP'!E458</f>
        <v>242499.99999999997</v>
      </c>
      <c r="F458" s="281">
        <f t="shared" si="35"/>
        <v>484999.99999999994</v>
      </c>
    </row>
    <row r="459" spans="1:6">
      <c r="A459" s="285"/>
      <c r="B459" s="280" t="s">
        <v>266</v>
      </c>
      <c r="C459" s="280">
        <v>25</v>
      </c>
      <c r="D459" s="280" t="s">
        <v>7</v>
      </c>
      <c r="E459" s="281">
        <f>'BQ MAPLE ROOFTOP'!E459</f>
        <v>95000</v>
      </c>
      <c r="F459" s="281">
        <f t="shared" si="35"/>
        <v>2375000</v>
      </c>
    </row>
    <row r="460" spans="1:6">
      <c r="A460" s="285"/>
      <c r="B460" s="286" t="s">
        <v>397</v>
      </c>
      <c r="C460" s="280"/>
      <c r="D460" s="280"/>
      <c r="E460" s="281"/>
      <c r="F460" s="281">
        <f t="shared" si="35"/>
        <v>0</v>
      </c>
    </row>
    <row r="461" spans="1:6">
      <c r="A461" s="285"/>
      <c r="B461" s="286" t="s">
        <v>398</v>
      </c>
      <c r="C461" s="280"/>
      <c r="D461" s="280"/>
      <c r="E461" s="281"/>
      <c r="F461" s="281">
        <f t="shared" si="35"/>
        <v>0</v>
      </c>
    </row>
    <row r="462" spans="1:6">
      <c r="A462" s="285"/>
      <c r="B462" s="286" t="s">
        <v>399</v>
      </c>
      <c r="C462" s="280"/>
      <c r="D462" s="280"/>
      <c r="E462" s="281"/>
      <c r="F462" s="281">
        <f t="shared" si="35"/>
        <v>0</v>
      </c>
    </row>
    <row r="463" spans="1:6">
      <c r="A463" s="285"/>
      <c r="B463" s="280"/>
      <c r="C463" s="280"/>
      <c r="D463" s="280"/>
      <c r="E463" s="281"/>
      <c r="F463" s="281"/>
    </row>
    <row r="464" spans="1:6">
      <c r="A464" s="282" t="s">
        <v>37</v>
      </c>
      <c r="B464" s="282" t="s">
        <v>267</v>
      </c>
      <c r="C464" s="282"/>
      <c r="D464" s="282" t="s">
        <v>6</v>
      </c>
      <c r="E464" s="283"/>
      <c r="F464" s="284">
        <f>SUM(F465:F473)</f>
        <v>1290000</v>
      </c>
    </row>
    <row r="465" spans="1:8">
      <c r="A465" s="285"/>
      <c r="B465" s="280" t="s">
        <v>268</v>
      </c>
      <c r="C465" s="280"/>
      <c r="D465" s="280" t="s">
        <v>6</v>
      </c>
      <c r="E465" s="281"/>
      <c r="F465" s="281">
        <f>+C465*E465</f>
        <v>0</v>
      </c>
    </row>
    <row r="466" spans="1:8">
      <c r="A466" s="285"/>
      <c r="B466" s="280" t="s">
        <v>602</v>
      </c>
      <c r="C466" s="280">
        <v>3</v>
      </c>
      <c r="D466" s="280" t="s">
        <v>204</v>
      </c>
      <c r="E466" s="281">
        <f>'BQ MAPLE ROOFTOP'!E466</f>
        <v>150000</v>
      </c>
      <c r="F466" s="281">
        <f t="shared" ref="F466:F473" si="36">+C466*E466</f>
        <v>450000</v>
      </c>
    </row>
    <row r="467" spans="1:8">
      <c r="A467" s="285"/>
      <c r="B467" s="280" t="s">
        <v>603</v>
      </c>
      <c r="C467" s="356">
        <v>1</v>
      </c>
      <c r="D467" s="280" t="s">
        <v>6</v>
      </c>
      <c r="E467" s="281">
        <f>'BQ MAPLE ROOFTOP'!E467</f>
        <v>300000</v>
      </c>
      <c r="F467" s="281">
        <f t="shared" si="36"/>
        <v>300000</v>
      </c>
    </row>
    <row r="468" spans="1:8">
      <c r="A468" s="285"/>
      <c r="B468" s="280" t="s">
        <v>604</v>
      </c>
      <c r="C468" s="280">
        <v>1</v>
      </c>
      <c r="D468" s="280" t="s">
        <v>6</v>
      </c>
      <c r="E468" s="281">
        <f>'BQ MAPLE ROOFTOP'!E468</f>
        <v>150000</v>
      </c>
      <c r="F468" s="281">
        <f t="shared" si="36"/>
        <v>150000</v>
      </c>
    </row>
    <row r="469" spans="1:8">
      <c r="A469" s="285"/>
      <c r="B469" s="280" t="s">
        <v>605</v>
      </c>
      <c r="C469" s="280">
        <v>1</v>
      </c>
      <c r="D469" s="280" t="s">
        <v>6</v>
      </c>
      <c r="E469" s="281">
        <f>'BQ MAPLE ROOFTOP'!E469</f>
        <v>150000</v>
      </c>
      <c r="F469" s="281">
        <f t="shared" si="36"/>
        <v>150000</v>
      </c>
    </row>
    <row r="470" spans="1:8">
      <c r="A470" s="285"/>
      <c r="B470" s="280" t="s">
        <v>606</v>
      </c>
      <c r="C470" s="280">
        <v>3</v>
      </c>
      <c r="D470" s="280" t="s">
        <v>204</v>
      </c>
      <c r="E470" s="281">
        <f>'BQ MAPLE ROOFTOP'!E470</f>
        <v>80000</v>
      </c>
      <c r="F470" s="281">
        <f t="shared" si="36"/>
        <v>240000</v>
      </c>
    </row>
    <row r="471" spans="1:8">
      <c r="A471" s="285"/>
      <c r="B471" s="286" t="s">
        <v>397</v>
      </c>
      <c r="C471" s="280"/>
      <c r="D471" s="280"/>
      <c r="E471" s="281"/>
      <c r="F471" s="281">
        <f t="shared" si="36"/>
        <v>0</v>
      </c>
    </row>
    <row r="472" spans="1:8">
      <c r="A472" s="285"/>
      <c r="B472" s="286" t="s">
        <v>398</v>
      </c>
      <c r="C472" s="280"/>
      <c r="D472" s="280"/>
      <c r="E472" s="281"/>
      <c r="F472" s="281">
        <f t="shared" si="36"/>
        <v>0</v>
      </c>
    </row>
    <row r="473" spans="1:8">
      <c r="A473" s="285"/>
      <c r="B473" s="286" t="s">
        <v>399</v>
      </c>
      <c r="C473" s="280"/>
      <c r="D473" s="280"/>
      <c r="E473" s="281"/>
      <c r="F473" s="281">
        <f t="shared" si="36"/>
        <v>0</v>
      </c>
    </row>
    <row r="474" spans="1:8">
      <c r="A474" s="285"/>
      <c r="B474" s="280"/>
      <c r="C474" s="280"/>
      <c r="D474" s="280"/>
      <c r="E474" s="281"/>
      <c r="F474" s="281"/>
    </row>
    <row r="475" spans="1:8" ht="27.6">
      <c r="A475" s="282" t="s">
        <v>38</v>
      </c>
      <c r="B475" s="282" t="s">
        <v>39</v>
      </c>
      <c r="C475" s="282"/>
      <c r="D475" s="282" t="s">
        <v>10</v>
      </c>
      <c r="E475" s="283"/>
      <c r="F475" s="284">
        <f>SUM(F476:F499)</f>
        <v>23909500</v>
      </c>
      <c r="H475" s="429">
        <v>25886500</v>
      </c>
    </row>
    <row r="476" spans="1:8">
      <c r="A476" s="285"/>
      <c r="B476" s="280" t="s">
        <v>269</v>
      </c>
      <c r="C476" s="280"/>
      <c r="D476" s="280" t="s">
        <v>10</v>
      </c>
      <c r="E476" s="281"/>
      <c r="F476" s="281">
        <f>+C476*E476</f>
        <v>0</v>
      </c>
    </row>
    <row r="477" spans="1:8">
      <c r="A477" s="285"/>
      <c r="B477" s="280" t="s">
        <v>270</v>
      </c>
      <c r="C477" s="422">
        <f>35*0+27</f>
        <v>27</v>
      </c>
      <c r="D477" s="280" t="s">
        <v>10</v>
      </c>
      <c r="E477" s="281">
        <f>'BQ MAPLE ROOFTOP'!E477</f>
        <v>177500</v>
      </c>
      <c r="F477" s="281">
        <f t="shared" ref="F477:F499" si="37">+C477*E477</f>
        <v>4792500</v>
      </c>
    </row>
    <row r="478" spans="1:8">
      <c r="A478" s="285"/>
      <c r="B478" s="280" t="s">
        <v>271</v>
      </c>
      <c r="C478" s="422">
        <f>22*0+9</f>
        <v>9</v>
      </c>
      <c r="D478" s="280" t="s">
        <v>10</v>
      </c>
      <c r="E478" s="281">
        <f>'BQ MAPLE ROOFTOP'!E478</f>
        <v>177500</v>
      </c>
      <c r="F478" s="281">
        <f t="shared" si="37"/>
        <v>1597500</v>
      </c>
    </row>
    <row r="479" spans="1:8">
      <c r="A479" s="285"/>
      <c r="B479" s="280" t="s">
        <v>607</v>
      </c>
      <c r="C479" s="356">
        <v>0</v>
      </c>
      <c r="D479" s="280" t="s">
        <v>10</v>
      </c>
      <c r="E479" s="281">
        <f>'BQ MAPLE ROOFTOP'!E479</f>
        <v>0</v>
      </c>
      <c r="F479" s="281">
        <f t="shared" si="37"/>
        <v>0</v>
      </c>
    </row>
    <row r="480" spans="1:8">
      <c r="A480" s="285"/>
      <c r="B480" s="280" t="s">
        <v>272</v>
      </c>
      <c r="C480" s="280">
        <v>37</v>
      </c>
      <c r="D480" s="280" t="s">
        <v>10</v>
      </c>
      <c r="E480" s="281">
        <f>'BQ MAPLE ROOFTOP'!E480</f>
        <v>177500</v>
      </c>
      <c r="F480" s="281">
        <f t="shared" si="37"/>
        <v>6567500</v>
      </c>
    </row>
    <row r="481" spans="1:6">
      <c r="A481" s="285"/>
      <c r="B481" s="280" t="s">
        <v>608</v>
      </c>
      <c r="C481" s="280">
        <v>28</v>
      </c>
      <c r="D481" s="280" t="s">
        <v>8</v>
      </c>
      <c r="E481" s="281">
        <f>'BQ MAPLE ROOFTOP'!E481</f>
        <v>61500</v>
      </c>
      <c r="F481" s="281">
        <f t="shared" si="37"/>
        <v>1722000</v>
      </c>
    </row>
    <row r="482" spans="1:6">
      <c r="A482" s="285"/>
      <c r="B482" s="280" t="s">
        <v>609</v>
      </c>
      <c r="C482" s="280">
        <v>16</v>
      </c>
      <c r="D482" s="280" t="s">
        <v>8</v>
      </c>
      <c r="E482" s="281">
        <f>'BQ MAPLE ROOFTOP'!E482</f>
        <v>75500</v>
      </c>
      <c r="F482" s="281">
        <f t="shared" si="37"/>
        <v>1208000</v>
      </c>
    </row>
    <row r="483" spans="1:6">
      <c r="A483" s="285"/>
      <c r="B483" s="280" t="s">
        <v>610</v>
      </c>
      <c r="C483" s="356">
        <v>0</v>
      </c>
      <c r="D483" s="280" t="s">
        <v>6</v>
      </c>
      <c r="E483" s="281">
        <f>'BQ MAPLE ROOFTOP'!E483</f>
        <v>0</v>
      </c>
      <c r="F483" s="281">
        <f t="shared" si="37"/>
        <v>0</v>
      </c>
    </row>
    <row r="484" spans="1:6">
      <c r="A484" s="285"/>
      <c r="B484" s="280" t="s">
        <v>611</v>
      </c>
      <c r="C484" s="280">
        <v>92</v>
      </c>
      <c r="D484" s="280" t="s">
        <v>10</v>
      </c>
      <c r="E484" s="281">
        <f>'BQ MAPLE ROOFTOP'!E484</f>
        <v>16000</v>
      </c>
      <c r="F484" s="281">
        <f t="shared" si="37"/>
        <v>1472000</v>
      </c>
    </row>
    <row r="485" spans="1:6">
      <c r="A485" s="285"/>
      <c r="B485" s="280" t="s">
        <v>612</v>
      </c>
      <c r="C485" s="422">
        <f>7-1</f>
        <v>6</v>
      </c>
      <c r="D485" s="280" t="s">
        <v>10</v>
      </c>
      <c r="E485" s="281">
        <f>'BQ MAPLE ROOFTOP'!E485</f>
        <v>35000</v>
      </c>
      <c r="F485" s="281">
        <f t="shared" si="37"/>
        <v>210000</v>
      </c>
    </row>
    <row r="486" spans="1:6">
      <c r="A486" s="285"/>
      <c r="B486" s="280" t="s">
        <v>613</v>
      </c>
      <c r="C486" s="422">
        <f>7-1</f>
        <v>6</v>
      </c>
      <c r="D486" s="280" t="s">
        <v>204</v>
      </c>
      <c r="E486" s="281">
        <f>'BQ MAPLE ROOFTOP'!E486</f>
        <v>504500</v>
      </c>
      <c r="F486" s="281">
        <f t="shared" si="37"/>
        <v>3027000</v>
      </c>
    </row>
    <row r="487" spans="1:6">
      <c r="A487" s="285"/>
      <c r="B487" s="280" t="s">
        <v>614</v>
      </c>
      <c r="C487" s="280">
        <v>1</v>
      </c>
      <c r="D487" s="280" t="s">
        <v>10</v>
      </c>
      <c r="E487" s="281">
        <f>'BQ MAPLE ROOFTOP'!E487</f>
        <v>310000</v>
      </c>
      <c r="F487" s="281">
        <f t="shared" si="37"/>
        <v>310000</v>
      </c>
    </row>
    <row r="488" spans="1:6">
      <c r="A488" s="285"/>
      <c r="B488" s="280" t="s">
        <v>615</v>
      </c>
      <c r="C488" s="280">
        <v>5</v>
      </c>
      <c r="D488" s="280" t="s">
        <v>10</v>
      </c>
      <c r="E488" s="281">
        <f>'BQ MAPLE ROOFTOP'!E488</f>
        <v>225000</v>
      </c>
      <c r="F488" s="281">
        <f t="shared" si="37"/>
        <v>1125000</v>
      </c>
    </row>
    <row r="489" spans="1:6" ht="27.6">
      <c r="A489" s="285"/>
      <c r="B489" s="280" t="s">
        <v>616</v>
      </c>
      <c r="C489" s="356">
        <v>0</v>
      </c>
      <c r="D489" s="280" t="s">
        <v>10</v>
      </c>
      <c r="E489" s="281">
        <f>'BQ MAPLE ROOFTOP'!E489</f>
        <v>0</v>
      </c>
      <c r="F489" s="281">
        <f t="shared" si="37"/>
        <v>0</v>
      </c>
    </row>
    <row r="490" spans="1:6">
      <c r="A490" s="285"/>
      <c r="B490" s="280" t="s">
        <v>617</v>
      </c>
      <c r="C490" s="280">
        <v>1</v>
      </c>
      <c r="D490" s="280" t="s">
        <v>6</v>
      </c>
      <c r="E490" s="281">
        <f>'BQ MAPLE ROOFTOP'!E490</f>
        <v>200000</v>
      </c>
      <c r="F490" s="281">
        <f t="shared" si="37"/>
        <v>200000</v>
      </c>
    </row>
    <row r="491" spans="1:6">
      <c r="A491" s="285"/>
      <c r="B491" s="280" t="s">
        <v>618</v>
      </c>
      <c r="C491" s="356">
        <v>0</v>
      </c>
      <c r="D491" s="280" t="s">
        <v>6</v>
      </c>
      <c r="E491" s="281">
        <f>'BQ MAPLE ROOFTOP'!E491</f>
        <v>0</v>
      </c>
      <c r="F491" s="281">
        <f t="shared" si="37"/>
        <v>0</v>
      </c>
    </row>
    <row r="492" spans="1:6">
      <c r="A492" s="285"/>
      <c r="B492" s="280" t="s">
        <v>619</v>
      </c>
      <c r="C492" s="280">
        <v>1</v>
      </c>
      <c r="D492" s="280" t="s">
        <v>6</v>
      </c>
      <c r="E492" s="281">
        <f>'BQ MAPLE ROOFTOP'!E492</f>
        <v>150000</v>
      </c>
      <c r="F492" s="281">
        <f t="shared" si="37"/>
        <v>150000</v>
      </c>
    </row>
    <row r="493" spans="1:6">
      <c r="A493" s="285"/>
      <c r="B493" s="280" t="s">
        <v>620</v>
      </c>
      <c r="C493" s="280">
        <v>1</v>
      </c>
      <c r="D493" s="280" t="s">
        <v>6</v>
      </c>
      <c r="E493" s="281">
        <f>'BQ MAPLE ROOFTOP'!E493</f>
        <v>400000</v>
      </c>
      <c r="F493" s="281">
        <f t="shared" si="37"/>
        <v>400000</v>
      </c>
    </row>
    <row r="494" spans="1:6">
      <c r="A494" s="285"/>
      <c r="B494" s="280" t="s">
        <v>621</v>
      </c>
      <c r="C494" s="280">
        <v>1</v>
      </c>
      <c r="D494" s="280" t="s">
        <v>6</v>
      </c>
      <c r="E494" s="281">
        <f>'BQ MAPLE ROOFTOP'!E494</f>
        <v>300000</v>
      </c>
      <c r="F494" s="281">
        <f t="shared" si="37"/>
        <v>300000</v>
      </c>
    </row>
    <row r="495" spans="1:6">
      <c r="A495" s="285"/>
      <c r="B495" s="280" t="s">
        <v>622</v>
      </c>
      <c r="C495" s="280">
        <v>3</v>
      </c>
      <c r="D495" s="280" t="s">
        <v>10</v>
      </c>
      <c r="E495" s="281">
        <f>'BQ MAPLE ROOFTOP'!E495</f>
        <v>180000</v>
      </c>
      <c r="F495" s="281">
        <f t="shared" si="37"/>
        <v>540000</v>
      </c>
    </row>
    <row r="496" spans="1:6">
      <c r="A496" s="285"/>
      <c r="B496" s="280" t="s">
        <v>623</v>
      </c>
      <c r="C496" s="280">
        <v>16</v>
      </c>
      <c r="D496" s="280" t="s">
        <v>10</v>
      </c>
      <c r="E496" s="281">
        <f>'BQ MAPLE ROOFTOP'!E496</f>
        <v>18000</v>
      </c>
      <c r="F496" s="281">
        <f t="shared" si="37"/>
        <v>288000</v>
      </c>
    </row>
    <row r="497" spans="1:8">
      <c r="A497" s="285"/>
      <c r="B497" s="286" t="s">
        <v>397</v>
      </c>
      <c r="C497" s="280"/>
      <c r="D497" s="280"/>
      <c r="E497" s="281"/>
      <c r="F497" s="281">
        <f t="shared" si="37"/>
        <v>0</v>
      </c>
    </row>
    <row r="498" spans="1:8">
      <c r="A498" s="285"/>
      <c r="B498" s="286" t="s">
        <v>398</v>
      </c>
      <c r="C498" s="280"/>
      <c r="D498" s="280"/>
      <c r="E498" s="281"/>
      <c r="F498" s="281">
        <f t="shared" si="37"/>
        <v>0</v>
      </c>
    </row>
    <row r="499" spans="1:8">
      <c r="A499" s="285"/>
      <c r="B499" s="286" t="s">
        <v>399</v>
      </c>
      <c r="C499" s="280"/>
      <c r="D499" s="280"/>
      <c r="E499" s="281"/>
      <c r="F499" s="281">
        <f t="shared" si="37"/>
        <v>0</v>
      </c>
    </row>
    <row r="500" spans="1:8">
      <c r="A500" s="285"/>
      <c r="B500" s="280"/>
      <c r="C500" s="280"/>
      <c r="D500" s="280"/>
      <c r="E500" s="281"/>
      <c r="F500" s="281"/>
    </row>
    <row r="501" spans="1:8">
      <c r="A501" s="282" t="s">
        <v>273</v>
      </c>
      <c r="B501" s="282" t="s">
        <v>274</v>
      </c>
      <c r="C501" s="282"/>
      <c r="D501" s="282" t="s">
        <v>6</v>
      </c>
      <c r="E501" s="283"/>
      <c r="F501" s="284">
        <f>SUM(F502:F532)</f>
        <v>24436000</v>
      </c>
      <c r="H501" s="429">
        <v>25753000</v>
      </c>
    </row>
    <row r="502" spans="1:8">
      <c r="A502" s="285"/>
      <c r="B502" s="280" t="s">
        <v>275</v>
      </c>
      <c r="C502" s="280"/>
      <c r="D502" s="280" t="s">
        <v>6</v>
      </c>
      <c r="E502" s="281"/>
      <c r="F502" s="281">
        <f t="shared" ref="F502:F521" si="38">+C502*E502</f>
        <v>0</v>
      </c>
    </row>
    <row r="503" spans="1:8">
      <c r="A503" s="285"/>
      <c r="B503" s="280" t="s">
        <v>276</v>
      </c>
      <c r="C503" s="422">
        <f>C477</f>
        <v>27</v>
      </c>
      <c r="D503" s="280" t="s">
        <v>10</v>
      </c>
      <c r="E503" s="281">
        <f>'BQ MAPLE ROOFTOP'!E503</f>
        <v>85000</v>
      </c>
      <c r="F503" s="281">
        <f t="shared" si="38"/>
        <v>2295000</v>
      </c>
    </row>
    <row r="504" spans="1:8">
      <c r="A504" s="285"/>
      <c r="B504" s="280" t="s">
        <v>277</v>
      </c>
      <c r="C504" s="422">
        <f>C478</f>
        <v>9</v>
      </c>
      <c r="D504" s="280" t="s">
        <v>10</v>
      </c>
      <c r="E504" s="281">
        <f>'BQ MAPLE ROOFTOP'!E504</f>
        <v>105000</v>
      </c>
      <c r="F504" s="281">
        <f t="shared" si="38"/>
        <v>945000</v>
      </c>
    </row>
    <row r="505" spans="1:8">
      <c r="A505" s="285"/>
      <c r="B505" s="280" t="s">
        <v>278</v>
      </c>
      <c r="C505" s="356">
        <v>0</v>
      </c>
      <c r="D505" s="280" t="s">
        <v>10</v>
      </c>
      <c r="E505" s="281">
        <f>'BQ MAPLE ROOFTOP'!E505</f>
        <v>0</v>
      </c>
      <c r="F505" s="281">
        <f t="shared" si="38"/>
        <v>0</v>
      </c>
    </row>
    <row r="506" spans="1:8">
      <c r="A506" s="285"/>
      <c r="B506" s="280" t="s">
        <v>279</v>
      </c>
      <c r="C506" s="280">
        <v>47</v>
      </c>
      <c r="D506" s="280" t="s">
        <v>7</v>
      </c>
      <c r="E506" s="281">
        <f>'BQ MAPLE ROOFTOP'!E506</f>
        <v>41000</v>
      </c>
      <c r="F506" s="281">
        <f t="shared" si="38"/>
        <v>1927000</v>
      </c>
    </row>
    <row r="507" spans="1:8">
      <c r="A507" s="285"/>
      <c r="B507" s="280" t="s">
        <v>280</v>
      </c>
      <c r="C507" s="280">
        <v>3</v>
      </c>
      <c r="D507" s="280" t="s">
        <v>10</v>
      </c>
      <c r="E507" s="281">
        <f>'BQ MAPLE ROOFTOP'!E507</f>
        <v>350000</v>
      </c>
      <c r="F507" s="281">
        <f t="shared" si="38"/>
        <v>1050000</v>
      </c>
    </row>
    <row r="508" spans="1:8">
      <c r="A508" s="285"/>
      <c r="B508" s="280" t="s">
        <v>281</v>
      </c>
      <c r="C508" s="280">
        <v>3</v>
      </c>
      <c r="D508" s="280" t="s">
        <v>10</v>
      </c>
      <c r="E508" s="281">
        <f>'BQ MAPLE ROOFTOP'!E508</f>
        <v>190000</v>
      </c>
      <c r="F508" s="281">
        <f t="shared" si="38"/>
        <v>570000</v>
      </c>
    </row>
    <row r="509" spans="1:8" ht="27.6">
      <c r="A509" s="285"/>
      <c r="B509" s="280" t="s">
        <v>624</v>
      </c>
      <c r="C509" s="280">
        <v>18</v>
      </c>
      <c r="D509" s="280" t="s">
        <v>204</v>
      </c>
      <c r="E509" s="281">
        <f>'BQ MAPLE ROOFTOP'!E509</f>
        <v>166500</v>
      </c>
      <c r="F509" s="281">
        <f t="shared" si="38"/>
        <v>2997000</v>
      </c>
    </row>
    <row r="510" spans="1:8" ht="27.6">
      <c r="A510" s="285"/>
      <c r="B510" s="280" t="s">
        <v>625</v>
      </c>
      <c r="C510" s="280">
        <v>9</v>
      </c>
      <c r="D510" s="280" t="s">
        <v>204</v>
      </c>
      <c r="E510" s="281">
        <f>'BQ MAPLE ROOFTOP'!E510</f>
        <v>137500</v>
      </c>
      <c r="F510" s="281">
        <f t="shared" si="38"/>
        <v>1237500</v>
      </c>
    </row>
    <row r="511" spans="1:8" ht="27.6">
      <c r="A511" s="285"/>
      <c r="B511" s="280" t="s">
        <v>626</v>
      </c>
      <c r="C511" s="280">
        <v>3</v>
      </c>
      <c r="D511" s="280" t="s">
        <v>204</v>
      </c>
      <c r="E511" s="281">
        <f>'BQ MAPLE ROOFTOP'!E511</f>
        <v>162500</v>
      </c>
      <c r="F511" s="281">
        <f t="shared" si="38"/>
        <v>487500</v>
      </c>
    </row>
    <row r="512" spans="1:8" ht="27.6">
      <c r="A512" s="285"/>
      <c r="B512" s="280" t="s">
        <v>627</v>
      </c>
      <c r="C512" s="280">
        <v>39</v>
      </c>
      <c r="D512" s="280" t="s">
        <v>204</v>
      </c>
      <c r="E512" s="281">
        <f>'BQ MAPLE ROOFTOP'!E512</f>
        <v>155000</v>
      </c>
      <c r="F512" s="281">
        <f t="shared" si="38"/>
        <v>6045000</v>
      </c>
    </row>
    <row r="513" spans="1:6">
      <c r="A513" s="285"/>
      <c r="B513" s="280" t="s">
        <v>628</v>
      </c>
      <c r="C513" s="280">
        <v>18</v>
      </c>
      <c r="D513" s="280" t="s">
        <v>204</v>
      </c>
      <c r="E513" s="281">
        <f>'BQ MAPLE ROOFTOP'!E513</f>
        <v>65000</v>
      </c>
      <c r="F513" s="281">
        <f t="shared" si="38"/>
        <v>1170000</v>
      </c>
    </row>
    <row r="514" spans="1:6">
      <c r="A514" s="285"/>
      <c r="B514" s="280" t="s">
        <v>629</v>
      </c>
      <c r="C514" s="356">
        <v>0</v>
      </c>
      <c r="D514" s="280" t="s">
        <v>204</v>
      </c>
      <c r="E514" s="281">
        <f>'BQ MAPLE ROOFTOP'!E514</f>
        <v>0</v>
      </c>
      <c r="F514" s="281">
        <f t="shared" si="38"/>
        <v>0</v>
      </c>
    </row>
    <row r="515" spans="1:6">
      <c r="A515" s="285"/>
      <c r="B515" s="280" t="s">
        <v>282</v>
      </c>
      <c r="C515" s="356">
        <v>0</v>
      </c>
      <c r="D515" s="280" t="s">
        <v>204</v>
      </c>
      <c r="E515" s="281">
        <f>'BQ MAPLE ROOFTOP'!E515</f>
        <v>0</v>
      </c>
      <c r="F515" s="281">
        <f t="shared" si="38"/>
        <v>0</v>
      </c>
    </row>
    <row r="516" spans="1:6">
      <c r="A516" s="285"/>
      <c r="B516" s="280" t="s">
        <v>630</v>
      </c>
      <c r="C516" s="356">
        <v>0</v>
      </c>
      <c r="D516" s="280" t="s">
        <v>204</v>
      </c>
      <c r="E516" s="281">
        <f>'BQ MAPLE ROOFTOP'!E516</f>
        <v>0</v>
      </c>
      <c r="F516" s="281">
        <f t="shared" si="38"/>
        <v>0</v>
      </c>
    </row>
    <row r="517" spans="1:6">
      <c r="A517" s="285"/>
      <c r="B517" s="280" t="s">
        <v>631</v>
      </c>
      <c r="C517" s="280">
        <v>1</v>
      </c>
      <c r="D517" s="280" t="s">
        <v>204</v>
      </c>
      <c r="E517" s="281">
        <f>'BQ MAPLE ROOFTOP'!E517</f>
        <v>450000</v>
      </c>
      <c r="F517" s="281">
        <f t="shared" si="38"/>
        <v>450000</v>
      </c>
    </row>
    <row r="518" spans="1:6" ht="27.6">
      <c r="A518" s="285"/>
      <c r="B518" s="280" t="s">
        <v>632</v>
      </c>
      <c r="C518" s="280">
        <v>3</v>
      </c>
      <c r="D518" s="280" t="s">
        <v>204</v>
      </c>
      <c r="E518" s="281">
        <f>'BQ MAPLE ROOFTOP'!E518</f>
        <v>175500</v>
      </c>
      <c r="F518" s="281">
        <f t="shared" si="38"/>
        <v>526500</v>
      </c>
    </row>
    <row r="519" spans="1:6" ht="27.6">
      <c r="A519" s="285"/>
      <c r="B519" s="280" t="s">
        <v>633</v>
      </c>
      <c r="C519" s="280">
        <v>5</v>
      </c>
      <c r="D519" s="280" t="s">
        <v>204</v>
      </c>
      <c r="E519" s="281">
        <f>'BQ MAPLE ROOFTOP'!E519</f>
        <v>178500</v>
      </c>
      <c r="F519" s="281">
        <f t="shared" si="38"/>
        <v>892500</v>
      </c>
    </row>
    <row r="520" spans="1:6" ht="27.6">
      <c r="A520" s="285"/>
      <c r="B520" s="280" t="s">
        <v>634</v>
      </c>
      <c r="C520" s="356">
        <v>0</v>
      </c>
      <c r="D520" s="280" t="s">
        <v>204</v>
      </c>
      <c r="E520" s="281">
        <f>'BQ MAPLE ROOFTOP'!E520</f>
        <v>0</v>
      </c>
      <c r="F520" s="281">
        <f t="shared" si="38"/>
        <v>0</v>
      </c>
    </row>
    <row r="521" spans="1:6">
      <c r="A521" s="285"/>
      <c r="B521" s="286" t="s">
        <v>397</v>
      </c>
      <c r="C521" s="280"/>
      <c r="D521" s="280"/>
      <c r="E521" s="281"/>
      <c r="F521" s="281">
        <f t="shared" si="38"/>
        <v>0</v>
      </c>
    </row>
    <row r="522" spans="1:6" s="370" customFormat="1" ht="14.25" customHeight="1">
      <c r="B522" s="367" t="s">
        <v>791</v>
      </c>
      <c r="C522" s="371">
        <v>3</v>
      </c>
      <c r="D522" s="370" t="s">
        <v>204</v>
      </c>
      <c r="E522" s="281">
        <f>'BQ MAPLE POOL'!E521</f>
        <v>85000</v>
      </c>
      <c r="F522" s="360">
        <f t="shared" ref="F522:F532" si="39">C522*E522</f>
        <v>255000</v>
      </c>
    </row>
    <row r="523" spans="1:6" s="370" customFormat="1" ht="14.25" customHeight="1">
      <c r="B523" s="367" t="s">
        <v>792</v>
      </c>
      <c r="C523" s="371">
        <v>12</v>
      </c>
      <c r="D523" s="370" t="s">
        <v>8</v>
      </c>
      <c r="E523" s="281">
        <f>'BQ MAPLE POOL'!E522</f>
        <v>34000</v>
      </c>
      <c r="F523" s="360">
        <f t="shared" si="39"/>
        <v>408000</v>
      </c>
    </row>
    <row r="524" spans="1:6" s="370" customFormat="1" ht="14.25" customHeight="1">
      <c r="B524" s="367" t="s">
        <v>793</v>
      </c>
      <c r="C524" s="371">
        <v>1</v>
      </c>
      <c r="D524" s="370" t="s">
        <v>204</v>
      </c>
      <c r="E524" s="281">
        <f>'BQ MAPLE POOL'!E523</f>
        <v>225000</v>
      </c>
      <c r="F524" s="360">
        <f t="shared" si="39"/>
        <v>225000</v>
      </c>
    </row>
    <row r="525" spans="1:6" s="370" customFormat="1" ht="14.25" customHeight="1">
      <c r="B525" s="367" t="s">
        <v>794</v>
      </c>
      <c r="C525" s="371">
        <v>4</v>
      </c>
      <c r="D525" s="370" t="s">
        <v>204</v>
      </c>
      <c r="E525" s="281">
        <f>'BQ MAPLE POOL'!E524</f>
        <v>35000</v>
      </c>
      <c r="F525" s="360">
        <f t="shared" si="39"/>
        <v>140000</v>
      </c>
    </row>
    <row r="526" spans="1:6" s="370" customFormat="1" ht="27.6">
      <c r="B526" s="367" t="s">
        <v>795</v>
      </c>
      <c r="C526" s="419">
        <v>3</v>
      </c>
      <c r="D526" s="370" t="s">
        <v>10</v>
      </c>
      <c r="E526" s="281">
        <f>'BQ MAPLE POOL'!E525</f>
        <v>190000</v>
      </c>
      <c r="F526" s="360">
        <f t="shared" si="39"/>
        <v>570000</v>
      </c>
    </row>
    <row r="527" spans="1:6" s="370" customFormat="1" ht="14.25" customHeight="1">
      <c r="B527" s="367" t="s">
        <v>796</v>
      </c>
      <c r="C527" s="371">
        <v>3</v>
      </c>
      <c r="D527" s="370" t="s">
        <v>10</v>
      </c>
      <c r="E527" s="281">
        <f>'BQ MAPLE POOL'!E526</f>
        <v>190000</v>
      </c>
      <c r="F527" s="360">
        <f t="shared" si="39"/>
        <v>570000</v>
      </c>
    </row>
    <row r="528" spans="1:6" s="370" customFormat="1" ht="14.25" customHeight="1">
      <c r="B528" s="367" t="s">
        <v>841</v>
      </c>
      <c r="C528" s="371">
        <v>1</v>
      </c>
      <c r="D528" s="370" t="s">
        <v>10</v>
      </c>
      <c r="E528" s="281">
        <f>'BQ MAPLE POOL'!E527</f>
        <v>310000</v>
      </c>
      <c r="F528" s="360">
        <f t="shared" si="39"/>
        <v>310000</v>
      </c>
    </row>
    <row r="529" spans="1:6" s="370" customFormat="1" ht="14.25" customHeight="1">
      <c r="B529" s="367" t="s">
        <v>842</v>
      </c>
      <c r="C529" s="371">
        <v>1</v>
      </c>
      <c r="D529" s="370" t="s">
        <v>10</v>
      </c>
      <c r="E529" s="281">
        <f>'BQ MAPLE POOL'!E528</f>
        <v>177500</v>
      </c>
      <c r="F529" s="360">
        <f t="shared" si="39"/>
        <v>177500</v>
      </c>
    </row>
    <row r="530" spans="1:6" s="370" customFormat="1" ht="14.25" customHeight="1">
      <c r="B530" s="367" t="s">
        <v>843</v>
      </c>
      <c r="C530" s="371">
        <v>1</v>
      </c>
      <c r="D530" s="370" t="s">
        <v>797</v>
      </c>
      <c r="E530" s="281">
        <f>'BQ MAPLE POOL'!E529</f>
        <v>225000</v>
      </c>
      <c r="F530" s="360">
        <f t="shared" si="39"/>
        <v>225000</v>
      </c>
    </row>
    <row r="531" spans="1:6" s="370" customFormat="1" ht="14.25" customHeight="1">
      <c r="B531" s="367" t="s">
        <v>844</v>
      </c>
      <c r="C531" s="371">
        <v>1</v>
      </c>
      <c r="D531" s="370" t="s">
        <v>797</v>
      </c>
      <c r="E531" s="281">
        <f>'BQ MAPLE POOL'!E530</f>
        <v>190000</v>
      </c>
      <c r="F531" s="360">
        <f t="shared" si="39"/>
        <v>190000</v>
      </c>
    </row>
    <row r="532" spans="1:6" s="370" customFormat="1" ht="14.25" customHeight="1">
      <c r="B532" s="367" t="s">
        <v>862</v>
      </c>
      <c r="C532" s="424">
        <v>3</v>
      </c>
      <c r="D532" s="370" t="s">
        <v>204</v>
      </c>
      <c r="E532" s="360">
        <f>E477+80000</f>
        <v>257500</v>
      </c>
      <c r="F532" s="360">
        <f t="shared" si="39"/>
        <v>772500</v>
      </c>
    </row>
    <row r="533" spans="1:6">
      <c r="A533" s="285"/>
      <c r="B533" s="280"/>
      <c r="C533" s="280"/>
      <c r="D533" s="280"/>
      <c r="E533" s="281"/>
      <c r="F533" s="281"/>
    </row>
    <row r="534" spans="1:6" ht="27.6">
      <c r="A534" s="282" t="s">
        <v>635</v>
      </c>
      <c r="B534" s="282" t="s">
        <v>636</v>
      </c>
      <c r="C534" s="282">
        <v>1</v>
      </c>
      <c r="D534" s="282" t="s">
        <v>6</v>
      </c>
      <c r="E534" s="283"/>
      <c r="F534" s="284">
        <f>SUM(F535:F553)</f>
        <v>19889200</v>
      </c>
    </row>
    <row r="535" spans="1:6">
      <c r="A535" s="285"/>
      <c r="B535" s="280" t="s">
        <v>283</v>
      </c>
      <c r="C535" s="280"/>
      <c r="D535" s="280" t="s">
        <v>6</v>
      </c>
      <c r="E535" s="281"/>
      <c r="F535" s="281">
        <f t="shared" ref="F535:F553" si="40">+C535*E535</f>
        <v>0</v>
      </c>
    </row>
    <row r="536" spans="1:6">
      <c r="A536" s="285"/>
      <c r="B536" s="280" t="s">
        <v>284</v>
      </c>
      <c r="C536" s="361">
        <v>1</v>
      </c>
      <c r="D536" s="280" t="s">
        <v>7</v>
      </c>
      <c r="E536" s="281">
        <f>'BQ MAPLE ROOFTOP'!E536</f>
        <v>500000</v>
      </c>
      <c r="F536" s="281">
        <f t="shared" si="40"/>
        <v>500000</v>
      </c>
    </row>
    <row r="537" spans="1:6">
      <c r="A537" s="285"/>
      <c r="B537" s="280" t="s">
        <v>285</v>
      </c>
      <c r="C537" s="361">
        <v>1</v>
      </c>
      <c r="D537" s="280" t="s">
        <v>204</v>
      </c>
      <c r="E537" s="281">
        <f>'BQ MAPLE ROOFTOP'!E537</f>
        <v>500000</v>
      </c>
      <c r="F537" s="281">
        <f t="shared" si="40"/>
        <v>500000</v>
      </c>
    </row>
    <row r="538" spans="1:6">
      <c r="A538" s="285"/>
      <c r="B538" s="280" t="s">
        <v>637</v>
      </c>
      <c r="C538" s="361">
        <f>7</f>
        <v>7</v>
      </c>
      <c r="D538" s="280" t="s">
        <v>8</v>
      </c>
      <c r="E538" s="281">
        <f>'BQ MAPLE ROOFTOP'!E538</f>
        <v>115000</v>
      </c>
      <c r="F538" s="281">
        <f t="shared" si="40"/>
        <v>805000</v>
      </c>
    </row>
    <row r="539" spans="1:6">
      <c r="A539" s="285"/>
      <c r="B539" s="280" t="s">
        <v>638</v>
      </c>
      <c r="C539" s="361">
        <f>7</f>
        <v>7</v>
      </c>
      <c r="D539" s="280" t="s">
        <v>8</v>
      </c>
      <c r="E539" s="281">
        <f>'BQ MAPLE ROOFTOP'!E539</f>
        <v>300000</v>
      </c>
      <c r="F539" s="281">
        <f t="shared" si="40"/>
        <v>2100000</v>
      </c>
    </row>
    <row r="540" spans="1:6">
      <c r="A540" s="285"/>
      <c r="B540" s="280" t="s">
        <v>639</v>
      </c>
      <c r="C540" s="374">
        <v>7</v>
      </c>
      <c r="D540" s="280" t="s">
        <v>8</v>
      </c>
      <c r="E540" s="281">
        <f>'BQ MAPLE ROOFTOP'!E540</f>
        <v>115000</v>
      </c>
      <c r="F540" s="281">
        <f t="shared" si="40"/>
        <v>805000</v>
      </c>
    </row>
    <row r="541" spans="1:6">
      <c r="A541" s="285"/>
      <c r="B541" s="280" t="s">
        <v>640</v>
      </c>
      <c r="C541" s="374">
        <v>7</v>
      </c>
      <c r="D541" s="280" t="s">
        <v>8</v>
      </c>
      <c r="E541" s="281">
        <f>'BQ MAPLE ROOFTOP'!E541</f>
        <v>300000</v>
      </c>
      <c r="F541" s="281">
        <f t="shared" si="40"/>
        <v>2100000</v>
      </c>
    </row>
    <row r="542" spans="1:6" ht="27.6">
      <c r="A542" s="285"/>
      <c r="B542" s="280" t="s">
        <v>641</v>
      </c>
      <c r="C542" s="361">
        <f>2.5*1.1*0+2.45</f>
        <v>2.4500000000000002</v>
      </c>
      <c r="D542" s="280" t="s">
        <v>5</v>
      </c>
      <c r="E542" s="281">
        <f>'BQ MAPLE ROOFTOP'!E542</f>
        <v>850000</v>
      </c>
      <c r="F542" s="281">
        <f t="shared" si="40"/>
        <v>2082500.0000000002</v>
      </c>
    </row>
    <row r="543" spans="1:6" ht="27.6">
      <c r="A543" s="285"/>
      <c r="B543" s="280" t="s">
        <v>642</v>
      </c>
      <c r="C543" s="361">
        <f>3.6*1</f>
        <v>3.6</v>
      </c>
      <c r="D543" s="280" t="s">
        <v>5</v>
      </c>
      <c r="E543" s="281">
        <f>'BQ MAPLE ROOFTOP'!E543</f>
        <v>850000</v>
      </c>
      <c r="F543" s="281">
        <f t="shared" si="40"/>
        <v>3060000</v>
      </c>
    </row>
    <row r="544" spans="1:6" ht="27.6">
      <c r="A544" s="285"/>
      <c r="B544" s="280" t="s">
        <v>643</v>
      </c>
      <c r="C544" s="374">
        <f>1.7*1.1</f>
        <v>1.87</v>
      </c>
      <c r="D544" s="280" t="s">
        <v>5</v>
      </c>
      <c r="E544" s="281">
        <f>'BQ MAPLE ROOFTOP'!E544</f>
        <v>850000</v>
      </c>
      <c r="F544" s="281">
        <f t="shared" si="40"/>
        <v>1589500</v>
      </c>
    </row>
    <row r="545" spans="1:7">
      <c r="A545" s="285"/>
      <c r="B545" s="280" t="s">
        <v>644</v>
      </c>
      <c r="C545" s="374">
        <f>4*1.1</f>
        <v>4.4000000000000004</v>
      </c>
      <c r="D545" s="280" t="s">
        <v>5</v>
      </c>
      <c r="E545" s="281">
        <f>'BQ MAPLE ROOFTOP'!E545</f>
        <v>850000</v>
      </c>
      <c r="F545" s="281">
        <f t="shared" si="40"/>
        <v>3740000.0000000005</v>
      </c>
    </row>
    <row r="546" spans="1:7">
      <c r="A546" s="285"/>
      <c r="B546" s="280" t="s">
        <v>645</v>
      </c>
      <c r="C546" s="361">
        <v>1</v>
      </c>
      <c r="D546" s="280" t="s">
        <v>6</v>
      </c>
      <c r="E546" s="281">
        <f>'BQ MAPLE ROOFTOP'!E546</f>
        <v>500000</v>
      </c>
      <c r="F546" s="281">
        <f t="shared" si="40"/>
        <v>500000</v>
      </c>
    </row>
    <row r="547" spans="1:7" ht="27.6">
      <c r="A547" s="285"/>
      <c r="B547" s="280" t="s">
        <v>646</v>
      </c>
      <c r="C547" s="361">
        <v>2</v>
      </c>
      <c r="D547" s="280" t="s">
        <v>647</v>
      </c>
      <c r="E547" s="281">
        <f>'BQ MAPLE ROOFTOP'!E547</f>
        <v>297600</v>
      </c>
      <c r="F547" s="281">
        <f t="shared" si="40"/>
        <v>595200</v>
      </c>
    </row>
    <row r="548" spans="1:7" ht="27.6">
      <c r="A548" s="285"/>
      <c r="B548" s="280" t="s">
        <v>648</v>
      </c>
      <c r="C548" s="361">
        <v>2</v>
      </c>
      <c r="D548" s="280" t="s">
        <v>647</v>
      </c>
      <c r="E548" s="281">
        <f>'BQ MAPLE ROOFTOP'!E548</f>
        <v>195000</v>
      </c>
      <c r="F548" s="281">
        <f t="shared" si="40"/>
        <v>390000</v>
      </c>
    </row>
    <row r="549" spans="1:7">
      <c r="A549" s="285"/>
      <c r="B549" s="280" t="s">
        <v>836</v>
      </c>
      <c r="C549" s="374">
        <f>1.2*1.1</f>
        <v>1.32</v>
      </c>
      <c r="D549" s="280" t="s">
        <v>5</v>
      </c>
      <c r="E549" s="281">
        <f>'BQ MAPLE ROOFTOP'!E549</f>
        <v>850000</v>
      </c>
      <c r="F549" s="281">
        <f t="shared" si="40"/>
        <v>1122000</v>
      </c>
    </row>
    <row r="550" spans="1:7">
      <c r="A550" s="285"/>
      <c r="B550" s="280" t="s">
        <v>649</v>
      </c>
      <c r="C550" s="356">
        <v>0</v>
      </c>
      <c r="D550" s="280" t="s">
        <v>6</v>
      </c>
      <c r="E550" s="281">
        <f>'BQ MAPLE ROOFTOP'!E550</f>
        <v>0</v>
      </c>
      <c r="F550" s="281">
        <f t="shared" si="40"/>
        <v>0</v>
      </c>
    </row>
    <row r="551" spans="1:7">
      <c r="B551" s="286" t="s">
        <v>397</v>
      </c>
      <c r="C551" s="280"/>
      <c r="D551" s="280"/>
      <c r="E551" s="281"/>
      <c r="F551" s="281">
        <f t="shared" si="40"/>
        <v>0</v>
      </c>
    </row>
    <row r="552" spans="1:7">
      <c r="B552" s="286" t="s">
        <v>398</v>
      </c>
      <c r="C552" s="280"/>
      <c r="D552" s="280"/>
      <c r="E552" s="281"/>
      <c r="F552" s="281">
        <f t="shared" si="40"/>
        <v>0</v>
      </c>
    </row>
    <row r="553" spans="1:7">
      <c r="B553" s="286" t="s">
        <v>399</v>
      </c>
      <c r="C553" s="280"/>
      <c r="D553" s="280"/>
      <c r="E553" s="281"/>
      <c r="F553" s="281">
        <f t="shared" si="40"/>
        <v>0</v>
      </c>
    </row>
    <row r="554" spans="1:7">
      <c r="E554" s="287" t="s">
        <v>650</v>
      </c>
      <c r="F554" s="287">
        <f>SUM(F2:F553)/2</f>
        <v>1026209502.0166222</v>
      </c>
    </row>
    <row r="557" spans="1:7" s="391" customFormat="1" ht="13.8">
      <c r="A557" s="371"/>
      <c r="B557" s="390" t="s">
        <v>804</v>
      </c>
      <c r="C557" s="371"/>
      <c r="D557" s="371"/>
      <c r="E557" s="371"/>
      <c r="F557" s="371"/>
      <c r="G557" s="371"/>
    </row>
    <row r="558" spans="1:7" s="391" customFormat="1">
      <c r="A558" s="392">
        <f>1+A546</f>
        <v>1</v>
      </c>
      <c r="B558" s="393" t="s">
        <v>820</v>
      </c>
      <c r="C558" s="371">
        <f>6.2*5+2*1.5</f>
        <v>34</v>
      </c>
      <c r="D558" s="371" t="s">
        <v>5</v>
      </c>
      <c r="E558" s="360">
        <f>'BQ MAPLE ROOFTOP'!E558</f>
        <v>1225000</v>
      </c>
      <c r="F558" s="360">
        <f>C558*E558</f>
        <v>41650000</v>
      </c>
      <c r="G558" s="369">
        <f>F558</f>
        <v>41650000</v>
      </c>
    </row>
    <row r="559" spans="1:7" s="391" customFormat="1" ht="27.6">
      <c r="A559" s="392"/>
      <c r="B559" s="394" t="s">
        <v>805</v>
      </c>
      <c r="D559" s="371"/>
      <c r="E559" s="360"/>
      <c r="F559" s="360"/>
      <c r="G559" s="371"/>
    </row>
    <row r="560" spans="1:7" s="391" customFormat="1">
      <c r="A560" s="392"/>
      <c r="B560" s="394" t="s">
        <v>806</v>
      </c>
      <c r="D560" s="371"/>
      <c r="E560" s="360"/>
      <c r="F560" s="360"/>
      <c r="G560" s="371"/>
    </row>
    <row r="561" spans="1:7" s="391" customFormat="1">
      <c r="A561" s="392"/>
      <c r="B561" s="394" t="s">
        <v>807</v>
      </c>
      <c r="D561" s="371"/>
      <c r="E561" s="360"/>
      <c r="F561" s="360"/>
      <c r="G561" s="371"/>
    </row>
    <row r="562" spans="1:7" s="391" customFormat="1">
      <c r="A562" s="392"/>
      <c r="B562" s="393" t="s">
        <v>808</v>
      </c>
      <c r="D562" s="371"/>
      <c r="E562" s="360"/>
      <c r="F562" s="360"/>
      <c r="G562" s="371"/>
    </row>
    <row r="563" spans="1:7" s="391" customFormat="1">
      <c r="A563" s="392"/>
      <c r="B563" s="394" t="s">
        <v>809</v>
      </c>
      <c r="D563" s="371"/>
      <c r="E563" s="360"/>
      <c r="F563" s="360"/>
      <c r="G563" s="371"/>
    </row>
    <row r="564" spans="1:7" s="391" customFormat="1">
      <c r="A564" s="392"/>
      <c r="B564" s="393" t="s">
        <v>810</v>
      </c>
      <c r="D564" s="371"/>
      <c r="E564" s="360"/>
      <c r="F564" s="360"/>
      <c r="G564" s="371"/>
    </row>
    <row r="565" spans="1:7" s="391" customFormat="1">
      <c r="A565" s="392">
        <f>A558+1</f>
        <v>2</v>
      </c>
      <c r="B565" s="393" t="s">
        <v>811</v>
      </c>
      <c r="C565" s="371">
        <v>2</v>
      </c>
      <c r="D565" s="371" t="s">
        <v>302</v>
      </c>
      <c r="E565" s="360">
        <f>'BQ MAPLE ROOFTOP'!E565</f>
        <v>980000</v>
      </c>
      <c r="F565" s="360">
        <f>C565*E565</f>
        <v>1960000</v>
      </c>
    </row>
    <row r="566" spans="1:7" s="391" customFormat="1">
      <c r="A566" s="392">
        <f>A565+1</f>
        <v>3</v>
      </c>
      <c r="B566" s="393" t="s">
        <v>812</v>
      </c>
      <c r="C566" s="371">
        <v>1</v>
      </c>
      <c r="D566" s="371" t="s">
        <v>302</v>
      </c>
      <c r="E566" s="360">
        <f>'BQ MAPLE ROOFTOP'!E566</f>
        <v>312000</v>
      </c>
      <c r="F566" s="360">
        <f>C566*E566</f>
        <v>312000</v>
      </c>
      <c r="G566" s="371"/>
    </row>
    <row r="567" spans="1:7" s="391" customFormat="1">
      <c r="A567" s="371"/>
      <c r="B567" s="393" t="s">
        <v>813</v>
      </c>
      <c r="C567" s="371"/>
      <c r="D567" s="371"/>
      <c r="E567" s="360">
        <f>'BQ MAPLE ROOFTOP'!E567</f>
        <v>0</v>
      </c>
      <c r="F567" s="360"/>
      <c r="G567" s="371"/>
    </row>
    <row r="568" spans="1:7" s="391" customFormat="1">
      <c r="A568" s="371"/>
      <c r="B568" s="393" t="s">
        <v>814</v>
      </c>
      <c r="C568" s="371">
        <f>1.2*6.2*0.5</f>
        <v>3.7199999999999998</v>
      </c>
      <c r="D568" s="371" t="s">
        <v>51</v>
      </c>
      <c r="E568" s="360">
        <f>'BQ MAPLE ROOFTOP'!E568</f>
        <v>75000</v>
      </c>
      <c r="F568" s="360">
        <f>C568*E568</f>
        <v>279000</v>
      </c>
      <c r="G568" s="371"/>
    </row>
    <row r="569" spans="1:7" s="391" customFormat="1">
      <c r="A569" s="371"/>
      <c r="B569" s="393" t="s">
        <v>815</v>
      </c>
      <c r="C569" s="371">
        <f>1.2*6.2*0.5</f>
        <v>3.7199999999999998</v>
      </c>
      <c r="D569" s="371" t="s">
        <v>51</v>
      </c>
      <c r="E569" s="360">
        <f>'BQ MAPLE ROOFTOP'!E569</f>
        <v>150000</v>
      </c>
      <c r="F569" s="360">
        <f>C569*E569</f>
        <v>558000</v>
      </c>
      <c r="G569" s="371"/>
    </row>
    <row r="570" spans="1:7" s="391" customFormat="1">
      <c r="A570" s="371"/>
      <c r="B570" s="393" t="s">
        <v>816</v>
      </c>
      <c r="C570" s="371">
        <f>1.2*6.2*0.05</f>
        <v>0.372</v>
      </c>
      <c r="D570" s="371" t="s">
        <v>51</v>
      </c>
      <c r="E570" s="360">
        <f>'BQ MAPLE ROOFTOP'!E570</f>
        <v>804190.63636363635</v>
      </c>
      <c r="F570" s="360">
        <f>C570*E570</f>
        <v>299158.91672727274</v>
      </c>
      <c r="G570" s="371"/>
    </row>
    <row r="571" spans="1:7" s="391" customFormat="1">
      <c r="A571" s="371"/>
      <c r="B571" s="393" t="s">
        <v>817</v>
      </c>
      <c r="C571" s="371">
        <f>1.2*6.2*0.1</f>
        <v>0.74399999999999999</v>
      </c>
      <c r="D571" s="371" t="s">
        <v>51</v>
      </c>
      <c r="E571" s="360">
        <f>'BQ MAPLE ROOFTOP'!E571</f>
        <v>1378456.7901234569</v>
      </c>
      <c r="F571" s="360">
        <f>C571*E571</f>
        <v>1025571.8518518519</v>
      </c>
      <c r="G571" s="371"/>
    </row>
    <row r="572" spans="1:7" s="391" customFormat="1">
      <c r="A572" s="371"/>
      <c r="B572" s="394" t="s">
        <v>818</v>
      </c>
      <c r="C572" s="371">
        <f>1.2*6.2</f>
        <v>7.4399999999999995</v>
      </c>
      <c r="D572" s="371" t="s">
        <v>5</v>
      </c>
      <c r="E572" s="360">
        <f>'BQ MAPLE ROOFTOP'!E572</f>
        <v>239262.5</v>
      </c>
      <c r="F572" s="360">
        <f>C572*E572</f>
        <v>1780112.9999999998</v>
      </c>
      <c r="G572" s="371"/>
    </row>
    <row r="573" spans="1:7" s="391" customFormat="1">
      <c r="A573" s="371"/>
      <c r="B573" s="395"/>
      <c r="D573" s="371"/>
      <c r="E573" s="360"/>
      <c r="F573" s="360">
        <f>SUM(F565:F572)</f>
        <v>6213843.7685791245</v>
      </c>
      <c r="G573" s="371"/>
    </row>
    <row r="574" spans="1:7" s="391" customFormat="1">
      <c r="A574" s="371"/>
      <c r="B574" s="395"/>
      <c r="D574" s="371"/>
      <c r="E574" s="371"/>
      <c r="F574" s="369">
        <v>6300000</v>
      </c>
      <c r="G574" s="371"/>
    </row>
  </sheetData>
  <pageMargins left="0.25" right="0.25" top="0.75" bottom="0.75" header="0.3" footer="0.3"/>
  <pageSetup paperSize="9" scale="85" orientation="portrait" horizontalDpi="12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I98"/>
  <sheetViews>
    <sheetView topLeftCell="B3" zoomScale="115" zoomScaleNormal="115" workbookViewId="0">
      <selection activeCell="E25" sqref="E25"/>
    </sheetView>
  </sheetViews>
  <sheetFormatPr defaultRowHeight="14.4"/>
  <cols>
    <col min="1" max="1" width="8.88671875" bestFit="1" customWidth="1"/>
    <col min="2" max="2" width="33.33203125" customWidth="1"/>
    <col min="3" max="3" width="7.44140625" bestFit="1" customWidth="1"/>
    <col min="4" max="4" width="6.44140625" bestFit="1" customWidth="1"/>
    <col min="5" max="5" width="13" customWidth="1"/>
    <col min="6" max="6" width="16.21875" bestFit="1" customWidth="1"/>
    <col min="8" max="8" width="16.21875" bestFit="1" customWidth="1"/>
  </cols>
  <sheetData>
    <row r="1" spans="1:7">
      <c r="A1" s="280" t="s">
        <v>0</v>
      </c>
      <c r="B1" s="280" t="s">
        <v>1</v>
      </c>
      <c r="C1" s="280" t="s">
        <v>2</v>
      </c>
      <c r="D1" s="280" t="s">
        <v>177</v>
      </c>
      <c r="E1" s="280" t="s">
        <v>3</v>
      </c>
      <c r="F1" s="280" t="s">
        <v>4</v>
      </c>
    </row>
    <row r="2" spans="1:7" ht="27.6">
      <c r="A2" s="282" t="s">
        <v>178</v>
      </c>
      <c r="B2" s="282" t="s">
        <v>179</v>
      </c>
      <c r="C2" s="282"/>
      <c r="D2" s="282" t="s">
        <v>6</v>
      </c>
      <c r="E2" s="282"/>
      <c r="F2" s="284">
        <f>SUM(F3:F11)</f>
        <v>11708240</v>
      </c>
      <c r="G2" s="397" t="s">
        <v>827</v>
      </c>
    </row>
    <row r="3" spans="1:7">
      <c r="A3" s="285"/>
      <c r="B3" s="280" t="s">
        <v>712</v>
      </c>
      <c r="C3" s="280"/>
      <c r="D3" s="280" t="s">
        <v>6</v>
      </c>
      <c r="E3" s="280"/>
      <c r="F3" s="281">
        <f>+C3*E3</f>
        <v>0</v>
      </c>
    </row>
    <row r="4" spans="1:7">
      <c r="A4" s="285"/>
      <c r="B4" s="280" t="s">
        <v>713</v>
      </c>
      <c r="C4" s="280">
        <v>1</v>
      </c>
      <c r="D4" s="280" t="s">
        <v>6</v>
      </c>
      <c r="E4" s="362">
        <v>750000</v>
      </c>
      <c r="F4" s="281">
        <f t="shared" ref="F4:F11" si="0">+C4*E4</f>
        <v>750000</v>
      </c>
    </row>
    <row r="5" spans="1:7">
      <c r="A5" s="285"/>
      <c r="B5" s="280" t="s">
        <v>714</v>
      </c>
      <c r="C5" s="280">
        <v>1</v>
      </c>
      <c r="D5" s="280" t="s">
        <v>6</v>
      </c>
      <c r="E5" s="362">
        <v>1250000</v>
      </c>
      <c r="F5" s="281">
        <f t="shared" si="0"/>
        <v>1250000</v>
      </c>
    </row>
    <row r="6" spans="1:7">
      <c r="A6" s="285"/>
      <c r="B6" s="280" t="s">
        <v>715</v>
      </c>
      <c r="C6" s="280">
        <v>1</v>
      </c>
      <c r="D6" s="280" t="s">
        <v>6</v>
      </c>
      <c r="E6" s="362">
        <v>3500000</v>
      </c>
      <c r="F6" s="281">
        <f t="shared" si="0"/>
        <v>3500000</v>
      </c>
    </row>
    <row r="7" spans="1:7">
      <c r="A7" s="285"/>
      <c r="B7" s="280" t="s">
        <v>716</v>
      </c>
      <c r="C7" s="280">
        <v>9.5</v>
      </c>
      <c r="D7" s="280" t="s">
        <v>8</v>
      </c>
      <c r="E7" s="362">
        <f>'BQ MAPLE POOL ROOFTOP'!E6</f>
        <v>21920</v>
      </c>
      <c r="F7" s="281">
        <f t="shared" si="0"/>
        <v>208240</v>
      </c>
    </row>
    <row r="8" spans="1:7">
      <c r="A8" s="285"/>
      <c r="B8" s="280" t="s">
        <v>717</v>
      </c>
      <c r="C8" s="280">
        <v>1</v>
      </c>
      <c r="D8" s="280" t="s">
        <v>6</v>
      </c>
      <c r="E8" s="362">
        <v>6000000</v>
      </c>
      <c r="F8" s="281">
        <f t="shared" si="0"/>
        <v>6000000</v>
      </c>
    </row>
    <row r="9" spans="1:7">
      <c r="A9" s="285"/>
      <c r="B9" s="286" t="s">
        <v>397</v>
      </c>
      <c r="C9" s="280"/>
      <c r="D9" s="280"/>
      <c r="E9" s="281"/>
      <c r="F9" s="281">
        <f t="shared" si="0"/>
        <v>0</v>
      </c>
    </row>
    <row r="10" spans="1:7">
      <c r="A10" s="285"/>
      <c r="B10" s="286" t="s">
        <v>398</v>
      </c>
      <c r="C10" s="280"/>
      <c r="D10" s="280"/>
      <c r="E10" s="281"/>
      <c r="F10" s="281">
        <f t="shared" si="0"/>
        <v>0</v>
      </c>
    </row>
    <row r="11" spans="1:7">
      <c r="A11" s="285"/>
      <c r="B11" s="286" t="s">
        <v>399</v>
      </c>
      <c r="C11" s="280"/>
      <c r="D11" s="280"/>
      <c r="E11" s="281"/>
      <c r="F11" s="281">
        <f t="shared" si="0"/>
        <v>0</v>
      </c>
    </row>
    <row r="12" spans="1:7">
      <c r="A12" s="285"/>
      <c r="B12" s="280"/>
      <c r="C12" s="280"/>
      <c r="D12" s="280"/>
      <c r="E12" s="362"/>
      <c r="F12" s="362"/>
    </row>
    <row r="13" spans="1:7" ht="27.6">
      <c r="A13" s="282" t="s">
        <v>186</v>
      </c>
      <c r="B13" s="282" t="s">
        <v>187</v>
      </c>
      <c r="C13" s="282"/>
      <c r="D13" s="282" t="s">
        <v>6</v>
      </c>
      <c r="E13" s="282"/>
      <c r="F13" s="284">
        <f>SUM(F14:F21)</f>
        <v>4636687.5000000009</v>
      </c>
    </row>
    <row r="14" spans="1:7">
      <c r="A14" s="285"/>
      <c r="B14" s="280" t="s">
        <v>718</v>
      </c>
      <c r="C14" s="280"/>
      <c r="D14" s="280" t="s">
        <v>6</v>
      </c>
      <c r="E14" s="280"/>
      <c r="F14" s="281">
        <f>+C14*E14</f>
        <v>0</v>
      </c>
    </row>
    <row r="15" spans="1:7">
      <c r="A15" s="285"/>
      <c r="B15" s="280" t="s">
        <v>719</v>
      </c>
      <c r="C15" s="280">
        <f>2.6*7.2*1.5</f>
        <v>28.080000000000005</v>
      </c>
      <c r="D15" s="280" t="s">
        <v>9</v>
      </c>
      <c r="E15" s="362">
        <f>'BQ MAPLE POOL ROOFTOP'!E18</f>
        <v>75000</v>
      </c>
      <c r="F15" s="281">
        <f t="shared" ref="F15:F21" si="1">+C15*E15</f>
        <v>2106000.0000000005</v>
      </c>
    </row>
    <row r="16" spans="1:7">
      <c r="A16" s="285"/>
      <c r="B16" s="280" t="s">
        <v>720</v>
      </c>
      <c r="C16" s="356">
        <v>0</v>
      </c>
      <c r="D16" s="280" t="s">
        <v>9</v>
      </c>
      <c r="E16" s="356">
        <v>0</v>
      </c>
      <c r="F16" s="281">
        <f t="shared" si="1"/>
        <v>0</v>
      </c>
    </row>
    <row r="17" spans="1:9">
      <c r="A17" s="285"/>
      <c r="B17" s="280" t="s">
        <v>721</v>
      </c>
      <c r="C17" s="280">
        <f>C15</f>
        <v>28.080000000000005</v>
      </c>
      <c r="D17" s="280" t="s">
        <v>9</v>
      </c>
      <c r="E17" s="362">
        <f>'BQ MAPLE POOL ROOFTOP'!E19</f>
        <v>75000</v>
      </c>
      <c r="F17" s="281">
        <f t="shared" si="1"/>
        <v>2106000.0000000005</v>
      </c>
    </row>
    <row r="18" spans="1:9">
      <c r="A18" s="285"/>
      <c r="B18" s="280" t="s">
        <v>722</v>
      </c>
      <c r="C18" s="361">
        <f>0.65*0.5*0.5*3+0.6*0.5*0.5+0.5*0.5*0.5*3+1.5*0.5*0.6+28*0.3*0.5</f>
        <v>5.6625000000000005</v>
      </c>
      <c r="D18" s="280" t="s">
        <v>9</v>
      </c>
      <c r="E18" s="362">
        <f>E15</f>
        <v>75000</v>
      </c>
      <c r="F18" s="281">
        <f t="shared" si="1"/>
        <v>424687.50000000006</v>
      </c>
    </row>
    <row r="19" spans="1:9">
      <c r="A19" s="285"/>
      <c r="B19" s="286" t="s">
        <v>397</v>
      </c>
      <c r="C19" s="280"/>
      <c r="D19" s="280"/>
      <c r="E19" s="281"/>
      <c r="F19" s="281">
        <f t="shared" si="1"/>
        <v>0</v>
      </c>
    </row>
    <row r="20" spans="1:9">
      <c r="A20" s="285"/>
      <c r="B20" s="286" t="s">
        <v>398</v>
      </c>
      <c r="C20" s="280"/>
      <c r="D20" s="280"/>
      <c r="E20" s="281"/>
      <c r="F20" s="281">
        <f t="shared" si="1"/>
        <v>0</v>
      </c>
    </row>
    <row r="21" spans="1:9">
      <c r="A21" s="285"/>
      <c r="B21" s="286" t="s">
        <v>399</v>
      </c>
      <c r="C21" s="280"/>
      <c r="D21" s="280"/>
      <c r="E21" s="281"/>
      <c r="F21" s="281">
        <f t="shared" si="1"/>
        <v>0</v>
      </c>
    </row>
    <row r="22" spans="1:9">
      <c r="A22" s="285"/>
      <c r="B22" s="280"/>
      <c r="C22" s="280"/>
      <c r="D22" s="280"/>
      <c r="E22" s="362"/>
      <c r="F22" s="362"/>
    </row>
    <row r="23" spans="1:9" ht="27.6">
      <c r="A23" s="282" t="s">
        <v>194</v>
      </c>
      <c r="B23" s="282" t="s">
        <v>195</v>
      </c>
      <c r="C23" s="282"/>
      <c r="D23" s="282" t="s">
        <v>6</v>
      </c>
      <c r="E23" s="282"/>
      <c r="F23" s="284">
        <f>SUM(F24:F43)</f>
        <v>36379189.448534645</v>
      </c>
    </row>
    <row r="24" spans="1:9">
      <c r="A24" s="285"/>
      <c r="B24" s="280" t="s">
        <v>723</v>
      </c>
      <c r="C24" s="280"/>
      <c r="D24" s="280" t="s">
        <v>6</v>
      </c>
      <c r="E24" s="280"/>
      <c r="F24" s="281">
        <f>+C24*E24</f>
        <v>0</v>
      </c>
    </row>
    <row r="25" spans="1:9">
      <c r="A25" s="285"/>
      <c r="B25" s="280" t="s">
        <v>724</v>
      </c>
      <c r="C25" s="361">
        <f>0.65*0.5*0.4*3</f>
        <v>0.39</v>
      </c>
      <c r="D25" s="280" t="s">
        <v>9</v>
      </c>
      <c r="E25" s="362">
        <f>'AN BETON TYPE MAPLE'!F98</f>
        <v>3351583.5194074851</v>
      </c>
      <c r="F25" s="281">
        <f t="shared" ref="F25:F43" si="2">+C25*E25</f>
        <v>1307117.5725689193</v>
      </c>
    </row>
    <row r="26" spans="1:9">
      <c r="A26" s="285"/>
      <c r="B26" s="280" t="s">
        <v>725</v>
      </c>
      <c r="C26" s="361">
        <f>0.5*0.5*0.4*3</f>
        <v>0.30000000000000004</v>
      </c>
      <c r="D26" s="280" t="s">
        <v>9</v>
      </c>
      <c r="E26" s="362">
        <f>'BQ MAPLE POOL ROOFTOP'!E29</f>
        <v>3852484.2317997543</v>
      </c>
      <c r="F26" s="281">
        <f t="shared" si="2"/>
        <v>1155745.2695399264</v>
      </c>
    </row>
    <row r="27" spans="1:9">
      <c r="A27" s="285"/>
      <c r="B27" s="280" t="s">
        <v>726</v>
      </c>
      <c r="C27" s="356">
        <v>0</v>
      </c>
      <c r="D27" s="280" t="s">
        <v>9</v>
      </c>
      <c r="E27" s="356">
        <v>0</v>
      </c>
      <c r="F27" s="281">
        <f t="shared" si="2"/>
        <v>0</v>
      </c>
    </row>
    <row r="28" spans="1:9">
      <c r="A28" s="285"/>
      <c r="B28" s="280" t="s">
        <v>727</v>
      </c>
      <c r="C28" s="361">
        <f>0.2*0.4*10.2</f>
        <v>0.81600000000000006</v>
      </c>
      <c r="D28" s="280" t="s">
        <v>9</v>
      </c>
      <c r="E28" s="362">
        <f>'AN BETON TYPE MAPLE'!F56</f>
        <v>2693848.3026438374</v>
      </c>
      <c r="F28" s="281">
        <f t="shared" si="2"/>
        <v>2198180.2149573714</v>
      </c>
      <c r="H28" s="358"/>
      <c r="I28" s="358"/>
    </row>
    <row r="29" spans="1:9">
      <c r="A29" s="285"/>
      <c r="B29" s="280" t="s">
        <v>728</v>
      </c>
      <c r="C29" s="361">
        <f>0.2*0.4*4</f>
        <v>0.32000000000000006</v>
      </c>
      <c r="D29" s="280" t="s">
        <v>9</v>
      </c>
      <c r="E29" s="362">
        <f>'AN BETON TYPE MAPLE'!F62</f>
        <v>2728051.5995188374</v>
      </c>
      <c r="F29" s="281">
        <f t="shared" si="2"/>
        <v>872976.51184602815</v>
      </c>
    </row>
    <row r="30" spans="1:9">
      <c r="A30" s="285"/>
      <c r="B30" s="280" t="s">
        <v>729</v>
      </c>
      <c r="C30" s="361">
        <f>0.2*0.4*7.5</f>
        <v>0.60000000000000009</v>
      </c>
      <c r="D30" s="280" t="s">
        <v>9</v>
      </c>
      <c r="E30" s="362">
        <f>'AN BETON TYPE MAPLE'!F68</f>
        <v>2815641.7405098281</v>
      </c>
      <c r="F30" s="281">
        <f t="shared" si="2"/>
        <v>1689385.0443058971</v>
      </c>
    </row>
    <row r="31" spans="1:9">
      <c r="A31" s="285"/>
      <c r="B31" s="280" t="s">
        <v>730</v>
      </c>
      <c r="C31" s="361">
        <f>0.3*0.4*2.5</f>
        <v>0.3</v>
      </c>
      <c r="D31" s="280" t="s">
        <v>9</v>
      </c>
      <c r="E31" s="362">
        <f>'AN BETON TYPE MAPLE'!F74</f>
        <v>2634446.2167280922</v>
      </c>
      <c r="F31" s="281">
        <f t="shared" si="2"/>
        <v>790333.8650184276</v>
      </c>
    </row>
    <row r="32" spans="1:9">
      <c r="A32" s="285"/>
      <c r="B32" s="280" t="s">
        <v>731</v>
      </c>
      <c r="C32" s="356">
        <v>0</v>
      </c>
      <c r="D32" s="280" t="s">
        <v>9</v>
      </c>
      <c r="E32" s="359">
        <v>0</v>
      </c>
      <c r="F32" s="281">
        <f t="shared" si="2"/>
        <v>0</v>
      </c>
    </row>
    <row r="33" spans="1:6">
      <c r="A33" s="285"/>
      <c r="B33" s="280" t="s">
        <v>732</v>
      </c>
      <c r="C33" s="356">
        <v>0</v>
      </c>
      <c r="D33" s="280" t="s">
        <v>9</v>
      </c>
      <c r="E33" s="359">
        <v>0</v>
      </c>
      <c r="F33" s="281">
        <f t="shared" si="2"/>
        <v>0</v>
      </c>
    </row>
    <row r="34" spans="1:6">
      <c r="A34" s="285"/>
      <c r="B34" s="280" t="s">
        <v>733</v>
      </c>
      <c r="C34" s="361">
        <f>7.2*2.6*0.15</f>
        <v>2.8080000000000003</v>
      </c>
      <c r="D34" s="280" t="s">
        <v>9</v>
      </c>
      <c r="E34" s="362">
        <f>'AN BETON TYPE MAPLE'!F391</f>
        <v>3283642.9891957412</v>
      </c>
      <c r="F34" s="281">
        <f t="shared" si="2"/>
        <v>9220469.5136616416</v>
      </c>
    </row>
    <row r="35" spans="1:6">
      <c r="A35" s="285"/>
      <c r="B35" s="280" t="s">
        <v>734</v>
      </c>
      <c r="C35" s="361">
        <f>19.6*1.3*0.15</f>
        <v>3.8220000000000005</v>
      </c>
      <c r="D35" s="280" t="s">
        <v>9</v>
      </c>
      <c r="E35" s="362">
        <f>'AN BETON TYPE MAPLE'!F397</f>
        <v>3888145.90368878</v>
      </c>
      <c r="F35" s="281">
        <f t="shared" si="2"/>
        <v>14860493.643898519</v>
      </c>
    </row>
    <row r="36" spans="1:6" ht="27.6">
      <c r="A36" s="285"/>
      <c r="B36" s="280" t="s">
        <v>735</v>
      </c>
      <c r="C36" s="356">
        <v>0</v>
      </c>
      <c r="D36" s="280" t="s">
        <v>9</v>
      </c>
      <c r="E36" s="356">
        <v>0</v>
      </c>
      <c r="F36" s="281">
        <f t="shared" si="2"/>
        <v>0</v>
      </c>
    </row>
    <row r="37" spans="1:6">
      <c r="A37" s="285"/>
      <c r="B37" s="280" t="s">
        <v>736</v>
      </c>
      <c r="C37" s="361">
        <v>6</v>
      </c>
      <c r="D37" s="280" t="s">
        <v>10</v>
      </c>
      <c r="E37" s="362">
        <f>'BQ MAPLE POOL ROOFTOP'!E22</f>
        <v>20000</v>
      </c>
      <c r="F37" s="281">
        <f t="shared" si="2"/>
        <v>120000</v>
      </c>
    </row>
    <row r="38" spans="1:6">
      <c r="A38" s="285"/>
      <c r="B38" s="280" t="s">
        <v>737</v>
      </c>
      <c r="C38" s="361">
        <f>7.2*2.6*0.05</f>
        <v>0.93600000000000017</v>
      </c>
      <c r="D38" s="280" t="s">
        <v>9</v>
      </c>
      <c r="E38" s="362">
        <f>'BQ MAPLE POOL ROOFTOP'!E39</f>
        <v>804190.63636363635</v>
      </c>
      <c r="F38" s="281">
        <f t="shared" si="2"/>
        <v>752722.43563636381</v>
      </c>
    </row>
    <row r="39" spans="1:6">
      <c r="A39" s="285"/>
      <c r="B39" s="280" t="s">
        <v>738</v>
      </c>
      <c r="C39" s="361">
        <f>(0.65*0.5*3+0.5*0.5*3+0.2*24)*0.05</f>
        <v>0.32625000000000004</v>
      </c>
      <c r="D39" s="280" t="s">
        <v>9</v>
      </c>
      <c r="E39" s="362">
        <f>E38</f>
        <v>804190.63636363635</v>
      </c>
      <c r="F39" s="281">
        <f t="shared" si="2"/>
        <v>262367.19511363638</v>
      </c>
    </row>
    <row r="40" spans="1:6" ht="27.6">
      <c r="A40" s="285"/>
      <c r="B40" s="280" t="s">
        <v>739</v>
      </c>
      <c r="C40" s="361">
        <f>5.4*1*0.15</f>
        <v>0.81</v>
      </c>
      <c r="D40" s="280" t="s">
        <v>9</v>
      </c>
      <c r="E40" s="362">
        <f>E35</f>
        <v>3888145.90368878</v>
      </c>
      <c r="F40" s="281">
        <f t="shared" si="2"/>
        <v>3149398.1819879119</v>
      </c>
    </row>
    <row r="41" spans="1:6">
      <c r="A41" s="285"/>
      <c r="B41" s="286" t="s">
        <v>397</v>
      </c>
      <c r="C41" s="280"/>
      <c r="D41" s="280"/>
      <c r="E41" s="281"/>
      <c r="F41" s="281">
        <f t="shared" si="2"/>
        <v>0</v>
      </c>
    </row>
    <row r="42" spans="1:6">
      <c r="A42" s="285"/>
      <c r="B42" s="286" t="s">
        <v>398</v>
      </c>
      <c r="C42" s="280"/>
      <c r="D42" s="280"/>
      <c r="E42" s="281"/>
      <c r="F42" s="281">
        <f t="shared" si="2"/>
        <v>0</v>
      </c>
    </row>
    <row r="43" spans="1:6">
      <c r="A43" s="285"/>
      <c r="B43" s="286" t="s">
        <v>399</v>
      </c>
      <c r="C43" s="280"/>
      <c r="D43" s="280"/>
      <c r="E43" s="281"/>
      <c r="F43" s="281">
        <f t="shared" si="2"/>
        <v>0</v>
      </c>
    </row>
    <row r="44" spans="1:6">
      <c r="A44" s="285"/>
      <c r="B44" s="280"/>
      <c r="C44" s="280"/>
      <c r="D44" s="280"/>
      <c r="E44" s="362"/>
      <c r="F44" s="362"/>
    </row>
    <row r="45" spans="1:6" ht="27.6">
      <c r="A45" s="282" t="s">
        <v>740</v>
      </c>
      <c r="B45" s="282" t="s">
        <v>741</v>
      </c>
      <c r="C45" s="282"/>
      <c r="D45" s="282" t="s">
        <v>6</v>
      </c>
      <c r="E45" s="282"/>
      <c r="F45" s="284">
        <f>SUM(F46:F57)</f>
        <v>61161736.218728334</v>
      </c>
    </row>
    <row r="46" spans="1:6">
      <c r="A46" s="285"/>
      <c r="B46" s="280" t="s">
        <v>742</v>
      </c>
      <c r="C46" s="280"/>
      <c r="D46" s="280" t="s">
        <v>6</v>
      </c>
      <c r="E46" s="280"/>
      <c r="F46" s="281">
        <f>+C46*E46</f>
        <v>0</v>
      </c>
    </row>
    <row r="47" spans="1:6" ht="27.6">
      <c r="A47" s="285"/>
      <c r="B47" s="280" t="s">
        <v>743</v>
      </c>
      <c r="C47" s="280">
        <f>7.2*2.6+19.6*1.35</f>
        <v>45.180000000000007</v>
      </c>
      <c r="D47" s="280" t="s">
        <v>5</v>
      </c>
      <c r="E47" s="362">
        <f>650000*1.1+140000+65000</f>
        <v>920000</v>
      </c>
      <c r="F47" s="281">
        <f t="shared" ref="F47:F57" si="3">+C47*E47</f>
        <v>41565600.000000007</v>
      </c>
    </row>
    <row r="48" spans="1:6">
      <c r="A48" s="285"/>
      <c r="B48" s="280" t="s">
        <v>744</v>
      </c>
      <c r="C48" s="280">
        <f>C47</f>
        <v>45.180000000000007</v>
      </c>
      <c r="D48" s="280" t="s">
        <v>5</v>
      </c>
      <c r="E48" s="362">
        <f>193800/2+15000</f>
        <v>111900</v>
      </c>
      <c r="F48" s="281">
        <f t="shared" si="3"/>
        <v>5055642.0000000009</v>
      </c>
    </row>
    <row r="49" spans="1:6" ht="27.6">
      <c r="A49" s="285"/>
      <c r="B49" s="280" t="s">
        <v>745</v>
      </c>
      <c r="C49" s="361">
        <f>7*2.5</f>
        <v>17.5</v>
      </c>
      <c r="D49" s="280" t="s">
        <v>5</v>
      </c>
      <c r="E49" s="362">
        <f>63000/4+15000+20000</f>
        <v>50750</v>
      </c>
      <c r="F49" s="281">
        <f t="shared" si="3"/>
        <v>888125</v>
      </c>
    </row>
    <row r="50" spans="1:6" ht="27.6">
      <c r="A50" s="285"/>
      <c r="B50" s="280" t="s">
        <v>746</v>
      </c>
      <c r="C50" s="280">
        <f>19*1.25</f>
        <v>23.75</v>
      </c>
      <c r="D50" s="280" t="s">
        <v>5</v>
      </c>
      <c r="E50" s="362">
        <f>80000+Analisa!F109</f>
        <v>136880</v>
      </c>
      <c r="F50" s="281">
        <f t="shared" si="3"/>
        <v>3250900</v>
      </c>
    </row>
    <row r="51" spans="1:6">
      <c r="A51" s="285"/>
      <c r="B51" s="280" t="s">
        <v>747</v>
      </c>
      <c r="C51" s="280">
        <f>C48</f>
        <v>45.180000000000007</v>
      </c>
      <c r="D51" s="280" t="s">
        <v>5</v>
      </c>
      <c r="E51" s="362">
        <v>81000</v>
      </c>
      <c r="F51" s="281">
        <f t="shared" si="3"/>
        <v>3659580.0000000005</v>
      </c>
    </row>
    <row r="52" spans="1:6" ht="27.6">
      <c r="A52" s="285"/>
      <c r="B52" s="280" t="s">
        <v>748</v>
      </c>
      <c r="C52" s="356">
        <v>0</v>
      </c>
      <c r="D52" s="280" t="s">
        <v>5</v>
      </c>
      <c r="E52" s="359">
        <v>0</v>
      </c>
      <c r="F52" s="281">
        <f t="shared" si="3"/>
        <v>0</v>
      </c>
    </row>
    <row r="53" spans="1:6">
      <c r="A53" s="285"/>
      <c r="B53" s="280" t="s">
        <v>749</v>
      </c>
      <c r="C53" s="361">
        <v>5</v>
      </c>
      <c r="D53" s="280" t="s">
        <v>204</v>
      </c>
      <c r="E53" s="362">
        <v>1250000</v>
      </c>
      <c r="F53" s="281">
        <f t="shared" si="3"/>
        <v>6250000</v>
      </c>
    </row>
    <row r="54" spans="1:6" ht="27.6">
      <c r="A54" s="285"/>
      <c r="B54" s="280" t="s">
        <v>750</v>
      </c>
      <c r="C54" s="361">
        <f>12*0.2</f>
        <v>2.4000000000000004</v>
      </c>
      <c r="D54" s="280" t="s">
        <v>5</v>
      </c>
      <c r="E54" s="362">
        <f>'BQ MAPLE'!E190</f>
        <v>204953.84113680155</v>
      </c>
      <c r="F54" s="281">
        <f t="shared" si="3"/>
        <v>491889.21872832382</v>
      </c>
    </row>
    <row r="55" spans="1:6">
      <c r="A55" s="285"/>
      <c r="B55" s="286" t="s">
        <v>397</v>
      </c>
      <c r="C55" s="280"/>
      <c r="D55" s="280"/>
      <c r="E55" s="281"/>
      <c r="F55" s="281">
        <f t="shared" si="3"/>
        <v>0</v>
      </c>
    </row>
    <row r="56" spans="1:6">
      <c r="A56" s="285"/>
      <c r="B56" s="286" t="s">
        <v>398</v>
      </c>
      <c r="C56" s="280"/>
      <c r="D56" s="280"/>
      <c r="E56" s="372"/>
      <c r="F56" s="281">
        <f t="shared" si="3"/>
        <v>0</v>
      </c>
    </row>
    <row r="57" spans="1:6">
      <c r="A57" s="285"/>
      <c r="B57" s="286" t="s">
        <v>399</v>
      </c>
      <c r="C57" s="280"/>
      <c r="D57" s="280"/>
      <c r="E57" s="281"/>
      <c r="F57" s="281">
        <f t="shared" si="3"/>
        <v>0</v>
      </c>
    </row>
    <row r="58" spans="1:6">
      <c r="A58" s="285"/>
      <c r="B58" s="280"/>
      <c r="C58" s="280"/>
      <c r="D58" s="280"/>
      <c r="E58" s="362"/>
      <c r="F58" s="362"/>
    </row>
    <row r="59" spans="1:6" ht="27.6">
      <c r="A59" s="282" t="s">
        <v>219</v>
      </c>
      <c r="B59" s="282" t="s">
        <v>220</v>
      </c>
      <c r="C59" s="282"/>
      <c r="D59" s="282" t="s">
        <v>6</v>
      </c>
      <c r="E59" s="282"/>
      <c r="F59" s="363">
        <f>SUM(F60:F65)</f>
        <v>1760557.5749999997</v>
      </c>
    </row>
    <row r="60" spans="1:6">
      <c r="A60" s="285"/>
      <c r="B60" s="280" t="s">
        <v>751</v>
      </c>
      <c r="C60" s="280"/>
      <c r="D60" s="280" t="s">
        <v>6</v>
      </c>
      <c r="E60" s="280"/>
      <c r="F60" s="281">
        <f t="shared" ref="F60:F62" si="4">+C60*E60</f>
        <v>0</v>
      </c>
    </row>
    <row r="61" spans="1:6" ht="27.6">
      <c r="A61" s="285"/>
      <c r="B61" s="280" t="s">
        <v>214</v>
      </c>
      <c r="C61" s="280">
        <f>7.6*1.05</f>
        <v>7.9799999999999995</v>
      </c>
      <c r="D61" s="280" t="s">
        <v>5</v>
      </c>
      <c r="E61" s="362">
        <f>'BQ MAPLE POOL ROOFTOP'!E259</f>
        <v>106861.25</v>
      </c>
      <c r="F61" s="281">
        <f t="shared" si="4"/>
        <v>852752.77499999991</v>
      </c>
    </row>
    <row r="62" spans="1:6">
      <c r="A62" s="285"/>
      <c r="B62" s="280" t="s">
        <v>215</v>
      </c>
      <c r="C62" s="280">
        <f>C61*2</f>
        <v>15.959999999999999</v>
      </c>
      <c r="D62" s="280" t="s">
        <v>5</v>
      </c>
      <c r="E62" s="362">
        <f>'BQ MAPLE POOL ROOFTOP'!E260</f>
        <v>56880</v>
      </c>
      <c r="F62" s="281">
        <f t="shared" si="4"/>
        <v>907804.79999999993</v>
      </c>
    </row>
    <row r="63" spans="1:6">
      <c r="A63" s="285"/>
      <c r="B63" s="286" t="s">
        <v>397</v>
      </c>
      <c r="C63" s="280"/>
      <c r="D63" s="280"/>
      <c r="E63" s="281"/>
      <c r="F63" s="281">
        <f>+C63*E63</f>
        <v>0</v>
      </c>
    </row>
    <row r="64" spans="1:6">
      <c r="A64" s="285"/>
      <c r="B64" s="286" t="s">
        <v>398</v>
      </c>
      <c r="C64" s="280"/>
      <c r="D64" s="280"/>
      <c r="E64" s="281"/>
      <c r="F64" s="281">
        <f t="shared" ref="F64" si="5">+C64*E64</f>
        <v>0</v>
      </c>
    </row>
    <row r="65" spans="1:6">
      <c r="A65" s="285"/>
      <c r="B65" s="286" t="s">
        <v>399</v>
      </c>
      <c r="C65" s="280"/>
      <c r="D65" s="280"/>
      <c r="E65" s="281"/>
      <c r="F65" s="281">
        <f>+C65*E65</f>
        <v>0</v>
      </c>
    </row>
    <row r="66" spans="1:6">
      <c r="A66" s="285"/>
      <c r="B66" s="280"/>
      <c r="C66" s="280"/>
      <c r="D66" s="280"/>
      <c r="E66" s="362"/>
      <c r="F66" s="362"/>
    </row>
    <row r="67" spans="1:6" ht="27.6">
      <c r="A67" s="282" t="s">
        <v>37</v>
      </c>
      <c r="B67" s="282" t="s">
        <v>267</v>
      </c>
      <c r="C67" s="282"/>
      <c r="D67" s="282" t="s">
        <v>6</v>
      </c>
      <c r="E67" s="282"/>
      <c r="F67" s="363">
        <f>SUM(F68:F82)</f>
        <v>51346500</v>
      </c>
    </row>
    <row r="68" spans="1:6">
      <c r="A68" s="285"/>
      <c r="B68" s="280" t="s">
        <v>752</v>
      </c>
      <c r="C68" s="280"/>
      <c r="D68" s="280" t="s">
        <v>6</v>
      </c>
      <c r="E68" s="280"/>
      <c r="F68" s="281">
        <f>+C68*E68</f>
        <v>0</v>
      </c>
    </row>
    <row r="69" spans="1:6" ht="27.6">
      <c r="A69" s="285"/>
      <c r="B69" s="280" t="s">
        <v>753</v>
      </c>
      <c r="C69" s="280">
        <v>1</v>
      </c>
      <c r="D69" s="280" t="s">
        <v>7</v>
      </c>
      <c r="E69" s="362">
        <v>6046500</v>
      </c>
      <c r="F69" s="281">
        <f t="shared" ref="F69:F82" si="6">+C69*E69</f>
        <v>6046500</v>
      </c>
    </row>
    <row r="70" spans="1:6">
      <c r="A70" s="285"/>
      <c r="B70" s="280" t="s">
        <v>754</v>
      </c>
      <c r="C70" s="280">
        <v>2</v>
      </c>
      <c r="D70" s="280" t="s">
        <v>7</v>
      </c>
      <c r="E70" s="362">
        <v>2100000</v>
      </c>
      <c r="F70" s="281">
        <f t="shared" si="6"/>
        <v>4200000</v>
      </c>
    </row>
    <row r="71" spans="1:6" ht="41.4">
      <c r="A71" s="285"/>
      <c r="B71" s="280" t="s">
        <v>755</v>
      </c>
      <c r="C71" s="280">
        <v>1</v>
      </c>
      <c r="D71" s="280" t="s">
        <v>6</v>
      </c>
      <c r="E71" s="362">
        <v>20000000</v>
      </c>
      <c r="F71" s="281">
        <f t="shared" si="6"/>
        <v>20000000</v>
      </c>
    </row>
    <row r="72" spans="1:6">
      <c r="A72" s="285"/>
      <c r="B72" s="280" t="s">
        <v>756</v>
      </c>
      <c r="C72" s="280">
        <v>1</v>
      </c>
      <c r="D72" s="280" t="s">
        <v>7</v>
      </c>
      <c r="E72" s="362">
        <v>500000</v>
      </c>
      <c r="F72" s="281">
        <f t="shared" si="6"/>
        <v>500000</v>
      </c>
    </row>
    <row r="73" spans="1:6">
      <c r="A73" s="285"/>
      <c r="B73" s="280" t="s">
        <v>757</v>
      </c>
      <c r="C73" s="280">
        <v>1</v>
      </c>
      <c r="D73" s="280" t="s">
        <v>7</v>
      </c>
      <c r="E73" s="362">
        <v>8500000</v>
      </c>
      <c r="F73" s="281">
        <f t="shared" si="6"/>
        <v>8500000</v>
      </c>
    </row>
    <row r="74" spans="1:6">
      <c r="A74" s="285"/>
      <c r="B74" s="280" t="s">
        <v>758</v>
      </c>
      <c r="C74" s="280">
        <v>4</v>
      </c>
      <c r="D74" s="280" t="s">
        <v>7</v>
      </c>
      <c r="E74" s="362">
        <v>350000</v>
      </c>
      <c r="F74" s="281">
        <f t="shared" si="6"/>
        <v>1400000</v>
      </c>
    </row>
    <row r="75" spans="1:6" ht="27.6">
      <c r="A75" s="285"/>
      <c r="B75" s="280" t="s">
        <v>759</v>
      </c>
      <c r="C75" s="280">
        <v>5</v>
      </c>
      <c r="D75" s="280" t="s">
        <v>7</v>
      </c>
      <c r="E75" s="362">
        <v>340000</v>
      </c>
      <c r="F75" s="281">
        <f t="shared" si="6"/>
        <v>1700000</v>
      </c>
    </row>
    <row r="76" spans="1:6">
      <c r="A76" s="285"/>
      <c r="B76" s="280" t="s">
        <v>760</v>
      </c>
      <c r="C76" s="280">
        <v>1</v>
      </c>
      <c r="D76" s="280" t="s">
        <v>6</v>
      </c>
      <c r="E76" s="362">
        <v>5000000</v>
      </c>
      <c r="F76" s="281">
        <f t="shared" si="6"/>
        <v>5000000</v>
      </c>
    </row>
    <row r="77" spans="1:6">
      <c r="A77" s="285"/>
      <c r="B77" s="280" t="s">
        <v>761</v>
      </c>
      <c r="C77" s="280">
        <v>1</v>
      </c>
      <c r="D77" s="280" t="s">
        <v>7</v>
      </c>
      <c r="E77" s="362">
        <v>1000000</v>
      </c>
      <c r="F77" s="281">
        <f t="shared" si="6"/>
        <v>1000000</v>
      </c>
    </row>
    <row r="78" spans="1:6">
      <c r="A78" s="285"/>
      <c r="B78" s="280" t="s">
        <v>762</v>
      </c>
      <c r="C78" s="280">
        <v>3</v>
      </c>
      <c r="D78" s="280" t="s">
        <v>204</v>
      </c>
      <c r="E78" s="362">
        <v>1000000</v>
      </c>
      <c r="F78" s="281">
        <f t="shared" si="6"/>
        <v>3000000</v>
      </c>
    </row>
    <row r="79" spans="1:6">
      <c r="A79" s="285"/>
      <c r="B79" s="280" t="s">
        <v>763</v>
      </c>
      <c r="C79" s="356">
        <v>0</v>
      </c>
      <c r="D79" s="280" t="s">
        <v>6</v>
      </c>
      <c r="E79" s="356">
        <v>0</v>
      </c>
      <c r="F79" s="281">
        <f t="shared" si="6"/>
        <v>0</v>
      </c>
    </row>
    <row r="80" spans="1:6">
      <c r="A80" s="285"/>
      <c r="B80" s="286" t="s">
        <v>397</v>
      </c>
      <c r="C80" s="280"/>
      <c r="D80" s="280"/>
      <c r="E80" s="281"/>
      <c r="F80" s="281">
        <f t="shared" si="6"/>
        <v>0</v>
      </c>
    </row>
    <row r="81" spans="1:8">
      <c r="A81" s="285"/>
      <c r="B81" s="286" t="s">
        <v>398</v>
      </c>
      <c r="C81" s="280"/>
      <c r="D81" s="280"/>
      <c r="E81" s="281"/>
      <c r="F81" s="281">
        <f>+C81*E81</f>
        <v>0</v>
      </c>
    </row>
    <row r="82" spans="1:8">
      <c r="A82" s="285"/>
      <c r="B82" s="286" t="s">
        <v>399</v>
      </c>
      <c r="C82" s="280"/>
      <c r="D82" s="280"/>
      <c r="E82" s="281"/>
      <c r="F82" s="281">
        <f t="shared" si="6"/>
        <v>0</v>
      </c>
    </row>
    <row r="83" spans="1:8">
      <c r="A83" s="285"/>
      <c r="B83" s="280"/>
      <c r="C83" s="280"/>
      <c r="D83" s="280"/>
      <c r="E83" s="362"/>
      <c r="F83" s="362"/>
    </row>
    <row r="84" spans="1:8" ht="27.6">
      <c r="A84" s="282" t="s">
        <v>273</v>
      </c>
      <c r="B84" s="282" t="s">
        <v>274</v>
      </c>
      <c r="C84" s="282"/>
      <c r="D84" s="282" t="s">
        <v>6</v>
      </c>
      <c r="E84" s="282"/>
      <c r="F84" s="363">
        <f>SUM(F85:F94)</f>
        <v>48025000</v>
      </c>
    </row>
    <row r="85" spans="1:8" ht="27.6">
      <c r="A85" s="285"/>
      <c r="B85" s="280" t="s">
        <v>764</v>
      </c>
      <c r="C85" s="280"/>
      <c r="D85" s="280" t="s">
        <v>6</v>
      </c>
      <c r="E85" s="280"/>
      <c r="F85" s="281">
        <f t="shared" ref="F85:F94" si="7">+C85*E85</f>
        <v>0</v>
      </c>
    </row>
    <row r="86" spans="1:8" ht="27.6">
      <c r="A86" s="285"/>
      <c r="B86" s="280" t="s">
        <v>765</v>
      </c>
      <c r="C86" s="280">
        <v>3</v>
      </c>
      <c r="D86" s="280" t="s">
        <v>7</v>
      </c>
      <c r="E86" s="362">
        <v>2250000</v>
      </c>
      <c r="F86" s="281">
        <f t="shared" si="7"/>
        <v>6750000</v>
      </c>
    </row>
    <row r="87" spans="1:8">
      <c r="A87" s="285"/>
      <c r="B87" s="280" t="s">
        <v>766</v>
      </c>
      <c r="C87" s="280">
        <v>1</v>
      </c>
      <c r="D87" s="280" t="s">
        <v>6</v>
      </c>
      <c r="E87" s="362">
        <f>2000000</f>
        <v>2000000</v>
      </c>
      <c r="F87" s="281">
        <f t="shared" si="7"/>
        <v>2000000</v>
      </c>
    </row>
    <row r="88" spans="1:8">
      <c r="A88" s="285"/>
      <c r="B88" s="280" t="s">
        <v>767</v>
      </c>
      <c r="C88" s="280">
        <v>1</v>
      </c>
      <c r="D88" s="280" t="s">
        <v>6</v>
      </c>
      <c r="E88" s="362">
        <f>3500000</f>
        <v>3500000</v>
      </c>
      <c r="F88" s="281">
        <f t="shared" si="7"/>
        <v>3500000</v>
      </c>
    </row>
    <row r="89" spans="1:8" ht="27.6">
      <c r="A89" s="285"/>
      <c r="B89" s="280" t="s">
        <v>768</v>
      </c>
      <c r="C89" s="280">
        <v>1</v>
      </c>
      <c r="D89" s="280" t="s">
        <v>6</v>
      </c>
      <c r="E89" s="362">
        <v>12000000</v>
      </c>
      <c r="F89" s="281">
        <f t="shared" si="7"/>
        <v>12000000</v>
      </c>
    </row>
    <row r="90" spans="1:8">
      <c r="A90" s="285"/>
      <c r="B90" s="280" t="s">
        <v>649</v>
      </c>
      <c r="C90" s="280">
        <v>1</v>
      </c>
      <c r="D90" s="280" t="s">
        <v>6</v>
      </c>
      <c r="E90" s="362">
        <v>17500000</v>
      </c>
      <c r="F90" s="281">
        <f t="shared" si="7"/>
        <v>17500000</v>
      </c>
    </row>
    <row r="91" spans="1:8">
      <c r="A91" s="285"/>
      <c r="B91" s="286" t="s">
        <v>397</v>
      </c>
      <c r="C91" s="280"/>
      <c r="D91" s="280"/>
      <c r="E91" s="281"/>
      <c r="F91" s="281">
        <f t="shared" si="7"/>
        <v>0</v>
      </c>
    </row>
    <row r="92" spans="1:8">
      <c r="A92" s="285"/>
      <c r="B92" s="286" t="s">
        <v>846</v>
      </c>
      <c r="C92" s="280">
        <v>3</v>
      </c>
      <c r="D92" s="280" t="s">
        <v>10</v>
      </c>
      <c r="E92" s="281">
        <v>425000</v>
      </c>
      <c r="F92" s="281">
        <f t="shared" si="7"/>
        <v>1275000</v>
      </c>
    </row>
    <row r="93" spans="1:8">
      <c r="A93" s="285"/>
      <c r="B93" s="286" t="s">
        <v>847</v>
      </c>
      <c r="C93" s="280">
        <v>1</v>
      </c>
      <c r="D93" s="280" t="s">
        <v>159</v>
      </c>
      <c r="E93" s="281">
        <v>4650000</v>
      </c>
      <c r="F93" s="281">
        <f t="shared" si="7"/>
        <v>4650000</v>
      </c>
    </row>
    <row r="94" spans="1:8">
      <c r="A94" s="285"/>
      <c r="B94" s="286" t="s">
        <v>848</v>
      </c>
      <c r="C94" s="280">
        <v>1</v>
      </c>
      <c r="D94" s="280" t="s">
        <v>802</v>
      </c>
      <c r="E94" s="281">
        <v>350000</v>
      </c>
      <c r="F94" s="281">
        <f t="shared" si="7"/>
        <v>350000</v>
      </c>
    </row>
    <row r="95" spans="1:8">
      <c r="E95" s="287" t="s">
        <v>650</v>
      </c>
      <c r="F95" s="446">
        <f>SUM(F2:F94)/2</f>
        <v>215017910.74226296</v>
      </c>
      <c r="H95" s="429">
        <v>215000000</v>
      </c>
    </row>
    <row r="96" spans="1:8" ht="15.6">
      <c r="E96" s="397" t="s">
        <v>881</v>
      </c>
      <c r="F96" s="445">
        <f>ROUNDDOWN(F95,-5)</f>
        <v>215000000</v>
      </c>
    </row>
    <row r="98" spans="6:6">
      <c r="F98" s="358"/>
    </row>
  </sheetData>
  <pageMargins left="0.75" right="0.75" top="1" bottom="1" header="0.5" footer="0.5"/>
  <pageSetup paperSize="9" scale="90" orientation="portrait" horizontalDpi="12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REKAP MAPLE</vt:lpstr>
      <vt:lpstr>REKAP MAPLE POOL</vt:lpstr>
      <vt:lpstr>REKAP MAPLE ROOFTOP</vt:lpstr>
      <vt:lpstr>REKAP MAPLE POOL ROOF</vt:lpstr>
      <vt:lpstr>BQ MAPLE</vt:lpstr>
      <vt:lpstr>BQ MAPLE POOL</vt:lpstr>
      <vt:lpstr>BQ MAPLE ROOFTOP</vt:lpstr>
      <vt:lpstr>BQ MAPLE POOL ROOFTOP</vt:lpstr>
      <vt:lpstr>POOL</vt:lpstr>
      <vt:lpstr>Analisa</vt:lpstr>
      <vt:lpstr>AN BETON TYPE MAPLE</vt:lpstr>
      <vt:lpstr>AN KUSEN MAPLE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cp.ishak</dc:creator>
  <cp:lastModifiedBy>Andrew Tirtawardhana</cp:lastModifiedBy>
  <cp:lastPrinted>2024-07-24T06:59:44Z</cp:lastPrinted>
  <dcterms:created xsi:type="dcterms:W3CDTF">2022-03-04T10:25:50Z</dcterms:created>
  <dcterms:modified xsi:type="dcterms:W3CDTF">2024-12-29T14:55:47Z</dcterms:modified>
</cp:coreProperties>
</file>