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elliotl/Box Sync/ICTV/MSL 2015/"/>
    </mc:Choice>
  </mc:AlternateContent>
  <bookViews>
    <workbookView xWindow="3000" yWindow="860" windowWidth="39540" windowHeight="25440" activeTab="2"/>
  </bookViews>
  <sheets>
    <sheet name="Version" sheetId="2" r:id="rId1"/>
    <sheet name="Column Definitions" sheetId="3" r:id="rId2"/>
    <sheet name="ICTV 2015 Master Species #30" sheetId="1" r:id="rId3"/>
  </sheets>
  <definedNames>
    <definedName name="_xlnm._FilterDatabase" localSheetId="2" hidden="1">'ICTV 2015 Master Species #30'!$A$1:$M$3705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2">'ICTV 2015 Master Species #30'!$1:$1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E4" i="2"/>
</calcChain>
</file>

<file path=xl/sharedStrings.xml><?xml version="1.0" encoding="utf-8"?>
<sst xmlns="http://schemas.openxmlformats.org/spreadsheetml/2006/main" count="29925" uniqueCount="8023">
  <si>
    <t>Deltacoronavirus</t>
  </si>
  <si>
    <t>Bulbul coronavirus HKU11</t>
  </si>
  <si>
    <t>Thrush coronavirus HKU12</t>
  </si>
  <si>
    <t>Mud crab virus</t>
  </si>
  <si>
    <t>Slow bee paralysis virus</t>
  </si>
  <si>
    <t>Bovine rhinitis A virus</t>
  </si>
  <si>
    <t>Melon mild mottle virus</t>
  </si>
  <si>
    <t>Bacillarnavirus</t>
  </si>
  <si>
    <t>Chaetoceros tenuissimus RNA virus 01</t>
  </si>
  <si>
    <t>Rhizosolenia setigera RNA virus 01</t>
  </si>
  <si>
    <t>Labyrnavirus</t>
  </si>
  <si>
    <t>Aurantiochytrium single-stranded RNA virus 01</t>
  </si>
  <si>
    <t>Tepovirus</t>
  </si>
  <si>
    <t>Bombyx mori latent virus</t>
  </si>
  <si>
    <t>Poinsettia mosaic virus</t>
  </si>
  <si>
    <t>Blackberry virus S</t>
  </si>
  <si>
    <t>Grapevine Syrah virus 1</t>
  </si>
  <si>
    <t>Olive latent virus 3</t>
  </si>
  <si>
    <t>Chiltepin yellow mosaic virus</t>
  </si>
  <si>
    <t>Alphatetraviridae</t>
  </si>
  <si>
    <t>Alvernaviridae</t>
  </si>
  <si>
    <t>Dinornavirus</t>
  </si>
  <si>
    <t>Heterocapsa circularisquama RNA virus 01</t>
  </si>
  <si>
    <t>Torque teno mini virus 10</t>
  </si>
  <si>
    <t>Torque teno mini virus 11</t>
  </si>
  <si>
    <t>Torque teno mini virus 12</t>
  </si>
  <si>
    <t>Torque teno felis virus 2</t>
  </si>
  <si>
    <t>Torque teno midi virus 10</t>
  </si>
  <si>
    <t>Torque teno midi virus 11</t>
  </si>
  <si>
    <t>Torque teno midi virus 12</t>
  </si>
  <si>
    <t>Torque teno midi virus 13</t>
  </si>
  <si>
    <t>Torque teno midi virus 14</t>
  </si>
  <si>
    <t>Torque teno midi virus 15</t>
  </si>
  <si>
    <t>Torque teno midi virus 3</t>
  </si>
  <si>
    <t>Torque teno midi virus 4</t>
  </si>
  <si>
    <t>Torque teno midi virus 5</t>
  </si>
  <si>
    <t>Torque teno midi virus 6</t>
  </si>
  <si>
    <t>Torque teno midi virus 7</t>
  </si>
  <si>
    <t>Torque teno midi virus 8</t>
  </si>
  <si>
    <t>Torque teno midi virus 9</t>
  </si>
  <si>
    <t>Torque teno sus virus 1a</t>
  </si>
  <si>
    <t>Torque teno sus virus 1b</t>
  </si>
  <si>
    <t>Kappatorquevirus</t>
  </si>
  <si>
    <t>Lambdatorquevirus</t>
  </si>
  <si>
    <t>Torque teno zalophus virus 1</t>
  </si>
  <si>
    <t>Avastrovirus 1</t>
  </si>
  <si>
    <t>Avastrovirus 2</t>
  </si>
  <si>
    <t>Avastrovirus 3</t>
  </si>
  <si>
    <t>Mamastrovirus 1</t>
  </si>
  <si>
    <t>Mamastrovirus 10</t>
  </si>
  <si>
    <t>Mamastrovirus 11</t>
  </si>
  <si>
    <t>Mamastrovirus 12</t>
  </si>
  <si>
    <t>Mamastrovirus 13</t>
  </si>
  <si>
    <t>Mamastrovirus 14</t>
  </si>
  <si>
    <t>Mamastrovirus 15</t>
  </si>
  <si>
    <t>Mamastrovirus 16</t>
  </si>
  <si>
    <t>Mamastrovirus 17</t>
  </si>
  <si>
    <t>Mamastrovirus 18</t>
  </si>
  <si>
    <t>Mamastrovirus 19</t>
  </si>
  <si>
    <t>Mamastrovirus 2</t>
  </si>
  <si>
    <t>Mamastrovirus 3</t>
  </si>
  <si>
    <t>Mamastrovirus 4</t>
  </si>
  <si>
    <t>Mamastrovirus 5</t>
  </si>
  <si>
    <t>Mamastrovirus 6</t>
  </si>
  <si>
    <t>Mamastrovirus 7</t>
  </si>
  <si>
    <t>Mamastrovirus 8</t>
  </si>
  <si>
    <t>Mamastrovirus 9</t>
  </si>
  <si>
    <t>Bidnaviridae</t>
  </si>
  <si>
    <t>Bidensovirus</t>
  </si>
  <si>
    <t>Bombyx mori bidensovirus</t>
  </si>
  <si>
    <t>Gayfeather mild mottle virus</t>
  </si>
  <si>
    <t>Blackberry chlorotic ringspot virus</t>
  </si>
  <si>
    <t>Lilac leaf chlorosis virus</t>
  </si>
  <si>
    <t>Strawberry necrotic shock virus</t>
  </si>
  <si>
    <t>Carmotetraviridae</t>
  </si>
  <si>
    <t>Alphacarmotetravirus</t>
  </si>
  <si>
    <t>Banana streak VN virus</t>
  </si>
  <si>
    <t>Bougainvillea chlorotic vein banding virus</t>
  </si>
  <si>
    <t>Citrus yellow mosaic virus</t>
  </si>
  <si>
    <t>Dioscorea bacilliform AL virus</t>
  </si>
  <si>
    <t>Dioscorea bacilliform SN virus</t>
  </si>
  <si>
    <t>Grapevine vein clearing virus</t>
  </si>
  <si>
    <t>Pineapple bacilliform CO virus</t>
  </si>
  <si>
    <t>Pineapple bacilliform ER virus</t>
  </si>
  <si>
    <t>Sugarcane bacilliform MO virus</t>
  </si>
  <si>
    <t>Sweet potato pakakuy virus</t>
  </si>
  <si>
    <t>Lamium leaf distortion virus</t>
  </si>
  <si>
    <t>Solendovirus</t>
  </si>
  <si>
    <t>Sweet potato vein clearing virus</t>
  </si>
  <si>
    <t>Cestrum yellow leaf curling virus</t>
  </si>
  <si>
    <t>Clavaviridae</t>
  </si>
  <si>
    <t>Clavavirus</t>
  </si>
  <si>
    <t>Aeropyrum pernix bacilliform virus 1</t>
  </si>
  <si>
    <t>Raspberry leaf mottle virus</t>
  </si>
  <si>
    <t>Strawberry chlorotic fleck-associated virus</t>
  </si>
  <si>
    <t>Corchorus yellow vein virus</t>
  </si>
  <si>
    <t>Merremia mosaic virus</t>
  </si>
  <si>
    <t>Hytrosaviridae</t>
  </si>
  <si>
    <t>Glossinavirus</t>
  </si>
  <si>
    <t>Glossina hytrovirus</t>
  </si>
  <si>
    <t>Muscavirus</t>
  </si>
  <si>
    <t>Musca hytrovirus</t>
  </si>
  <si>
    <t>Megabirnaviridae</t>
  </si>
  <si>
    <t>Megabirnavirus</t>
  </si>
  <si>
    <t>Rosellinia necatrix megabirnavirus 1</t>
  </si>
  <si>
    <t>Faba bean necrotic stunt virus</t>
  </si>
  <si>
    <t>Pea necrotic yellow dwarf virus</t>
  </si>
  <si>
    <t>Alphapapillomavirus 1</t>
  </si>
  <si>
    <t>Alphapapillomavirus 10</t>
  </si>
  <si>
    <t>Alphapapillomavirus 11</t>
  </si>
  <si>
    <t>Alphapapillomavirus 12</t>
  </si>
  <si>
    <t>Alphapapillomavirus 13</t>
  </si>
  <si>
    <t>Alphapapillomavirus 14</t>
  </si>
  <si>
    <t>Alphapapillomavirus 2</t>
  </si>
  <si>
    <t>Alphapapillomavirus 3</t>
  </si>
  <si>
    <t>Alphapapillomavirus 4</t>
  </si>
  <si>
    <t>Alphapapillomavirus 5</t>
  </si>
  <si>
    <t>Alphapapillomavirus 6</t>
  </si>
  <si>
    <t>Alphapapillomavirus 7</t>
  </si>
  <si>
    <t>Alphapapillomavirus 8</t>
  </si>
  <si>
    <t>Alphapapillomavirus 9</t>
  </si>
  <si>
    <t>Betapapillomavirus 1</t>
  </si>
  <si>
    <t>Betapapillomavirus 2</t>
  </si>
  <si>
    <t>Betapapillomavirus 3</t>
  </si>
  <si>
    <t>Betapapillomavirus 4</t>
  </si>
  <si>
    <t>Betapapillomavirus 5</t>
  </si>
  <si>
    <t>Betapapillomavirus 6</t>
  </si>
  <si>
    <t>Chipapillomavirus</t>
  </si>
  <si>
    <t>Chipapillomavirus 1</t>
  </si>
  <si>
    <t>Chipapillomavirus 2</t>
  </si>
  <si>
    <t>Deltapapillomavirus 1</t>
  </si>
  <si>
    <t>Deltapapillomavirus 2</t>
  </si>
  <si>
    <t>Deltapapillomavirus 3</t>
  </si>
  <si>
    <t>Deltapapillomavirus 4</t>
  </si>
  <si>
    <t>Deltapapillomavirus 5</t>
  </si>
  <si>
    <t>Dyodeltapapillomavirus</t>
  </si>
  <si>
    <t>Dyodeltapapillomavirus 1</t>
  </si>
  <si>
    <t>Dyoepsilonpapillomavirus</t>
  </si>
  <si>
    <t>Dyoepsilonpapillomavirus 1</t>
  </si>
  <si>
    <t>Dyoetapapillomavirus</t>
  </si>
  <si>
    <t>Dyoetapapillomavirus 1</t>
  </si>
  <si>
    <t>Dyoiotapapillomavirus</t>
  </si>
  <si>
    <t>Dyoiotapapillomavirus 1</t>
  </si>
  <si>
    <t>Dyothetapapillomavirus</t>
  </si>
  <si>
    <t>Dyothetapapillomavirus 1</t>
  </si>
  <si>
    <t>Dyozetapapillomavirus</t>
  </si>
  <si>
    <t>Dyozetapapillomavirus 1</t>
  </si>
  <si>
    <t>Epsilonpapillomavirus 1</t>
  </si>
  <si>
    <t>Etapapillomavirus 1</t>
  </si>
  <si>
    <t>Gammapapillomavirus 1</t>
  </si>
  <si>
    <t>Gammapapillomavirus 10</t>
  </si>
  <si>
    <t>Gammapapillomavirus 2</t>
  </si>
  <si>
    <t>Gammapapillomavirus 3</t>
  </si>
  <si>
    <t>Gammapapillomavirus 4</t>
  </si>
  <si>
    <t>Gammapapillomavirus 5</t>
  </si>
  <si>
    <t>Gammapapillomavirus 6</t>
  </si>
  <si>
    <t>Gammapapillomavirus 7</t>
  </si>
  <si>
    <t>Gammapapillomavirus 8</t>
  </si>
  <si>
    <t>Gammapapillomavirus 9</t>
  </si>
  <si>
    <t>Iotapapillomavirus 1</t>
  </si>
  <si>
    <t>Kappapapillomavirus 1</t>
  </si>
  <si>
    <t>Kappapapillomavirus 2</t>
  </si>
  <si>
    <t>Lambdapapillomavirus 1</t>
  </si>
  <si>
    <t>Lambdapapillomavirus 2</t>
  </si>
  <si>
    <t>Lambdapapillomavirus 3</t>
  </si>
  <si>
    <t>Lambdapapillomavirus 4</t>
  </si>
  <si>
    <t>Mupapillomavirus 1</t>
  </si>
  <si>
    <t>Mupapillomavirus 2</t>
  </si>
  <si>
    <t>Nupapillomavirus 1</t>
  </si>
  <si>
    <t>Omegapapillomavirus</t>
  </si>
  <si>
    <t>Omegapapillomavirus 1</t>
  </si>
  <si>
    <t>Omikronpapillomavirus 1</t>
  </si>
  <si>
    <t>Phipapillomavirus</t>
  </si>
  <si>
    <t>Phipapillomavirus 1</t>
  </si>
  <si>
    <t>Pipapillomavirus 1</t>
  </si>
  <si>
    <t>Pipapillomavirus 2</t>
  </si>
  <si>
    <t>Psipapillomavirus</t>
  </si>
  <si>
    <t>Psipapillomavirus 1</t>
  </si>
  <si>
    <t>Rhopapillomavirus</t>
  </si>
  <si>
    <t>Rhopapillomavirus 1</t>
  </si>
  <si>
    <t>Sigmapapillomavirus</t>
  </si>
  <si>
    <t>Sigmapapillomavirus 1</t>
  </si>
  <si>
    <t>Taupapillomavirus</t>
  </si>
  <si>
    <t>Taupapillomavirus 1</t>
  </si>
  <si>
    <t>Thetapapillomavirus 1</t>
  </si>
  <si>
    <t>Upsilonpapillomavirus</t>
  </si>
  <si>
    <t>Upsilonpapillomavirus 1</t>
  </si>
  <si>
    <t>Upsilonpapillomavirus 2</t>
  </si>
  <si>
    <t>Xipapillomavirus 1</t>
  </si>
  <si>
    <t>Zetapapillomavirus 1</t>
  </si>
  <si>
    <t>Permutotetraviridae</t>
  </si>
  <si>
    <t>Alphapermutotetravirus</t>
  </si>
  <si>
    <t>Acanthocystis turfacea chlorella virus 1</t>
  </si>
  <si>
    <t>Ostreococcus tauri virus OtV5</t>
  </si>
  <si>
    <t>Pepper chat fruit viroid</t>
  </si>
  <si>
    <t>Ugandan cassava brown streak virus</t>
  </si>
  <si>
    <t>Poacevirus</t>
  </si>
  <si>
    <t>Triticum mosaic virus</t>
  </si>
  <si>
    <t>Sunflower chlorotic mottle virus</t>
  </si>
  <si>
    <t>Sweet potato virus C</t>
  </si>
  <si>
    <t>Yambean mosaic virus</t>
  </si>
  <si>
    <t>Mule deerpox virus</t>
  </si>
  <si>
    <t>Crocodylidpoxvirus</t>
  </si>
  <si>
    <t>Nile crocodilepox virus</t>
  </si>
  <si>
    <t>Skunkpox virus</t>
  </si>
  <si>
    <t>Squirrelpox virus</t>
  </si>
  <si>
    <t>Calibrachoa mottle virus</t>
  </si>
  <si>
    <t>Honeysuckle ringspot virus</t>
  </si>
  <si>
    <t>Soybean yellow mottle mosaic virus</t>
  </si>
  <si>
    <t>Cocksfoot mild mosaic virus</t>
  </si>
  <si>
    <t>Trichomonasvirus</t>
  </si>
  <si>
    <t>Trichomonas vaginalis virus 1</t>
  </si>
  <si>
    <t>Trichomonas vaginalis virus 2</t>
  </si>
  <si>
    <t>Trichomonas vaginalis virus 3</t>
  </si>
  <si>
    <t>Bacilladnavirus</t>
  </si>
  <si>
    <t>Chaetoceros salsugineum DNA virus 01</t>
  </si>
  <si>
    <t>Dinodnavirus</t>
  </si>
  <si>
    <t>Heterocapsa circularisquama DNA virus 01</t>
  </si>
  <si>
    <t>Fig mosaic virus</t>
  </si>
  <si>
    <t>Imperata yellow mottle virus</t>
  </si>
  <si>
    <t>Japanese soil-borne wheat mosaic virus</t>
  </si>
  <si>
    <t>Strawberry pseudo mild yellow edge virus</t>
  </si>
  <si>
    <t>Sweet potato chlorotic fleck virus</t>
  </si>
  <si>
    <t>Verbena latent virus</t>
  </si>
  <si>
    <t>Citrivirus</t>
  </si>
  <si>
    <t>Citrus leaf blotch virus</t>
  </si>
  <si>
    <t>Foveavirus</t>
  </si>
  <si>
    <t>Apple stem pitting virus</t>
  </si>
  <si>
    <t>Apricot latent virus</t>
  </si>
  <si>
    <t>Parietaria mottle virus</t>
  </si>
  <si>
    <t>Prune dwarf virus</t>
  </si>
  <si>
    <t>Prunus necrotic ringspot virus</t>
  </si>
  <si>
    <t>Rotavirus</t>
  </si>
  <si>
    <t>Alstroemeria virus X</t>
  </si>
  <si>
    <t>Alternanthera mosaic virus</t>
  </si>
  <si>
    <t>Asparagus virus 3</t>
  </si>
  <si>
    <t>Bamboo mosaic virus</t>
  </si>
  <si>
    <t>Cactus virus X</t>
  </si>
  <si>
    <t>Cassava common mosaic virus</t>
  </si>
  <si>
    <t>Cassava virus X</t>
  </si>
  <si>
    <t>Clover yellow mosaic virus</t>
  </si>
  <si>
    <t>Cymbidium mosaic virus</t>
  </si>
  <si>
    <t>Foxtail mosaic virus</t>
  </si>
  <si>
    <t>Rice ragged stunt virus</t>
  </si>
  <si>
    <t>Phytoreovirus</t>
  </si>
  <si>
    <t>Avian carcinoma Mill Hill virus 2</t>
  </si>
  <si>
    <t>Avian myeloblastosis virus</t>
  </si>
  <si>
    <t>Avian myelocytomatosis virus 29</t>
  </si>
  <si>
    <t>Avian sarcoma virus CT10</t>
  </si>
  <si>
    <t>Scrophularia mottle virus</t>
  </si>
  <si>
    <t>Sulfolobus newzealandicus droplet-shaped virus</t>
  </si>
  <si>
    <t>Hepadnaviridae</t>
  </si>
  <si>
    <t>Sweet potato mild speckling virus</t>
  </si>
  <si>
    <t>Sweet potato virus 2</t>
  </si>
  <si>
    <t>Sweet potato virus G</t>
  </si>
  <si>
    <t>Telfairia mosaic virus</t>
  </si>
  <si>
    <t>Thunberg fritillary mosaic virus</t>
  </si>
  <si>
    <t>Tobacco etch virus</t>
  </si>
  <si>
    <t>Woolly monkey hepatitis B virus</t>
  </si>
  <si>
    <t>Hypoviridae</t>
  </si>
  <si>
    <t>Hypovirus</t>
  </si>
  <si>
    <t>Cryphonectria hypovirus 1</t>
  </si>
  <si>
    <t>Cryphonectria hypovirus 2</t>
  </si>
  <si>
    <t>Cryphonectria hypovirus 3</t>
  </si>
  <si>
    <t>Hordeivirus</t>
  </si>
  <si>
    <t>Anthoxanthum latent blanching virus</t>
  </si>
  <si>
    <t>Barley stripe mosaic virus</t>
  </si>
  <si>
    <t>Lychnis ringspot virus</t>
  </si>
  <si>
    <t>Poa semilatent virus</t>
  </si>
  <si>
    <t>Idaeovirus</t>
  </si>
  <si>
    <t>Raspberry bushy dwarf virus</t>
  </si>
  <si>
    <t>Ourmiavirus</t>
  </si>
  <si>
    <t>Cassava virus C</t>
  </si>
  <si>
    <t>Epirus cherry virus</t>
  </si>
  <si>
    <t>Ourmia melon virus</t>
  </si>
  <si>
    <t>Pecluvirus</t>
  </si>
  <si>
    <t>Indian peanut clump virus</t>
  </si>
  <si>
    <t>Peanut clump virus</t>
  </si>
  <si>
    <t>Sorghum chlorotic spot virus</t>
  </si>
  <si>
    <t>Bean golden mosaic virus</t>
  </si>
  <si>
    <t>Bean golden yellow mosaic virus</t>
  </si>
  <si>
    <t>Bhendi yellow vein mosaic virus</t>
  </si>
  <si>
    <t>Boerhavia yellow spot virus</t>
  </si>
  <si>
    <t>Cabbage leaf curl Jamaica virus</t>
  </si>
  <si>
    <t>Cabbage leaf curl virus</t>
  </si>
  <si>
    <t>Chayote yellow mosaic virus</t>
  </si>
  <si>
    <t>Chilli leaf curl virus</t>
  </si>
  <si>
    <t>Chino del tomate virus</t>
  </si>
  <si>
    <t>Clerodendron golden mosaic virus</t>
  </si>
  <si>
    <t>Corchorus golden mosaic virus</t>
  </si>
  <si>
    <t>Corchorus yellow spot virus</t>
  </si>
  <si>
    <t>Arabidopsis thaliana Art1 virus</t>
  </si>
  <si>
    <t>Arabidopsis thaliana AtRE1 virus</t>
  </si>
  <si>
    <t>Cotton leaf curl Alabad virus</t>
  </si>
  <si>
    <t>Capillovirus</t>
  </si>
  <si>
    <t>Cotton leaf curl Gezira virus</t>
  </si>
  <si>
    <t>Cotton leaf curl Kokhran virus</t>
  </si>
  <si>
    <t>Bovine viral diarrhea virus 1</t>
  </si>
  <si>
    <t>Cryptosporidium parvum virus 1</t>
  </si>
  <si>
    <t>Homalodisca coagulata virus-1</t>
  </si>
  <si>
    <t>Helicobasidium mompa endornavirus 1</t>
  </si>
  <si>
    <t>Phytophthora endornavirus 1</t>
  </si>
  <si>
    <t>Botrytis virus F</t>
  </si>
  <si>
    <t>Carnation latent virus</t>
  </si>
  <si>
    <t>Eupatorium yellow vein mosaic virus</t>
  </si>
  <si>
    <t>Mycoflexivirus</t>
  </si>
  <si>
    <t>Alphaflexiviridae</t>
  </si>
  <si>
    <t>Euphorbia leaf curl Guangxi virus</t>
  </si>
  <si>
    <t>Euphorbia leaf curl virus</t>
  </si>
  <si>
    <t>Euphorbia mosaic virus</t>
  </si>
  <si>
    <t>Tomato leaf curl Java virus</t>
  </si>
  <si>
    <t>Pepper mild mottle virus</t>
  </si>
  <si>
    <t>Ribgrass mosaic virus</t>
  </si>
  <si>
    <t>Sunn-hemp mosaic virus</t>
  </si>
  <si>
    <t>Tomato leaf curl Joydebpur virus</t>
  </si>
  <si>
    <t>Bafinivirus</t>
  </si>
  <si>
    <t>White bream virus</t>
  </si>
  <si>
    <t>Anelloviridae</t>
  </si>
  <si>
    <t>Alphatorquevirus</t>
  </si>
  <si>
    <t>Betatorquevirus</t>
  </si>
  <si>
    <t>Gammatorquevirus</t>
  </si>
  <si>
    <t>Deltatorquevirus</t>
  </si>
  <si>
    <t>Torque teno virus 4</t>
  </si>
  <si>
    <t>Torque teno virus 5</t>
  </si>
  <si>
    <t>Torque teno virus 6</t>
  </si>
  <si>
    <t>Torque teno virus 7</t>
  </si>
  <si>
    <t>Torque teno virus 8</t>
  </si>
  <si>
    <t>Torque teno virus 9</t>
  </si>
  <si>
    <t>Torque teno virus 10</t>
  </si>
  <si>
    <t>Torque teno virus 11</t>
  </si>
  <si>
    <t>Torque teno virus 12</t>
  </si>
  <si>
    <t>Torque teno virus 13</t>
  </si>
  <si>
    <t>Torque teno virus 14</t>
  </si>
  <si>
    <t>Torque teno virus 15</t>
  </si>
  <si>
    <t>Torque teno virus 16</t>
  </si>
  <si>
    <t>Torque teno virus 17</t>
  </si>
  <si>
    <t>Torque teno virus 18</t>
  </si>
  <si>
    <t>Torque teno virus 19</t>
  </si>
  <si>
    <t>Torque teno virus 20</t>
  </si>
  <si>
    <t>Torque teno virus 21</t>
  </si>
  <si>
    <t>Torque teno virus 22</t>
  </si>
  <si>
    <t>Torque teno virus 23</t>
  </si>
  <si>
    <t>Torque teno virus 24</t>
  </si>
  <si>
    <t>Mimosa yellow leaf curl virus</t>
  </si>
  <si>
    <t>Mungbean yellow mosaic India virus</t>
  </si>
  <si>
    <t>Mungbean yellow mosaic virus</t>
  </si>
  <si>
    <t>Okra yellow crinkle virus</t>
  </si>
  <si>
    <t>Okra yellow mosaic Mexico virus</t>
  </si>
  <si>
    <t>Papaya leaf curl China virus</t>
  </si>
  <si>
    <t>Papaya leaf curl Guandong virus</t>
  </si>
  <si>
    <t>Papaya leaf curl virus</t>
  </si>
  <si>
    <t>Pedilenthus leaf curl virus</t>
  </si>
  <si>
    <t>Pepper golden mosaic virus</t>
  </si>
  <si>
    <t>Pepper huasteco yellow vein virus</t>
  </si>
  <si>
    <t>Grapevine rupestris stem pitting-associated virus</t>
  </si>
  <si>
    <t>Mandarivirus</t>
  </si>
  <si>
    <t>Rice dwarf virus</t>
  </si>
  <si>
    <t>Rice gall dwarf virus</t>
  </si>
  <si>
    <t>Wound tumor virus</t>
  </si>
  <si>
    <t>Trichovirus</t>
  </si>
  <si>
    <t>Rotavirus A</t>
  </si>
  <si>
    <t>Rotavirus B</t>
  </si>
  <si>
    <t>Rotavirus C</t>
  </si>
  <si>
    <t>Rotavirus D</t>
  </si>
  <si>
    <t>Rotavirus E</t>
  </si>
  <si>
    <t>Seadornavirus</t>
  </si>
  <si>
    <t>Banna virus</t>
  </si>
  <si>
    <t>Kadipiro virus</t>
  </si>
  <si>
    <t>Liao ning virus</t>
  </si>
  <si>
    <t>Retroviridae</t>
  </si>
  <si>
    <t>Orthoretrovirinae</t>
  </si>
  <si>
    <t>Alpharetrovirus</t>
  </si>
  <si>
    <t>Kennedya yellow mosaic virus</t>
  </si>
  <si>
    <t>Melon rugose mosaic virus</t>
  </si>
  <si>
    <t>Nemesia ring necrosis virus</t>
  </si>
  <si>
    <t>Avian leukosis virus</t>
  </si>
  <si>
    <t>Passion fruit yellow mosaic virus</t>
  </si>
  <si>
    <t>Peanut yellow mosaic virus</t>
  </si>
  <si>
    <t>Petunia vein banding virus</t>
  </si>
  <si>
    <t>Physalis mottle virus</t>
  </si>
  <si>
    <t>Plantago mottle virus</t>
  </si>
  <si>
    <t>Miscanthus streak virus</t>
  </si>
  <si>
    <t>Panicum streak virus</t>
  </si>
  <si>
    <t>Sugarcane streak Egypt virus</t>
  </si>
  <si>
    <t>Sugarcane streak Reunion virus</t>
  </si>
  <si>
    <t>Sugarcane streak virus</t>
  </si>
  <si>
    <t>Tobacco yellow dwarf virus</t>
  </si>
  <si>
    <t>Wheat dwarf virus</t>
  </si>
  <si>
    <t>Topocuvirus</t>
  </si>
  <si>
    <t>Tomato pseudo-curly top virus</t>
  </si>
  <si>
    <t>Globuloviridae</t>
  </si>
  <si>
    <t>Globulovirus</t>
  </si>
  <si>
    <t>Pyrobaculum spherical virus</t>
  </si>
  <si>
    <t>Rhopalanthe virus Y</t>
  </si>
  <si>
    <t>Sarcochilus virus Y</t>
  </si>
  <si>
    <t>Scallion mosaic virus</t>
  </si>
  <si>
    <t>Shallot yellow stripe virus</t>
  </si>
  <si>
    <t>Tobacco vein banding mosaic virus</t>
  </si>
  <si>
    <t>Tobacco vein mottling virus</t>
  </si>
  <si>
    <t>Tradescantia mild mosaic virus</t>
  </si>
  <si>
    <t>Tropaeolum mosaic virus</t>
  </si>
  <si>
    <t>Tuberose mild mosaic virus</t>
  </si>
  <si>
    <t>Tuberose mild mottle virus</t>
  </si>
  <si>
    <t>Tulip breaking virus</t>
  </si>
  <si>
    <t>Tulip mosaic virus</t>
  </si>
  <si>
    <t>Turnip mosaic virus</t>
  </si>
  <si>
    <t>Watermelon leaf mottle virus</t>
  </si>
  <si>
    <t>Watermelon mosaic virus</t>
  </si>
  <si>
    <t>Polemovirus</t>
  </si>
  <si>
    <t>Poinsettia latent virus</t>
  </si>
  <si>
    <t>Pomovirus</t>
  </si>
  <si>
    <t>Beet soil-borne virus</t>
  </si>
  <si>
    <t>Beet virus Q</t>
  </si>
  <si>
    <t>Broad bean necrosis virus</t>
  </si>
  <si>
    <t>Potato mop-top virus</t>
  </si>
  <si>
    <t>Rhizidiovirus</t>
  </si>
  <si>
    <t>Rhizidiomyces virus</t>
  </si>
  <si>
    <t>Batrachovirus</t>
  </si>
  <si>
    <t>Ranid herpesvirus 1</t>
  </si>
  <si>
    <t>Cotton leaf curl Multan virus</t>
  </si>
  <si>
    <t>Cowpea golden mosaic virus</t>
  </si>
  <si>
    <t>Bovine viral diarrhea virus 2</t>
  </si>
  <si>
    <t>Classical swine fever virus</t>
  </si>
  <si>
    <t>Allexivirus</t>
  </si>
  <si>
    <t>Garlic mite-borne filamentous virus</t>
  </si>
  <si>
    <t>Cotton leaf crumple virus</t>
  </si>
  <si>
    <t>Garlic virus D</t>
  </si>
  <si>
    <t>Garlic virus E</t>
  </si>
  <si>
    <t>Garlic virus X</t>
  </si>
  <si>
    <t>Shallot virus X</t>
  </si>
  <si>
    <t>Version:</t>
    <phoneticPr fontId="3" type="noConversion"/>
  </si>
  <si>
    <t>Apple stem grooving virus</t>
  </si>
  <si>
    <t>Cherry virus A</t>
  </si>
  <si>
    <t>Carlavirus</t>
  </si>
  <si>
    <t>Aconitum latent virus</t>
  </si>
  <si>
    <t>American hop latent virus</t>
  </si>
  <si>
    <t>Blueberry scorch virus</t>
  </si>
  <si>
    <t>Cactus virus 2</t>
  </si>
  <si>
    <t>Caper latent virus</t>
  </si>
  <si>
    <t>Obuda pepper virus</t>
  </si>
  <si>
    <t>Odontoglossum ringspot virus</t>
  </si>
  <si>
    <t>Paprika mild mottle virus</t>
  </si>
  <si>
    <t>Eupatorium yellow vein virus</t>
  </si>
  <si>
    <t>Gammacoronavirus</t>
  </si>
  <si>
    <t>Avian coronavirus</t>
  </si>
  <si>
    <t>Beluga whale coronavirus SW1</t>
  </si>
  <si>
    <t>Torovirinae</t>
  </si>
  <si>
    <t>East African cassava mosaic Cameroon virus</t>
  </si>
  <si>
    <t>East African cassava mosaic Kenya virus</t>
  </si>
  <si>
    <t>East African cassava mosaic Malawi virus</t>
  </si>
  <si>
    <t>East African cassava mosaic virus</t>
  </si>
  <si>
    <t>East African cassava mosaic Zanzibar virus</t>
  </si>
  <si>
    <t>Erectites yellow mosaic virus</t>
  </si>
  <si>
    <t>Rice stripe virus</t>
  </si>
  <si>
    <t>Urochloa hoja blanca virus</t>
  </si>
  <si>
    <t>Tobamovirus</t>
  </si>
  <si>
    <t>Cucumber fruit mottle mosaic virus</t>
  </si>
  <si>
    <t>Cucumber green mottle mosaic virus</t>
  </si>
  <si>
    <t>Frangipani mosaic virus</t>
  </si>
  <si>
    <t>Hibiscus latent Fort Pierce virus</t>
  </si>
  <si>
    <t>Hibiscus latent Singapore virus</t>
  </si>
  <si>
    <t>Kyuri green mottle mosaic virus</t>
  </si>
  <si>
    <t>Tomato leaf curl Hsinchu virus</t>
  </si>
  <si>
    <t>Torque teno virus 25</t>
  </si>
  <si>
    <t>Torque teno virus 26</t>
  </si>
  <si>
    <t>Torque teno virus 27</t>
  </si>
  <si>
    <t>Torque teno virus 28</t>
  </si>
  <si>
    <t>Pepper leaf curl Lahore virus</t>
  </si>
  <si>
    <t>Pepper leaf curl virus</t>
  </si>
  <si>
    <t>Lily virus X</t>
  </si>
  <si>
    <t>Mint virus X</t>
  </si>
  <si>
    <t>Narcissus mosaic virus</t>
  </si>
  <si>
    <t>Nerine virus X</t>
  </si>
  <si>
    <t>Opuntia virus X</t>
  </si>
  <si>
    <t>Papaya mosaic virus</t>
  </si>
  <si>
    <t>Plum pox virus</t>
  </si>
  <si>
    <t>Budgerigar fledgling disease polyomavirus</t>
  </si>
  <si>
    <t>Hamster polyomavirus</t>
  </si>
  <si>
    <t>Betacoronavirus</t>
  </si>
  <si>
    <t>Murine coronavirus</t>
  </si>
  <si>
    <t>Betacoronavirus 1</t>
  </si>
  <si>
    <t>Tomato leaf curl Guangxi virus</t>
  </si>
  <si>
    <t>Tomato leaf curl Gujarat virus</t>
  </si>
  <si>
    <t>Coleviroid</t>
  </si>
  <si>
    <t>Coleus blumei viroid 1</t>
  </si>
  <si>
    <t>Coleus blumei viroid 2</t>
  </si>
  <si>
    <t>Coleus blumei viroid 3</t>
  </si>
  <si>
    <t>Hostuviroid</t>
  </si>
  <si>
    <t>Hop stunt viroid</t>
  </si>
  <si>
    <t>Pospiviroid</t>
  </si>
  <si>
    <t>Chrysanthemum stunt viroid</t>
  </si>
  <si>
    <t>Citrus exocortis viroid</t>
  </si>
  <si>
    <t>Columnea latent viroid</t>
  </si>
  <si>
    <t>Iresine viroid 1</t>
  </si>
  <si>
    <t>Potato spindle tuber viroid</t>
  </si>
  <si>
    <t>Tomato apical stunt viroid</t>
  </si>
  <si>
    <t>Tomato chlorotic dwarf viroid</t>
  </si>
  <si>
    <t>Tomato planta macho viroid</t>
  </si>
  <si>
    <t>Potyviridae</t>
  </si>
  <si>
    <t>Bymovirus</t>
  </si>
  <si>
    <t>Barley mild mosaic virus</t>
  </si>
  <si>
    <t>Barley yellow mosaic virus</t>
  </si>
  <si>
    <t>Sweet potato chlorotic stunt virus</t>
  </si>
  <si>
    <t>Tomato chlorosis virus</t>
  </si>
  <si>
    <t>Beet pseudoyellows virus</t>
  </si>
  <si>
    <t>Blackberry yellow vein-associated virus</t>
  </si>
  <si>
    <t>Torque teno tamarin virus</t>
  </si>
  <si>
    <t>Torque teno douroucouli virus</t>
  </si>
  <si>
    <t>Rabbit fibroma virus</t>
  </si>
  <si>
    <t>Squirrel fibroma virus</t>
  </si>
  <si>
    <t>Molluscipoxvirus</t>
  </si>
  <si>
    <t>Spartina mottle virus</t>
  </si>
  <si>
    <t>Sugarcane streak mosaic virus</t>
  </si>
  <si>
    <t>Leporipoxvirus</t>
  </si>
  <si>
    <t>Hare fibroma virus</t>
  </si>
  <si>
    <t>Myxoma virus</t>
  </si>
  <si>
    <t>Canarypox virus</t>
  </si>
  <si>
    <t>Fowlpox virus</t>
  </si>
  <si>
    <t>Juncopox virus</t>
  </si>
  <si>
    <t>Mynahpox virus</t>
  </si>
  <si>
    <t>Pigeonpox virus</t>
  </si>
  <si>
    <t>Psittacinepox virus</t>
  </si>
  <si>
    <t>Quailpox virus</t>
  </si>
  <si>
    <t>Sparrowpox virus</t>
  </si>
  <si>
    <t>Starlingpox virus</t>
  </si>
  <si>
    <t>Turkeypox virus</t>
  </si>
  <si>
    <t>Capripoxvirus</t>
  </si>
  <si>
    <t>Grapevine virus B</t>
  </si>
  <si>
    <t>Grapevine virus D</t>
  </si>
  <si>
    <t>Potato virus V</t>
  </si>
  <si>
    <t>Potato virus Y</t>
  </si>
  <si>
    <t>Ranunculus leaf distortion virus</t>
  </si>
  <si>
    <t>South African cassava mosaic virus</t>
  </si>
  <si>
    <t>Soybean blistering mosaic virus</t>
  </si>
  <si>
    <t>Spilanthes yellow vein virus</t>
  </si>
  <si>
    <t>Squash leaf curl China virus</t>
  </si>
  <si>
    <t>Squash leaf curl Philippines virus</t>
  </si>
  <si>
    <t>Squash leaf curl virus</t>
  </si>
  <si>
    <t>Squash leaf curl Yunnan virus</t>
  </si>
  <si>
    <t>Squash mild leaf curl virus</t>
  </si>
  <si>
    <t>Sri Lankan cassava mosaic virus</t>
  </si>
  <si>
    <t>Stachytarpheta leaf curl virus</t>
  </si>
  <si>
    <t>Sweet potato leaf curl Canary virus</t>
  </si>
  <si>
    <t>Sweet potato leaf curl China virus</t>
  </si>
  <si>
    <t>Sweet potato leaf curl Georgia virus</t>
  </si>
  <si>
    <t>Sweet potato leaf curl virus</t>
  </si>
  <si>
    <t>Tobacco curly shoot virus</t>
  </si>
  <si>
    <t>Henbane mosaic virus</t>
  </si>
  <si>
    <t>Hibbertia virus Y</t>
  </si>
  <si>
    <t>Hippeastrum mosaic virus</t>
  </si>
  <si>
    <t>Hyacinth mosaic virus</t>
  </si>
  <si>
    <t>Iris fulva mosaic virus</t>
  </si>
  <si>
    <t>Iris mild mosaic virus</t>
  </si>
  <si>
    <t>Iris severe mosaic virus</t>
  </si>
  <si>
    <t>Japanese yam mosaic virus</t>
  </si>
  <si>
    <t>Johnsongrass mosaic virus</t>
  </si>
  <si>
    <t>Konjac mosaic virus</t>
  </si>
  <si>
    <t>Leek yellow stripe virus</t>
  </si>
  <si>
    <t>Lettuce mosaic virus</t>
  </si>
  <si>
    <t>Lily mottle virus</t>
  </si>
  <si>
    <t>Lycoris mild mottle virus</t>
  </si>
  <si>
    <t>Freesia sneak virus</t>
  </si>
  <si>
    <t>Abaca bunchy top virus</t>
  </si>
  <si>
    <t>Cardamom bushy dwarf virus</t>
  </si>
  <si>
    <t>Rose spring dwarf-associated virus</t>
  </si>
  <si>
    <t>Chickpea chlorotic stunt virus</t>
  </si>
  <si>
    <t>Melon aphid-borne yellows virus</t>
  </si>
  <si>
    <t>Brambyvirus</t>
  </si>
  <si>
    <t>Blackberry virus Y</t>
  </si>
  <si>
    <t>Emaravirus</t>
  </si>
  <si>
    <t>Omikronpapillomavirus</t>
  </si>
  <si>
    <t>Avsunviroidae</t>
  </si>
  <si>
    <t>Avsunviroid</t>
  </si>
  <si>
    <t>Avocado sunblotch viroid</t>
  </si>
  <si>
    <t>Elaviroid</t>
  </si>
  <si>
    <t>Eggplant latent viroid</t>
  </si>
  <si>
    <t>Pelamoviroid</t>
  </si>
  <si>
    <t>Chrysanthemum chlorotic mottle viroid</t>
  </si>
  <si>
    <t>Anguillid herpesvirus 1</t>
  </si>
  <si>
    <t>Munia coronavirus HKU13</t>
  </si>
  <si>
    <t>Banana streak MY virus</t>
  </si>
  <si>
    <t>Nootka lupine vein clearing virus</t>
  </si>
  <si>
    <t>Eragrostis streak virus</t>
  </si>
  <si>
    <t>Urochloa streak virus</t>
  </si>
  <si>
    <t>Miniopterus bat coronavirus 1</t>
  </si>
  <si>
    <t>Miniopterus bat coronavirus HKU8</t>
  </si>
  <si>
    <t>Rhinolophus bat coronavirus HKU2</t>
  </si>
  <si>
    <t>Scotophilus bat coronavirus 512</t>
  </si>
  <si>
    <t>Pipistrellus bat coronavirus HKU5</t>
  </si>
  <si>
    <t>Rousettus bat coronavirus HKU9</t>
  </si>
  <si>
    <t>Tylonycteris bat coronavirus HKU4</t>
  </si>
  <si>
    <t>Squash mosaic virus</t>
  </si>
  <si>
    <t>Ullucus virus C</t>
  </si>
  <si>
    <t>Broad bean wilt virus 1</t>
  </si>
  <si>
    <t>Broad bean wilt virus 2</t>
  </si>
  <si>
    <t>Gentian mosaic virus</t>
  </si>
  <si>
    <t>Mamastrovirus</t>
  </si>
  <si>
    <t>Artichoke Aegean ringspot virus</t>
  </si>
  <si>
    <t>Artichoke Italian latent virus</t>
  </si>
  <si>
    <t>Artichoke yellow ringspot virus</t>
  </si>
  <si>
    <t>Beet ringspot virus</t>
  </si>
  <si>
    <t>Blackcurrant reversion virus</t>
  </si>
  <si>
    <t>Blueberry leaf mottle virus</t>
  </si>
  <si>
    <t>Cassava American latent virus</t>
  </si>
  <si>
    <t>Cassava green mottle virus</t>
  </si>
  <si>
    <t>Maclura mosaic virus</t>
  </si>
  <si>
    <t>Narcissus latent virus</t>
  </si>
  <si>
    <t>Potyvirus</t>
  </si>
  <si>
    <t>Alstroemeria mosaic virus</t>
  </si>
  <si>
    <t>Amaranthus leaf mottle virus</t>
  </si>
  <si>
    <t>Amazon lily mosaic virus</t>
  </si>
  <si>
    <t>Apium virus Y</t>
  </si>
  <si>
    <t>Araujia mosaic virus</t>
  </si>
  <si>
    <t>Artichoke latent virus</t>
  </si>
  <si>
    <t>Asparagus virus 1</t>
  </si>
  <si>
    <t>Banana bract mosaic virus</t>
  </si>
  <si>
    <t>Basella rugose mosaic virus</t>
  </si>
  <si>
    <t>Bean common mosaic necrosis virus</t>
  </si>
  <si>
    <t>Bean common mosaic virus</t>
  </si>
  <si>
    <t>Bean yellow mosaic virus</t>
  </si>
  <si>
    <t>Beet mosaic virus</t>
  </si>
  <si>
    <t>Bidens mottle virus</t>
  </si>
  <si>
    <t>Apanteles fumiferanae bracovirus</t>
  </si>
  <si>
    <t>Ascogaster argentifrons bracovirus</t>
  </si>
  <si>
    <t>Ascogaster quadridentata bracovirus</t>
  </si>
  <si>
    <t>Cardiochiles nigriceps bracovirus</t>
  </si>
  <si>
    <t>Cotesia marginiventris bracovirus</t>
  </si>
  <si>
    <t>Cotesia melanoscela bracovirus</t>
  </si>
  <si>
    <t>Cotesia rubecula bracovirus</t>
  </si>
  <si>
    <t>Bracovirus</t>
  </si>
  <si>
    <t>Cotesia congregata bracovirus</t>
  </si>
  <si>
    <t>Cotesia flavipes bracovirus</t>
  </si>
  <si>
    <t>Carrot temperate virus 2</t>
  </si>
  <si>
    <t>Hop trefoil cryptic virus 2</t>
  </si>
  <si>
    <t>Red clover cryptic virus 2</t>
  </si>
  <si>
    <t>White clover cryptic virus 2</t>
  </si>
  <si>
    <t>Agaricus bisporus virus 4</t>
  </si>
  <si>
    <t>Aspergillus ochraceous virus</t>
  </si>
  <si>
    <t>Cotesia schaeferi bracovirus</t>
  </si>
  <si>
    <t>Diolcogaster facetosa bracovirus</t>
  </si>
  <si>
    <t>Tranosema rostrale bracovirus</t>
  </si>
  <si>
    <t>Ichnovirus</t>
  </si>
  <si>
    <t>Enterovirus</t>
  </si>
  <si>
    <t>Plodia interpunctella granulovirus</t>
  </si>
  <si>
    <t>Plutella xylostella granulovirus</t>
  </si>
  <si>
    <t>Erbovirus</t>
  </si>
  <si>
    <t>Hepatovirus</t>
  </si>
  <si>
    <t>Kobuvirus</t>
  </si>
  <si>
    <t>Culex nigripalpus nucleopolyhedrovirus</t>
  </si>
  <si>
    <t>Gammabaculovirus</t>
  </si>
  <si>
    <t>Neodiprion lecontei nucleopolyhedrovirus</t>
  </si>
  <si>
    <t>Sequivirus</t>
  </si>
  <si>
    <t>Dandelion yellow mosaic virus</t>
  </si>
  <si>
    <t>Anthriscus yellows virus</t>
  </si>
  <si>
    <t>Maize chlorotic dwarf virus</t>
  </si>
  <si>
    <t>Cheravirus</t>
  </si>
  <si>
    <t>Apple latent spherical virus</t>
  </si>
  <si>
    <t>Cherry rasp leaf virus</t>
  </si>
  <si>
    <t>Stocky prune virus</t>
  </si>
  <si>
    <t>Pennisetum mosaic virus</t>
  </si>
  <si>
    <t>Pepper mottle virus</t>
  </si>
  <si>
    <t>Pepper severe mosaic virus</t>
  </si>
  <si>
    <t>Pepper veinal mottle virus</t>
  </si>
  <si>
    <t>Pepper yellow mosaic virus</t>
  </si>
  <si>
    <t>Peru tomato mosaic virus</t>
  </si>
  <si>
    <t>Pfaffia mosaic virus</t>
  </si>
  <si>
    <t>Pleione virus Y</t>
  </si>
  <si>
    <t>Bicaudaviridae</t>
  </si>
  <si>
    <t>Bicaudavirus</t>
  </si>
  <si>
    <t>Acidianus two-tailed virus</t>
  </si>
  <si>
    <t>Spring beauty latent virus</t>
  </si>
  <si>
    <t>Cucumovirus</t>
  </si>
  <si>
    <t>Cucumber mosaic virus</t>
  </si>
  <si>
    <t>Paramecium bursaria Chlorella virus CA4A</t>
  </si>
  <si>
    <t>Paramecium bursaria Chlorella virus CA4B</t>
  </si>
  <si>
    <t>Paramecium bursaria Chlorella virus IL3A</t>
  </si>
  <si>
    <t>Acidianus filamentous virus 7</t>
  </si>
  <si>
    <t>Acidianus filamentous virus 6</t>
  </si>
  <si>
    <t>Acidianus filamentous virus 3</t>
  </si>
  <si>
    <t>Picovirinae</t>
  </si>
  <si>
    <t>Diadromus pulchellus ascovirus 4a</t>
  </si>
  <si>
    <t>Heliothis virescens ascovirus 3a</t>
  </si>
  <si>
    <t>Spodoptera frugiperda ascovirus 1a</t>
  </si>
  <si>
    <t>Anomala cuprea entomopoxvirus</t>
  </si>
  <si>
    <t>Aphodius tasmaniae entomopoxvirus</t>
  </si>
  <si>
    <t>Asfarviridae</t>
  </si>
  <si>
    <t>Asfivirus</t>
  </si>
  <si>
    <t>African swine fever virus</t>
  </si>
  <si>
    <t>Astroviridae</t>
  </si>
  <si>
    <t>Avastrovirus</t>
  </si>
  <si>
    <t>Melolontha melolontha entomopoxvirus</t>
  </si>
  <si>
    <t>Betaentomopoxvirus</t>
  </si>
  <si>
    <t>Thermoproteus tenax spherical virus 1</t>
  </si>
  <si>
    <t>Horseradish curly top virus</t>
  </si>
  <si>
    <t>Mastrevirus</t>
  </si>
  <si>
    <t>Drosophila melanogaster Gypsy virus</t>
  </si>
  <si>
    <t>Drosophila melanogaster Idefix virus</t>
  </si>
  <si>
    <t>Drosophila melanogaster Tirant virus</t>
  </si>
  <si>
    <t>Drosophila melanogaster Zam virus</t>
  </si>
  <si>
    <t>Drosophila virilis Tv1 virus</t>
  </si>
  <si>
    <t>Siadenovirus</t>
  </si>
  <si>
    <t>Japanese iris necrotic ring virus</t>
  </si>
  <si>
    <t>Melon necrotic spot virus</t>
  </si>
  <si>
    <t>Equine torovirus</t>
  </si>
  <si>
    <t>Cytomegalovirus</t>
  </si>
  <si>
    <t>Muromegalovirus</t>
  </si>
  <si>
    <t>Andean potato mottle virus</t>
  </si>
  <si>
    <t>Bean pod mottle virus</t>
  </si>
  <si>
    <t>Bean rugose mosaic virus</t>
  </si>
  <si>
    <t>Broad bean stain virus</t>
  </si>
  <si>
    <t>Cowpea severe mosaic virus</t>
  </si>
  <si>
    <t>UR2 sarcoma virus</t>
  </si>
  <si>
    <t>Y73 sarcoma virus</t>
  </si>
  <si>
    <t>Betaretrovirus</t>
  </si>
  <si>
    <t>Adoxophyes honmai nucleopolyhedrovirus</t>
  </si>
  <si>
    <t>Agrotis ipsilon multiple nucleopolyhedrovirus</t>
  </si>
  <si>
    <t>Autographa californica multiple nucleopolyhedrovirus</t>
  </si>
  <si>
    <t>Bombyx mori nucleopolyhedrovirus</t>
  </si>
  <si>
    <t>Buzura suppressaria nucleopolyhedrovirus</t>
  </si>
  <si>
    <t>Choristoneura fumiferana DEF multiple nucleopolyhedrovirus</t>
  </si>
  <si>
    <t>Tospovirus</t>
  </si>
  <si>
    <t>Phlebovirus</t>
  </si>
  <si>
    <t>Mamestra brassicae multiple nucleopolyhedrovirus</t>
  </si>
  <si>
    <t>Mamestra configurata nucleopolyhedrovirus A</t>
  </si>
  <si>
    <t>Mamestra configurata nucleopolyhedrovirus B</t>
  </si>
  <si>
    <t>Orgyia pseudotsugata multiple nucleopolyhedrovirus</t>
  </si>
  <si>
    <t>Spodoptera exigua multiple nucleopolyhedrovirus</t>
  </si>
  <si>
    <t>Equine rhinitis A virus</t>
  </si>
  <si>
    <t>Harrisina brillians granulovirus</t>
  </si>
  <si>
    <t>Cryptophlebia leucotreta granulovirus</t>
  </si>
  <si>
    <t>Cydia pomonella granulovirus</t>
  </si>
  <si>
    <t>Saccharomyces cerevisiae Ty4 virus</t>
  </si>
  <si>
    <t>Helicoverpa armigera granulovirus</t>
  </si>
  <si>
    <t>Botrexvirus</t>
  </si>
  <si>
    <t>Sirevirus</t>
  </si>
  <si>
    <t>Arabidopsis thaliana Endovir virus</t>
  </si>
  <si>
    <t>Glycine max SIRE1 virus</t>
  </si>
  <si>
    <t>Lycopersicon esculentum ToRTL1 virus</t>
  </si>
  <si>
    <t>Phnom Penh bat virus</t>
  </si>
  <si>
    <t>Powassan virus</t>
  </si>
  <si>
    <t>Rio Bravo virus</t>
  </si>
  <si>
    <t>Royal Farm virus</t>
  </si>
  <si>
    <t>Saboya virus</t>
  </si>
  <si>
    <t>Sal Vieja virus</t>
  </si>
  <si>
    <t>San Perlita virus</t>
  </si>
  <si>
    <t>Aquareovirus</t>
  </si>
  <si>
    <t>Aquareovirus A</t>
  </si>
  <si>
    <t>Aquareovirus B</t>
  </si>
  <si>
    <t>Aquareovirus C</t>
  </si>
  <si>
    <t>Aquareovirus D</t>
  </si>
  <si>
    <t>Aquareovirus E</t>
  </si>
  <si>
    <t>Aquareovirus F</t>
  </si>
  <si>
    <t>Aquareovirus G</t>
  </si>
  <si>
    <t>Cardoreovirus</t>
  </si>
  <si>
    <t>Eriocheir sinensis reovirus</t>
  </si>
  <si>
    <t>Coltivirus</t>
  </si>
  <si>
    <t>Colorado tick fever virus</t>
  </si>
  <si>
    <t>Eyach virus</t>
  </si>
  <si>
    <t>Cypovirus</t>
  </si>
  <si>
    <t>Kirsten murine sarcoma virus</t>
  </si>
  <si>
    <t>Mirabilis mosaic virus</t>
  </si>
  <si>
    <t>Strawberry vein banding virus</t>
  </si>
  <si>
    <t>Thistle mottle virus</t>
  </si>
  <si>
    <t>Cavemovirus</t>
  </si>
  <si>
    <t>Cassava vein mosaic virus</t>
  </si>
  <si>
    <t>Tobacco vein clearing virus</t>
  </si>
  <si>
    <t>Petuvirus</t>
  </si>
  <si>
    <t>Alfamovirus</t>
  </si>
  <si>
    <t>Alfalfa mosaic virus</t>
  </si>
  <si>
    <t>Anulavirus</t>
  </si>
  <si>
    <t>Pelargonium zonate spot virus</t>
  </si>
  <si>
    <t>Bromovirus</t>
  </si>
  <si>
    <t>Broad bean mottle virus</t>
  </si>
  <si>
    <t>Brome mosaic virus</t>
  </si>
  <si>
    <t>Cassia yellow blotch virus</t>
  </si>
  <si>
    <t>Rice tungro bacilliform virus</t>
  </si>
  <si>
    <t>Chrysoviridae</t>
  </si>
  <si>
    <t>Chrysovirus</t>
  </si>
  <si>
    <t>Helminthosporium victoriae 145S virus</t>
  </si>
  <si>
    <t>Penicillium brevicompactum virus</t>
  </si>
  <si>
    <t>Penicillium chrysogenum virus</t>
  </si>
  <si>
    <t>Penicillium cyaneo-fulvum virus</t>
  </si>
  <si>
    <t>Circoviridae</t>
  </si>
  <si>
    <t>Circovirus</t>
  </si>
  <si>
    <t>Pigeon circovirus</t>
  </si>
  <si>
    <t>Duck circovirus</t>
  </si>
  <si>
    <t>Citrus variegation virus</t>
  </si>
  <si>
    <t>Elm mottle virus</t>
  </si>
  <si>
    <t>Fragaria chiloensis latent virus</t>
  </si>
  <si>
    <t>Humulus japonicus latent virus</t>
  </si>
  <si>
    <t>Lilac ring mottle virus</t>
  </si>
  <si>
    <t>Yaba monkey tumor virus</t>
  </si>
  <si>
    <t>Yatapoxvirus</t>
  </si>
  <si>
    <t>Tanapox virus</t>
  </si>
  <si>
    <t>Entomopoxvirinae</t>
  </si>
  <si>
    <t>Victorivirus</t>
  </si>
  <si>
    <t>Tonate virus</t>
  </si>
  <si>
    <t>Trocara virus</t>
  </si>
  <si>
    <t>Una virus</t>
  </si>
  <si>
    <t>Helicobasidium mompa totivirus 1-17</t>
  </si>
  <si>
    <t>Magnaporthe oryzae virus 1</t>
  </si>
  <si>
    <t>Sphaeropsis sapinea RNA virus 1</t>
  </si>
  <si>
    <t>Sphaeropsis sapinea RNA virus 2</t>
  </si>
  <si>
    <t>Ceratocystis resinifera virus 1</t>
  </si>
  <si>
    <t>Tombusviridae</t>
  </si>
  <si>
    <t>Aureusvirus</t>
  </si>
  <si>
    <t>Cucumber leaf spot virus</t>
  </si>
  <si>
    <t>Pothos latent virus</t>
  </si>
  <si>
    <t>Avenavirus</t>
  </si>
  <si>
    <t>Oat chlorotic stunt virus</t>
  </si>
  <si>
    <t>Ahlum waterborne virus</t>
  </si>
  <si>
    <t>Angelonia flower break virus</t>
  </si>
  <si>
    <t>Bean mild mosaic virus</t>
  </si>
  <si>
    <t>Cardamine chlorotic fleck virus</t>
  </si>
  <si>
    <t>Carnation mottle virus</t>
  </si>
  <si>
    <t>Mouse mammary tumor virus</t>
  </si>
  <si>
    <t>Squirrel monkey retrovirus</t>
  </si>
  <si>
    <t>Deltaretrovirus</t>
  </si>
  <si>
    <t>Jaagsiekte sheep retrovirus</t>
  </si>
  <si>
    <t>Langur virus</t>
  </si>
  <si>
    <t>Mason-Pfizer monkey virus</t>
  </si>
  <si>
    <t>Primate T-lymphotropic virus 3</t>
  </si>
  <si>
    <t>Epsilonretrovirus</t>
  </si>
  <si>
    <t>Walleye dermal sarcoma virus</t>
  </si>
  <si>
    <t>Walleye epidermal hyperplasia virus 1</t>
  </si>
  <si>
    <t>Walleye epidermal hyperplasia virus 2</t>
  </si>
  <si>
    <t>Gammaretrovirus</t>
  </si>
  <si>
    <t>Chick syncytial virus</t>
  </si>
  <si>
    <t>Feline leukemia virus</t>
  </si>
  <si>
    <t>Finkel-Biskis-Jinkins murine sarcoma virus</t>
  </si>
  <si>
    <t>Spodoptera frugiperda multiple nucleopolyhedrovirus</t>
  </si>
  <si>
    <t>Spodoptera littoralis nucleopolyhedrovirus</t>
  </si>
  <si>
    <t>Spodoptera litura nucleopolyhedrovirus</t>
  </si>
  <si>
    <t>Thysanoplusia orichalcea nucleopolyhedrovirus</t>
  </si>
  <si>
    <t>Trichoplusia ni single nucleopolyhedrovirus</t>
  </si>
  <si>
    <t>Tomato yellow leaf curl Sardinia virus</t>
  </si>
  <si>
    <t>Tomato yellow leaf curl Thailand virus</t>
  </si>
  <si>
    <t>Tomato yellow leaf curl Vietnam virus</t>
  </si>
  <si>
    <t>Senecio yellow mosaic virus</t>
  </si>
  <si>
    <t>Sida golden mosaic Costa Rica virus</t>
  </si>
  <si>
    <t>Sida golden mosaic Florida virus</t>
  </si>
  <si>
    <t>Sida golden mosaic virus</t>
  </si>
  <si>
    <t>Sida golden yellow vein virus</t>
  </si>
  <si>
    <t>Sida leaf curl virus</t>
  </si>
  <si>
    <t>Sida micrantha mosaic virus</t>
  </si>
  <si>
    <t>Sida mottle virus</t>
  </si>
  <si>
    <t>Sida yellow mosaic China virus</t>
  </si>
  <si>
    <t>Sida yellow mosaic virus</t>
  </si>
  <si>
    <t>Influenzavirus B</t>
  </si>
  <si>
    <t>Influenza B virus</t>
  </si>
  <si>
    <t>Influenzavirus C</t>
  </si>
  <si>
    <t>Influenza C virus</t>
  </si>
  <si>
    <t>Isavirus</t>
  </si>
  <si>
    <t>Infectious salmon anemia virus</t>
  </si>
  <si>
    <t>Thogotovirus</t>
  </si>
  <si>
    <t>Dhori virus</t>
  </si>
  <si>
    <t>Thogoto virus</t>
  </si>
  <si>
    <t>Papillomaviridae</t>
  </si>
  <si>
    <t>Alphapapillomavirus</t>
  </si>
  <si>
    <t>Paramecium bursaria Chlorella virus NC1A</t>
  </si>
  <si>
    <t>Paramecium bursaria Chlorella virus XZ4A</t>
  </si>
  <si>
    <t>Paramecium bursaria Chlorella virus XZ4C</t>
  </si>
  <si>
    <t>Coccolithovirus</t>
  </si>
  <si>
    <t>Paramecium bursaria Chlorella virus SC1A</t>
  </si>
  <si>
    <t>Paramecium bursaria Chlorella virus XY6E</t>
  </si>
  <si>
    <t>Wheat spindle streak mosaic virus</t>
  </si>
  <si>
    <t>Wheat yellow mosaic virus</t>
  </si>
  <si>
    <t>Ipomovirus</t>
  </si>
  <si>
    <t>Epsilonpapillomavirus</t>
  </si>
  <si>
    <t>Omegatetravirus</t>
  </si>
  <si>
    <t>Dendrolimus punctatus virus</t>
  </si>
  <si>
    <t>Helicoverpa armigera stunt virus</t>
  </si>
  <si>
    <t>Nudaurelia capensis omega virus</t>
  </si>
  <si>
    <t>Togaviridae</t>
  </si>
  <si>
    <t>Alphavirus</t>
  </si>
  <si>
    <t>Aura virus</t>
  </si>
  <si>
    <t>Barmah Forest virus</t>
  </si>
  <si>
    <t>Bebaru virus</t>
  </si>
  <si>
    <t>Cabassou virus</t>
  </si>
  <si>
    <t>Chikungunya virus</t>
  </si>
  <si>
    <t>Eastern equine encephalitis virus</t>
  </si>
  <si>
    <t>Everglades virus</t>
  </si>
  <si>
    <t>Fort Morgan virus</t>
  </si>
  <si>
    <t>Getah virus</t>
  </si>
  <si>
    <t>Highlands J virus</t>
  </si>
  <si>
    <t>Mayaro virus</t>
  </si>
  <si>
    <t>Middelburg virus</t>
  </si>
  <si>
    <t>Mucambo virus</t>
  </si>
  <si>
    <t>Ndumu virus</t>
  </si>
  <si>
    <t>Pixuna virus</t>
  </si>
  <si>
    <t>Tomato leaf curl Karnataka virus</t>
  </si>
  <si>
    <t>Betapapillomavirus</t>
  </si>
  <si>
    <t>Picobirnaviridae</t>
  </si>
  <si>
    <t>Picobirnavirus</t>
  </si>
  <si>
    <t>Human picobirnavirus</t>
  </si>
  <si>
    <t>Rabbit picobirnavirus</t>
  </si>
  <si>
    <t>Tomato yellow leaf curl Indonesia virus</t>
  </si>
  <si>
    <t>Tomato yellow leaf curl Kanchanaburi virus</t>
  </si>
  <si>
    <t>Beet black scorch virus</t>
  </si>
  <si>
    <t>Chenopodium necrosis virus</t>
  </si>
  <si>
    <t>Leek white stripe virus</t>
  </si>
  <si>
    <t>Olive latent virus 1</t>
  </si>
  <si>
    <t>Olive mild mosaic virus</t>
  </si>
  <si>
    <t>Tobacco necrosis virus A</t>
  </si>
  <si>
    <t>Hop trefoil cryptic virus 1</t>
  </si>
  <si>
    <t>Hop trefoil cryptic virus 3</t>
  </si>
  <si>
    <t>Radish yellow edge virus</t>
  </si>
  <si>
    <t>Ryegrass cryptic virus</t>
  </si>
  <si>
    <t>Spinach temperate virus</t>
  </si>
  <si>
    <t>Vicia cryptic virus</t>
  </si>
  <si>
    <t>White clover cryptic virus 1</t>
  </si>
  <si>
    <t>White clover cryptic virus 3</t>
  </si>
  <si>
    <t>Petunia asteroid mosaic virus</t>
  </si>
  <si>
    <t>Glyptapanteles flavicoxis bracovirus</t>
  </si>
  <si>
    <t>Maize dwarf mosaic virus</t>
  </si>
  <si>
    <t>Meadow saffron breaking virus</t>
  </si>
  <si>
    <t>Moroccan watermelon mosaic virus</t>
  </si>
  <si>
    <t>Microplitis demolitor bracovirus</t>
  </si>
  <si>
    <t>Penicillium stoloniferum virus S</t>
  </si>
  <si>
    <t>Rhizoctonia solani virus 717</t>
  </si>
  <si>
    <t>Nothoscordum mosaic virus</t>
  </si>
  <si>
    <t>Onion yellow dwarf virus</t>
  </si>
  <si>
    <t>Ornithogalum mosaic virus</t>
  </si>
  <si>
    <t>Campoletis flavicincta ichnovirus</t>
  </si>
  <si>
    <t>Campoletis sonorensis ichnovirus</t>
  </si>
  <si>
    <t>Casinaria arjuna ichnovirus</t>
  </si>
  <si>
    <t>Gremmeniella abietina RNA virus MS1</t>
  </si>
  <si>
    <t>Podoviridae</t>
  </si>
  <si>
    <t>Siphoviridae</t>
  </si>
  <si>
    <t>BK polyomavirus</t>
  </si>
  <si>
    <t>Bovine polyomavirus</t>
  </si>
  <si>
    <t>Herpesvirales</t>
  </si>
  <si>
    <t>Alloherpesviridae</t>
  </si>
  <si>
    <t>Ictalurid herpesvirus 1</t>
  </si>
  <si>
    <t>Unassigned</t>
  </si>
  <si>
    <t>Cyprinid herpesvirus 3</t>
  </si>
  <si>
    <t>Herpesviridae</t>
  </si>
  <si>
    <t>Alphaherpesvirinae</t>
  </si>
  <si>
    <t>Iltovirus</t>
  </si>
  <si>
    <t>Influenza A virus</t>
  </si>
  <si>
    <t>Quail pea mosaic virus</t>
  </si>
  <si>
    <t>Radish mosaic virus</t>
  </si>
  <si>
    <t>Emiliania huxleyi virus 86</t>
  </si>
  <si>
    <t>Phaeovirus</t>
  </si>
  <si>
    <t>Ectocarpus fasciculatus virus a</t>
  </si>
  <si>
    <t>Rice necrosis mosaic virus</t>
  </si>
  <si>
    <t>Lamium mild mosaic virus</t>
  </si>
  <si>
    <t>Apricot latent ringspot virus</t>
  </si>
  <si>
    <t>Arabis mosaic virus</t>
  </si>
  <si>
    <t>Arracacha virus A</t>
  </si>
  <si>
    <t>Cassava brown streak virus</t>
  </si>
  <si>
    <t>Cucumber vein yellowing virus</t>
  </si>
  <si>
    <t>Squash vein yellowing virus</t>
  </si>
  <si>
    <t>Sweet potato mild mottle virus</t>
  </si>
  <si>
    <t>Macluravirus</t>
  </si>
  <si>
    <t>Alpinia mosaic virus</t>
  </si>
  <si>
    <t>Cardamom mosaic virus</t>
  </si>
  <si>
    <t>Chinese yam necrotic mosaic virus</t>
  </si>
  <si>
    <t>Etapapillomavirus</t>
  </si>
  <si>
    <t>Gammapapillomavirus</t>
  </si>
  <si>
    <t>Ectocarpus siliculosus virus 1</t>
  </si>
  <si>
    <t>Ectocarpus siliculosus virus a</t>
  </si>
  <si>
    <t>Feldmannia irregularis virus a</t>
  </si>
  <si>
    <t>Feldmannia species virus</t>
  </si>
  <si>
    <t>Feldmannia species virus a</t>
  </si>
  <si>
    <t>Hincksia hinckiae virus a</t>
  </si>
  <si>
    <t>Myriotrichia clavaeformis virus a</t>
  </si>
  <si>
    <t>Pilayella littoralis virus 1</t>
  </si>
  <si>
    <t>Prasinovirus</t>
  </si>
  <si>
    <t>Micromonas pusilla virus SP1</t>
  </si>
  <si>
    <t>Prymnesiovirus</t>
  </si>
  <si>
    <t>Chrysochromulina brevifilum virus PW1</t>
  </si>
  <si>
    <t>Raphidovirus</t>
  </si>
  <si>
    <t>Heterosigma akashiwo virus 01</t>
  </si>
  <si>
    <t>Chelonus altitudinis bracovirus</t>
  </si>
  <si>
    <t>Chelonus blackburni bracovirus</t>
  </si>
  <si>
    <t>Chelonus inanitus bracovirus</t>
  </si>
  <si>
    <t>Chelonus insularis bracovirus</t>
  </si>
  <si>
    <t>Plasmaviridae</t>
  </si>
  <si>
    <t>Plasmavirus</t>
  </si>
  <si>
    <t>Polydnaviridae</t>
  </si>
  <si>
    <t>Apanteles crassicornis bracovirus</t>
  </si>
  <si>
    <t>Alfalfa cryptic virus 1</t>
  </si>
  <si>
    <t>Beet cryptic virus 1</t>
  </si>
  <si>
    <t>Beet cryptic virus 2</t>
  </si>
  <si>
    <t>Beet cryptic virus 3</t>
  </si>
  <si>
    <t>Carnation cryptic virus 1</t>
  </si>
  <si>
    <t>Carrot temperate virus 1</t>
  </si>
  <si>
    <t>Carrot temperate virus 3</t>
  </si>
  <si>
    <t>Carrot temperate virus 4</t>
  </si>
  <si>
    <t>Phanerotoma flavitestacea bracovirus</t>
  </si>
  <si>
    <t>Pholetesor ornigis bracovirus</t>
  </si>
  <si>
    <t>Glyptapanteles indiensis bracovirus</t>
  </si>
  <si>
    <t>Glyptapanteles liparidis bracovirus</t>
  </si>
  <si>
    <t>Campoletis aprilis ichnovirus</t>
  </si>
  <si>
    <t>Narcissus degeneration virus</t>
  </si>
  <si>
    <t>Narcissus late season yellows virus</t>
  </si>
  <si>
    <t>Narcissus yellow stripe virus</t>
  </si>
  <si>
    <t>Nerine yellow stripe virus</t>
  </si>
  <si>
    <t>Parechovirus</t>
  </si>
  <si>
    <t>Teschovirus</t>
  </si>
  <si>
    <t>Ornithogalum virus 2</t>
  </si>
  <si>
    <t>Ornithogalum virus 3</t>
  </si>
  <si>
    <t>Papaya leaf distortion mosaic virus</t>
  </si>
  <si>
    <t>Papaya ringspot virus</t>
  </si>
  <si>
    <t>Parsnip mosaic virus</t>
  </si>
  <si>
    <t>Passiflora chlorosis virus</t>
  </si>
  <si>
    <t>Passion fruit woodiness virus</t>
  </si>
  <si>
    <t>Pea seed-borne mosaic virus</t>
  </si>
  <si>
    <t>Peanut mottle virus</t>
  </si>
  <si>
    <t>Casinaria forcipata ichnovirus</t>
  </si>
  <si>
    <t>Casinaria infesta ichnovirus</t>
  </si>
  <si>
    <t>Diadegma acronyctae ichnovirus</t>
  </si>
  <si>
    <t>Diadegma interruptum ichnovirus</t>
  </si>
  <si>
    <t>Diadegma terebrans ichnovirus</t>
  </si>
  <si>
    <t>Enytus montanus ichnovirus</t>
  </si>
  <si>
    <t>Eriborus terebrans ichnovirus</t>
  </si>
  <si>
    <t>Glypta fumiferanae ichnovirus</t>
  </si>
  <si>
    <t>Hyposoter annulipes ichnovirus</t>
  </si>
  <si>
    <t>Hyposoter exiguae ichnovirus</t>
  </si>
  <si>
    <t>Hyposoter fugitivus ichnovirus</t>
  </si>
  <si>
    <t>Hyposoter lymantriae ichnovirus</t>
  </si>
  <si>
    <t>Hyposoter pilosulus ichnovirus</t>
  </si>
  <si>
    <t>Hyposoter rivalis ichnovirus</t>
  </si>
  <si>
    <t>Olesicampe benefactor ichnovirus</t>
  </si>
  <si>
    <t>Olesicampe geniculatae ichnovirus</t>
  </si>
  <si>
    <t>Synetaeris tenuifemur ichnovirus</t>
  </si>
  <si>
    <t>Polyomaviridae</t>
  </si>
  <si>
    <t>Paramecium bursaria Chlorella virus AL2A</t>
  </si>
  <si>
    <t>Paramecium bursaria Chlorella virus BJ2C</t>
  </si>
  <si>
    <t>Senecavirus</t>
  </si>
  <si>
    <t>Tremovirus</t>
  </si>
  <si>
    <t>Iguanid herpesvirus 2</t>
  </si>
  <si>
    <t>Ostreavirus</t>
  </si>
  <si>
    <t>Ostreid herpesvirus 1</t>
  </si>
  <si>
    <t>Mononegavirales</t>
  </si>
  <si>
    <t>Ichtadenovirus</t>
  </si>
  <si>
    <t>Salterprovirus</t>
  </si>
  <si>
    <t>His 1 virus</t>
  </si>
  <si>
    <t>Sobemovirus</t>
  </si>
  <si>
    <t>Blueberry shoestring virus</t>
  </si>
  <si>
    <t>Cocksfoot mottle virus</t>
  </si>
  <si>
    <t>Lucerne transient streak virus</t>
  </si>
  <si>
    <t>Rice yellow mottle virus</t>
  </si>
  <si>
    <t>Ryegrass mottle virus</t>
  </si>
  <si>
    <t>Echinochloa hoja blanca virus</t>
  </si>
  <si>
    <t>Plectrovirus</t>
  </si>
  <si>
    <t>Cryphonectria mitovirus 1</t>
  </si>
  <si>
    <t>Ophiostoma mitovirus 3a</t>
  </si>
  <si>
    <t>Ophiostoma mitovirus 4</t>
  </si>
  <si>
    <t>Ophiostoma mitovirus 5</t>
  </si>
  <si>
    <t>Ophiostoma mitovirus 6</t>
  </si>
  <si>
    <t>Narnavirus</t>
  </si>
  <si>
    <t>Saccharomyces 20S RNA narnavirus</t>
  </si>
  <si>
    <t>Invertebrate iridescent virus 6</t>
  </si>
  <si>
    <t>Lymphocystivirus</t>
  </si>
  <si>
    <t>Lymphocystis disease virus 1</t>
  </si>
  <si>
    <t>Megalocytivirus</t>
  </si>
  <si>
    <t>Infectious spleen and kidney necrosis virus</t>
  </si>
  <si>
    <t>Ranavirus</t>
  </si>
  <si>
    <t>Ambystoma tigrinum virus</t>
  </si>
  <si>
    <t>Bohle iridovirus</t>
  </si>
  <si>
    <t>Iridovirus</t>
  </si>
  <si>
    <t>Invertebrate iridescent virus 1</t>
  </si>
  <si>
    <t>Triatoma virus</t>
  </si>
  <si>
    <t>Acute bee paralysis virus</t>
  </si>
  <si>
    <t>Kashmir bee virus</t>
  </si>
  <si>
    <t>Solenopsis invicta virus-1</t>
  </si>
  <si>
    <t>Taura syndrome virus</t>
  </si>
  <si>
    <t>Dicistroviridae</t>
  </si>
  <si>
    <t>Cripavirus</t>
  </si>
  <si>
    <t>Aphid lethal paralysis virus</t>
  </si>
  <si>
    <t>Black queen cell virus</t>
  </si>
  <si>
    <t>Cricket paralysis virus</t>
  </si>
  <si>
    <t>Drosophila C virus</t>
  </si>
  <si>
    <t>Plautia stali intestine virus</t>
  </si>
  <si>
    <t>Rhopalosiphum padi virus</t>
  </si>
  <si>
    <t>Human parainfluenza virus 3</t>
  </si>
  <si>
    <t>Sendai virus</t>
  </si>
  <si>
    <t>Aphthovirus</t>
  </si>
  <si>
    <t>Simian virus 41</t>
  </si>
  <si>
    <t>Tobacco mottle virus</t>
  </si>
  <si>
    <t>Order</t>
  </si>
  <si>
    <t>Tomato yellow margin leaf curl virus</t>
  </si>
  <si>
    <t>Tomato yellow spot virus</t>
  </si>
  <si>
    <t>Tomato yellow vein streak virus</t>
  </si>
  <si>
    <t>Errantivirus</t>
  </si>
  <si>
    <t>Ceratitis capitata Yoyo virus</t>
  </si>
  <si>
    <t>Drosophila ananassae Tom virus</t>
  </si>
  <si>
    <t>Drosophila melanogaster 297 virus</t>
  </si>
  <si>
    <t>Iotapapillomavirus</t>
  </si>
  <si>
    <t>Trichoplusia ni TED virus</t>
  </si>
  <si>
    <t>Metavirus</t>
  </si>
  <si>
    <t>Arabidopsis thaliana Athila virus</t>
  </si>
  <si>
    <t>Arabidopsis thaliana Tat4 virus</t>
  </si>
  <si>
    <t>Bombyx mori Mag virus</t>
  </si>
  <si>
    <t>Caenorhabditis elegans Cer1 virus</t>
  </si>
  <si>
    <t>Cladosporium fulvum T-1 virus</t>
  </si>
  <si>
    <t>Dictyostelium discoideum Skipper virus</t>
  </si>
  <si>
    <t>Ampullaviridae</t>
  </si>
  <si>
    <t>Ampullavirus</t>
  </si>
  <si>
    <t>Acidianus bottle-shaped virus</t>
  </si>
  <si>
    <t>Arenaviridae</t>
  </si>
  <si>
    <t>Human coronavirus NL63</t>
  </si>
  <si>
    <t>Porcine epidemic diarrhea virus</t>
  </si>
  <si>
    <t>Torovirus</t>
  </si>
  <si>
    <t>Bovine torovirus</t>
  </si>
  <si>
    <t>Human torovirus</t>
  </si>
  <si>
    <t>Porcine torovirus</t>
  </si>
  <si>
    <t>Roniviridae</t>
  </si>
  <si>
    <t>Okavirus</t>
  </si>
  <si>
    <t>Gill-associated virus</t>
  </si>
  <si>
    <t>Picornavirales</t>
  </si>
  <si>
    <t>Broad bean true mosaic virus</t>
  </si>
  <si>
    <t>Cowpea mosaic virus</t>
  </si>
  <si>
    <t>Sapelovirus</t>
  </si>
  <si>
    <t>Avian sapelovirus</t>
  </si>
  <si>
    <t>Malacoherpesviridae</t>
  </si>
  <si>
    <t>Avihepatovirus</t>
  </si>
  <si>
    <t>Hepeviridae</t>
  </si>
  <si>
    <t>Sowbane mosaic virus</t>
  </si>
  <si>
    <t>Subterranean clover mottle virus</t>
  </si>
  <si>
    <t>Turnip rosette virus</t>
  </si>
  <si>
    <t>Velvet tobacco mottle virus</t>
  </si>
  <si>
    <t>Tenuivirus</t>
  </si>
  <si>
    <t>Milk vetch dwarf virus</t>
  </si>
  <si>
    <t>Subterranean clover stunt virus</t>
  </si>
  <si>
    <t>Coconut foliar decay virus</t>
  </si>
  <si>
    <t>Narnaviridae</t>
  </si>
  <si>
    <t>Mitovirus</t>
  </si>
  <si>
    <t>Saccharomyces 23S RNA narnavirus</t>
  </si>
  <si>
    <t>Nimaviridae</t>
  </si>
  <si>
    <t>Whispovirus</t>
  </si>
  <si>
    <t>White spot syndrome virus</t>
  </si>
  <si>
    <t>Nodaviridae</t>
  </si>
  <si>
    <t>Alphanodavirus</t>
  </si>
  <si>
    <t>Black beetle virus</t>
  </si>
  <si>
    <t>Boolarra virus</t>
  </si>
  <si>
    <t>Flock House virus</t>
  </si>
  <si>
    <t>Nodamura virus</t>
  </si>
  <si>
    <t>Pariacoto virus</t>
  </si>
  <si>
    <t>Betanodavirus</t>
  </si>
  <si>
    <t>Barfin flounder nervous necrosis virus</t>
  </si>
  <si>
    <t>Epizootic haematopoietic necrosis virus</t>
  </si>
  <si>
    <t>European catfish virus</t>
  </si>
  <si>
    <t>Frog virus 3</t>
  </si>
  <si>
    <t>Santee-Cooper ranavirus</t>
  </si>
  <si>
    <t>Leviviridae</t>
  </si>
  <si>
    <t>Allolevivirus</t>
  </si>
  <si>
    <t>Iflaviridae</t>
  </si>
  <si>
    <t>Iflavirus</t>
  </si>
  <si>
    <t>Deformed wing virus</t>
  </si>
  <si>
    <t>Ectropis obliqua virus</t>
  </si>
  <si>
    <t>Infectious flacherie virus</t>
  </si>
  <si>
    <t>Perina nuda virus</t>
  </si>
  <si>
    <t>Sacbrood virus</t>
  </si>
  <si>
    <t>Alphalipothrixvirus</t>
  </si>
  <si>
    <t>Varroa destructor virus-1</t>
  </si>
  <si>
    <t>Marnaviridae</t>
  </si>
  <si>
    <t>Marnavirus</t>
  </si>
  <si>
    <t>Heterosigma akashiwo RNA virus</t>
  </si>
  <si>
    <t>Picornaviridae</t>
  </si>
  <si>
    <t>Deltalipothrixvirus</t>
  </si>
  <si>
    <t>Carrot mottle virus</t>
  </si>
  <si>
    <t>Groundnut rosette virus</t>
  </si>
  <si>
    <t>Novirhabdovirus</t>
  </si>
  <si>
    <t>Tobacco bushy top virus</t>
  </si>
  <si>
    <t>Enamovirus</t>
  </si>
  <si>
    <t>Luteovirus</t>
  </si>
  <si>
    <t>Nairovirus</t>
  </si>
  <si>
    <t>Soybean dwarf virus</t>
  </si>
  <si>
    <t>Chickpea stunt disease associated virus</t>
  </si>
  <si>
    <t>Vernonia yellow vein virus</t>
  </si>
  <si>
    <t>Watermelon chlorotic stunt virus</t>
  </si>
  <si>
    <t>Curtovirus</t>
  </si>
  <si>
    <t>Beet curly top virus</t>
  </si>
  <si>
    <t>Flaviviridae</t>
  </si>
  <si>
    <t>Flavivirus</t>
  </si>
  <si>
    <t>Apoi virus</t>
  </si>
  <si>
    <t>Aroa virus</t>
  </si>
  <si>
    <t>Bagaza virus</t>
  </si>
  <si>
    <t>Banzi virus</t>
  </si>
  <si>
    <t>Bouboui virus</t>
  </si>
  <si>
    <t>Bukalasa bat virus</t>
  </si>
  <si>
    <t>Kappapapillomavirus</t>
  </si>
  <si>
    <t>Lambdapapillomavirus</t>
  </si>
  <si>
    <t>Mupapillomavirus</t>
  </si>
  <si>
    <t>Nupapillomavirus</t>
  </si>
  <si>
    <t>Pipapillomavirus</t>
  </si>
  <si>
    <t>Thetapapillomavirus</t>
  </si>
  <si>
    <t>Drosophila buzzatii Osvaldo virus</t>
  </si>
  <si>
    <t>Drosophila melanogaster 412 virus</t>
  </si>
  <si>
    <t>Drosophila melanogaster Blastopia virus</t>
  </si>
  <si>
    <t>Drosophila melanogaster Mdg1 virus</t>
  </si>
  <si>
    <t>Drosophila melanogaster Mdg3 virus</t>
  </si>
  <si>
    <t>Drosophila melanogaster Micropia virus</t>
  </si>
  <si>
    <t>Glycine mosaic virus</t>
  </si>
  <si>
    <t>Pea green mottle virus</t>
  </si>
  <si>
    <t>Gokushovirinae</t>
  </si>
  <si>
    <t>Caenorhabditis elegans Cer13 virus</t>
  </si>
  <si>
    <t>Drosophila melanogaster Bel virus</t>
  </si>
  <si>
    <t>Drosophila melanogaster Roo virus</t>
  </si>
  <si>
    <t>Gooseberry vein banding associated virus</t>
  </si>
  <si>
    <t>Spinareovirinae</t>
  </si>
  <si>
    <t>Sedoreovirinae</t>
  </si>
  <si>
    <t>Wiseana signata nucleopolyhedrovirus</t>
  </si>
  <si>
    <t>Betabaculovirus</t>
  </si>
  <si>
    <t>Adoxophyes orana granulovirus</t>
  </si>
  <si>
    <t>Artogeia rapae granulovirus</t>
  </si>
  <si>
    <t>Choristoneura fumiferana granulovirus</t>
  </si>
  <si>
    <t>Botrytis virus X</t>
  </si>
  <si>
    <t>Tymovirales</t>
  </si>
  <si>
    <t>Betaflexiviridae</t>
  </si>
  <si>
    <t>Murray Valley encephalitis virus</t>
  </si>
  <si>
    <t>Ntaya virus</t>
  </si>
  <si>
    <t>Omsk hemorrhagic fever virus</t>
  </si>
  <si>
    <t>Horsegram yellow mosaic virus</t>
  </si>
  <si>
    <t>Indian cassava mosaic virus</t>
  </si>
  <si>
    <t>Kudzu mosaic virus</t>
  </si>
  <si>
    <t>Lindernia anagallis yellow vein virus</t>
  </si>
  <si>
    <t>Tobacco latent virus</t>
  </si>
  <si>
    <t>Saumarez Reef virus</t>
  </si>
  <si>
    <t>Sepik virus</t>
  </si>
  <si>
    <t>Tembusu virus</t>
  </si>
  <si>
    <t>Tick-borne encephalitis virus</t>
  </si>
  <si>
    <t>Tyuleniy virus</t>
  </si>
  <si>
    <t>Uganda S virus</t>
  </si>
  <si>
    <t>Usutu virus</t>
  </si>
  <si>
    <t>Wesselsbron virus</t>
  </si>
  <si>
    <t>West Nile virus</t>
  </si>
  <si>
    <t>Yaounde virus</t>
  </si>
  <si>
    <t>Yellow fever virus</t>
  </si>
  <si>
    <t>Yokose virus</t>
  </si>
  <si>
    <t>Zika virus</t>
  </si>
  <si>
    <t>Hepacivirus</t>
  </si>
  <si>
    <t>Hepatitis C virus</t>
  </si>
  <si>
    <t>Pestivirus</t>
  </si>
  <si>
    <t>Border disease virus</t>
  </si>
  <si>
    <t>Ludwigia yellow vein Vietnam virus</t>
  </si>
  <si>
    <t>Ludwigia yellow vein virus</t>
  </si>
  <si>
    <t>Luffa yellow mosaic virus</t>
  </si>
  <si>
    <t>Moloney murine sarcoma virus</t>
  </si>
  <si>
    <t>Murine leukemia virus</t>
  </si>
  <si>
    <t>Porcine type-C oncovirus</t>
  </si>
  <si>
    <t>Reticuloendotheliosis virus</t>
  </si>
  <si>
    <t>Petunia vein clearing virus</t>
  </si>
  <si>
    <t>Soymovirus</t>
  </si>
  <si>
    <t>Blueberry red ringspot virus</t>
  </si>
  <si>
    <t>Peanut chlorotic streak virus</t>
  </si>
  <si>
    <t>Soybean chlorotic mottle virus</t>
  </si>
  <si>
    <t>Tungrovirus</t>
  </si>
  <si>
    <t>Caprine arthritis encephalitis virus</t>
  </si>
  <si>
    <t>Equine infectious anemia virus</t>
  </si>
  <si>
    <t>Feline immunodeficiency virus</t>
  </si>
  <si>
    <t>Human immunodeficiency virus 1</t>
  </si>
  <si>
    <t>Human immunodeficiency virus 2</t>
  </si>
  <si>
    <t>Puma lentivirus</t>
  </si>
  <si>
    <t>Simian immunodeficiency virus</t>
  </si>
  <si>
    <t>Visna/maedi virus</t>
  </si>
  <si>
    <t>Spumaretrovirinae</t>
  </si>
  <si>
    <t>Spumavirus</t>
  </si>
  <si>
    <t>Finch circovirus</t>
  </si>
  <si>
    <t>Goose circovirus</t>
  </si>
  <si>
    <t>Gull circovirus</t>
  </si>
  <si>
    <t>Indian citrus ringspot virus</t>
  </si>
  <si>
    <t>Potexvirus</t>
  </si>
  <si>
    <t>Spinach latent virus</t>
  </si>
  <si>
    <t>Orthopoxvirus</t>
  </si>
  <si>
    <t>Camelpox virus</t>
  </si>
  <si>
    <t>Cowpox virus</t>
  </si>
  <si>
    <t>Ectromelia virus</t>
  </si>
  <si>
    <t>Monkeypox virus</t>
  </si>
  <si>
    <t>Raccoonpox virus</t>
  </si>
  <si>
    <t>Taterapox virus</t>
  </si>
  <si>
    <t>Vaccinia virus</t>
  </si>
  <si>
    <t>Variola virus</t>
  </si>
  <si>
    <t>Volepox virus</t>
  </si>
  <si>
    <t>Parapoxvirus</t>
  </si>
  <si>
    <t>Bovine papular stomatitis virus</t>
  </si>
  <si>
    <t>Orf virus</t>
  </si>
  <si>
    <t>Parapoxvirus of red deer in New Zealand</t>
  </si>
  <si>
    <t>Pseudocowpox virus</t>
  </si>
  <si>
    <t>Suipoxvirus</t>
  </si>
  <si>
    <t>Swinepox virus</t>
  </si>
  <si>
    <t>Chalara elegans RNA Virus 1</t>
  </si>
  <si>
    <t>Coniothyrium minitans RNA virus</t>
  </si>
  <si>
    <t>Epichloe festucae virus 1</t>
  </si>
  <si>
    <t>Gremmeniella abietina RNA virus L1</t>
  </si>
  <si>
    <t>Avihepadnavirus</t>
  </si>
  <si>
    <t>Duck hepatitis B virus</t>
  </si>
  <si>
    <t>Heron hepatitis B virus</t>
  </si>
  <si>
    <t>Orthohepadnavirus</t>
  </si>
  <si>
    <t>Ground squirrel hepatitis virus</t>
  </si>
  <si>
    <t>Hepatitis B virus</t>
  </si>
  <si>
    <t>Woodchuck hepatitis virus</t>
  </si>
  <si>
    <t>Ophiostoma partitivirus 1</t>
  </si>
  <si>
    <t>Penicillium stoloniferum virus F</t>
  </si>
  <si>
    <t>Pleurotus ostreatus virus 1</t>
  </si>
  <si>
    <t>Cryspovirus</t>
  </si>
  <si>
    <t>Turnip yellow mosaic virus</t>
  </si>
  <si>
    <t>Voandzeia necrotic mosaic virus</t>
  </si>
  <si>
    <t>Wild cucumber mosaic virus</t>
  </si>
  <si>
    <t>Benyvirus</t>
  </si>
  <si>
    <t>Beet necrotic yellow vein virus</t>
  </si>
  <si>
    <t>Beet soil-borne mosaic virus</t>
  </si>
  <si>
    <t>Deltavirus</t>
  </si>
  <si>
    <t>Hepatitis delta virus</t>
  </si>
  <si>
    <t>Furovirus</t>
  </si>
  <si>
    <t>Chinese wheat mosaic virus</t>
  </si>
  <si>
    <t>Oat golden stripe virus</t>
  </si>
  <si>
    <t>Soil-borne cereal mosaic virus</t>
  </si>
  <si>
    <t>Soil-borne wheat mosaic virus</t>
  </si>
  <si>
    <t>Bovine leukemia virus</t>
  </si>
  <si>
    <t>Primate T-lymphotropic virus 1</t>
  </si>
  <si>
    <t>Primate T-lymphotropic virus 2</t>
  </si>
  <si>
    <t>Pea stem necrosis virus</t>
  </si>
  <si>
    <t>Pelargonium flower break virus</t>
  </si>
  <si>
    <t>Saguaro cactus virus</t>
  </si>
  <si>
    <t>Turnip crinkle virus</t>
  </si>
  <si>
    <t>Weddel waterborne virus</t>
  </si>
  <si>
    <t>Dianthovirus</t>
  </si>
  <si>
    <t>Carnation ringspot virus</t>
  </si>
  <si>
    <t>Red clover necrotic mosaic virus</t>
  </si>
  <si>
    <t>Sweet clover necrotic mosaic virus</t>
  </si>
  <si>
    <t>Machlomovirus</t>
  </si>
  <si>
    <t>Maize chlorotic mottle virus</t>
  </si>
  <si>
    <t>Gardner-Arnstein feline sarcoma virus</t>
  </si>
  <si>
    <t>Gibbon ape leukemia virus</t>
  </si>
  <si>
    <t>Guinea pig type-C oncovirus</t>
  </si>
  <si>
    <t>Hardy-Zuckerman feline sarcoma virus</t>
  </si>
  <si>
    <t>Harvey murine sarcoma virus</t>
  </si>
  <si>
    <t>Cotton leaf curl Bangalore virus</t>
  </si>
  <si>
    <t>Arabidopsis thaliana Ta1 virus</t>
  </si>
  <si>
    <t>Brassica oleracea Melmoth virus</t>
  </si>
  <si>
    <t>Cajanus cajan Panzee virus</t>
  </si>
  <si>
    <t>Glycine max Tgmr virus</t>
  </si>
  <si>
    <t>Hordeum vulgare BARE-1 virus</t>
  </si>
  <si>
    <t>Nicotiana tabacum Tnt1 virus</t>
  </si>
  <si>
    <t>Nicotiana tabacum Tto1 virus</t>
  </si>
  <si>
    <t>Percavirus</t>
  </si>
  <si>
    <t>Rhadinovirus</t>
  </si>
  <si>
    <t>Simplexvirus</t>
  </si>
  <si>
    <t>Varicellovirus</t>
  </si>
  <si>
    <t>Macaque simian foamy virus</t>
  </si>
  <si>
    <t>Simian foamy virus</t>
  </si>
  <si>
    <t>Rudiviridae</t>
  </si>
  <si>
    <t>Rudivirus</t>
  </si>
  <si>
    <t>Original release</t>
    <phoneticPr fontId="3" type="noConversion"/>
  </si>
  <si>
    <t>Lymphocryptovirus</t>
  </si>
  <si>
    <t>Date</t>
    <phoneticPr fontId="3" type="noConversion"/>
  </si>
  <si>
    <t>Change:</t>
    <phoneticPr fontId="3" type="noConversion"/>
  </si>
  <si>
    <t>St Croix River virus</t>
  </si>
  <si>
    <t>Umatilla virus</t>
  </si>
  <si>
    <t>Wad Medani virus</t>
  </si>
  <si>
    <t>Wallal virus</t>
  </si>
  <si>
    <t>Warrego virus</t>
  </si>
  <si>
    <t>Wongorr virus</t>
  </si>
  <si>
    <t>Yunnan orbivirus</t>
  </si>
  <si>
    <t>Orthoreovirus</t>
  </si>
  <si>
    <t>Avian orthoreovirus</t>
  </si>
  <si>
    <t>Baboon orthoreovirus</t>
  </si>
  <si>
    <t>Mammalian orthoreovirus</t>
  </si>
  <si>
    <t>Nelson Bay orthoreovirus</t>
  </si>
  <si>
    <t>Reptilian orthoreovirus</t>
  </si>
  <si>
    <t>Oryzavirus</t>
  </si>
  <si>
    <t>Echinochloa ragged stunt virus</t>
  </si>
  <si>
    <t>Rio Negro virus</t>
  </si>
  <si>
    <t>Ross River virus</t>
  </si>
  <si>
    <t>Salmon pancreas disease virus</t>
  </si>
  <si>
    <t>Semliki Forest virus</t>
  </si>
  <si>
    <t>Sindbis virus</t>
  </si>
  <si>
    <t>Southern elephant seal virus</t>
  </si>
  <si>
    <t>Macavirus</t>
  </si>
  <si>
    <t>Avian paramyxovirus 6</t>
  </si>
  <si>
    <t>Avian paramyxovirus 7</t>
  </si>
  <si>
    <t>Avian paramyxovirus 8</t>
  </si>
  <si>
    <t>Avian paramyxovirus 9</t>
  </si>
  <si>
    <t>Newcastle disease virus</t>
  </si>
  <si>
    <t>Henipavirus</t>
  </si>
  <si>
    <t>Hendra virus</t>
  </si>
  <si>
    <t>Nipah virus</t>
  </si>
  <si>
    <t>Morbillivirus</t>
  </si>
  <si>
    <t>Canine distemper virus</t>
  </si>
  <si>
    <t>Cetacean morbillivirus</t>
  </si>
  <si>
    <t>Measles virus</t>
  </si>
  <si>
    <t>Peste-des-petits-ruminants virus</t>
  </si>
  <si>
    <t>Phocine distemper virus</t>
  </si>
  <si>
    <t>Rinderpest virus</t>
  </si>
  <si>
    <t>Respirovirus</t>
  </si>
  <si>
    <t>Bermuda grass etched-line virus</t>
  </si>
  <si>
    <t>Citrus sudden death-associated virus</t>
  </si>
  <si>
    <t>Maize rayado fino virus</t>
  </si>
  <si>
    <t>Oat blue dwarf virus</t>
  </si>
  <si>
    <t>Caudovirales</t>
  </si>
  <si>
    <t>Myoviridae</t>
  </si>
  <si>
    <t>Totivirus</t>
  </si>
  <si>
    <t>Saccharomyces cerevisiae virus L-A</t>
  </si>
  <si>
    <t>Saccharomyces cerevisiae virus L-BC (La)</t>
  </si>
  <si>
    <t>Ustilago maydis virus H1</t>
  </si>
  <si>
    <t>Tymoviridae</t>
  </si>
  <si>
    <t>Maculavirus</t>
  </si>
  <si>
    <t>Grapevine fleck virus</t>
  </si>
  <si>
    <t>Marafivirus</t>
  </si>
  <si>
    <t>Peduovirinae</t>
  </si>
  <si>
    <t>Spounavirinae</t>
  </si>
  <si>
    <t>Listeria phage P100</t>
  </si>
  <si>
    <t>Tevenvirinae</t>
  </si>
  <si>
    <t>Aeromonas phage 25</t>
  </si>
  <si>
    <t>Scutavirus</t>
  </si>
  <si>
    <t>Bundibugyo ebolavirus</t>
  </si>
  <si>
    <t>Marburg marburgvirus</t>
  </si>
  <si>
    <t>Aquaparamyxovirus</t>
  </si>
  <si>
    <t>Atlantic salmon paramyxovirus</t>
  </si>
  <si>
    <t>Ferlavirus</t>
  </si>
  <si>
    <t>Fer-de-Lance paramyxovirus</t>
  </si>
  <si>
    <t>Moussa virus</t>
  </si>
  <si>
    <t>Ictalurivirus</t>
  </si>
  <si>
    <t>Phycodnaviridae</t>
  </si>
  <si>
    <t>Chlorovirus</t>
  </si>
  <si>
    <t>Hydra viridis Chlorella virus 1</t>
  </si>
  <si>
    <t>Paramecium bursaria Chlorella virus 1</t>
  </si>
  <si>
    <t>Paramecium bursaria Chlorella virus A1</t>
  </si>
  <si>
    <t>Paramecium bursaria Chlorella virus AL1A</t>
  </si>
  <si>
    <t>Autographivirinae</t>
  </si>
  <si>
    <t>Pea mild mosaic virus</t>
  </si>
  <si>
    <t>Trichoplusia ni ascovirus 2a</t>
  </si>
  <si>
    <t>Red clover mottle virus</t>
  </si>
  <si>
    <t>Aparavirus</t>
  </si>
  <si>
    <t>Israeli acute paralysis virus</t>
  </si>
  <si>
    <t>Idnoreovirus 1</t>
  </si>
  <si>
    <t>Idnoreovirus 2</t>
  </si>
  <si>
    <t>Idnoreovirus 3</t>
  </si>
  <si>
    <t>Idnoreovirus 4</t>
  </si>
  <si>
    <t>Idnoreovirus 5</t>
  </si>
  <si>
    <t>Severe acute respiratory syndrome-related coronavirus</t>
  </si>
  <si>
    <t>Bovine immunodeficiency virus</t>
  </si>
  <si>
    <t>African green monkey simian foamy virus</t>
  </si>
  <si>
    <t>Bovine foamy virus</t>
  </si>
  <si>
    <t>Equine foamy virus</t>
  </si>
  <si>
    <t>Feline foamy virus</t>
  </si>
  <si>
    <t>Bovine respiratory syncytial virus</t>
  </si>
  <si>
    <t>Human respiratory syncytial virus</t>
  </si>
  <si>
    <t>Murine pneumonia virus</t>
  </si>
  <si>
    <t>African horse sickness virus</t>
  </si>
  <si>
    <t>Bluetongue virus</t>
  </si>
  <si>
    <t>Changuinola virus</t>
  </si>
  <si>
    <t>Chenuda virus</t>
  </si>
  <si>
    <t>Chobar Gorge virus</t>
  </si>
  <si>
    <t>Corriparta virus</t>
  </si>
  <si>
    <t>Ephemerovirus</t>
  </si>
  <si>
    <t>Lyssavirus</t>
  </si>
  <si>
    <t>Australian bat lyssavirus</t>
  </si>
  <si>
    <t>Mardivirus</t>
  </si>
  <si>
    <t>Simian hemorrhagic fever virus</t>
  </si>
  <si>
    <t>Coronaviridae</t>
  </si>
  <si>
    <t>Human coronavirus 229E</t>
  </si>
  <si>
    <t>Aviadenovirus</t>
  </si>
  <si>
    <t>Cowpea mottle virus</t>
  </si>
  <si>
    <t>Cucumber soil-borne virus</t>
  </si>
  <si>
    <t>Galinsoga mosaic virus</t>
  </si>
  <si>
    <t>Hibiscus chlorotic ringspot virus</t>
  </si>
  <si>
    <t>Epizootic hemorrhagic disease virus</t>
  </si>
  <si>
    <t>Equine encephalosis virus</t>
  </si>
  <si>
    <t>Eubenangee virus</t>
  </si>
  <si>
    <t>Great Island virus</t>
  </si>
  <si>
    <t>Ieri virus</t>
  </si>
  <si>
    <t>Lebombo virus</t>
  </si>
  <si>
    <t>Betaherpesvirinae</t>
  </si>
  <si>
    <t>Human coronavirus HKU1</t>
  </si>
  <si>
    <t>Proboscivirus</t>
  </si>
  <si>
    <t>Roseolovirus</t>
  </si>
  <si>
    <t>Orungo virus</t>
  </si>
  <si>
    <t>Palyam virus</t>
  </si>
  <si>
    <t>Peruvian horse sickness virus</t>
  </si>
  <si>
    <t>Gammaherpesvirinae</t>
  </si>
  <si>
    <t>Bornaviridae</t>
  </si>
  <si>
    <t>Bornavirus</t>
  </si>
  <si>
    <t>Filoviridae</t>
  </si>
  <si>
    <t>Ebolavirus</t>
  </si>
  <si>
    <t>Reston ebolavirus</t>
  </si>
  <si>
    <t>Sudan ebolavirus</t>
  </si>
  <si>
    <t>Zaire ebolavirus</t>
  </si>
  <si>
    <t>Marburgvirus</t>
  </si>
  <si>
    <t>Paramyxoviridae</t>
  </si>
  <si>
    <t>Avulavirus</t>
  </si>
  <si>
    <t>Avian paramyxovirus 2</t>
  </si>
  <si>
    <t>Avian paramyxovirus 3</t>
  </si>
  <si>
    <t>Avian paramyxovirus 4</t>
  </si>
  <si>
    <t>Avian paramyxovirus 5</t>
  </si>
  <si>
    <t>Sesbania mosaic virus</t>
  </si>
  <si>
    <t>Solanum nodiflorum mottle virus</t>
  </si>
  <si>
    <t>Southern bean mosaic virus</t>
  </si>
  <si>
    <t>Southern cowpea mosaic virus</t>
  </si>
  <si>
    <t>Bovine parainfluenza virus 3</t>
  </si>
  <si>
    <t>Human parainfluenza virus 1</t>
  </si>
  <si>
    <t>Olive latent ringspot virus</t>
  </si>
  <si>
    <t>Peach rosette mosaic virus</t>
  </si>
  <si>
    <t>Potato black ringspot virus</t>
  </si>
  <si>
    <t>Potato virus U</t>
  </si>
  <si>
    <t>Raspberry ringspot virus</t>
  </si>
  <si>
    <t>Maize stripe virus</t>
  </si>
  <si>
    <t>Rice grassy stunt virus</t>
  </si>
  <si>
    <t>Rice hoja blanca virus</t>
  </si>
  <si>
    <t>Iridoviridae</t>
  </si>
  <si>
    <t>Chloriridovirus</t>
  </si>
  <si>
    <t>Invertebrate iridescent virus 3</t>
  </si>
  <si>
    <t>Tobacco ringspot virus</t>
  </si>
  <si>
    <t>Tomato black ring virus</t>
  </si>
  <si>
    <t>Tomato ringspot virus</t>
  </si>
  <si>
    <t>Snyder-Theilen feline sarcoma virus</t>
  </si>
  <si>
    <t>Trager duck spleen necrosis virus</t>
  </si>
  <si>
    <t>Viper retrovirus</t>
  </si>
  <si>
    <t>Woolly monkey sarcoma virus</t>
  </si>
  <si>
    <t>Lentivirus</t>
  </si>
  <si>
    <t>Himetobi P virus</t>
  </si>
  <si>
    <t>Rubulavirus</t>
  </si>
  <si>
    <t>Human parainfluenza virus 2</t>
  </si>
  <si>
    <t>Human parainfluenza virus 4</t>
  </si>
  <si>
    <t>Mapuera virus</t>
  </si>
  <si>
    <t>Mumps virus</t>
  </si>
  <si>
    <t>Porcine rubulavirus</t>
  </si>
  <si>
    <t>Avian metapneumovirus</t>
  </si>
  <si>
    <t>Human metapneumovirus</t>
  </si>
  <si>
    <t>Nucleorhabdovirus</t>
  </si>
  <si>
    <t>Rhabdoviridae</t>
  </si>
  <si>
    <t>Cytorhabdovirus</t>
  </si>
  <si>
    <t>Vesiculovirus</t>
  </si>
  <si>
    <t>Nidovirales</t>
  </si>
  <si>
    <t>Arteriviridae</t>
  </si>
  <si>
    <t>Arterivirus</t>
  </si>
  <si>
    <t>Equine arteritis virus</t>
  </si>
  <si>
    <t>Lactate dehydrogenase-elevating virus</t>
  </si>
  <si>
    <t>Mastadenovirus</t>
  </si>
  <si>
    <t>Pepino mosaic virus</t>
  </si>
  <si>
    <t>Plantago asiatica mosaic virus</t>
  </si>
  <si>
    <t>Plantain virus X</t>
  </si>
  <si>
    <t>Potato aucuba mosaic virus</t>
  </si>
  <si>
    <t>Potato virus X</t>
  </si>
  <si>
    <t>Schlumbergera virus X</t>
  </si>
  <si>
    <t>Pepper leaf curl Bangladesh virus</t>
  </si>
  <si>
    <t>Hosta virus X</t>
  </si>
  <si>
    <t>Hydrangea ringspot virus</t>
  </si>
  <si>
    <t>Tulip virus X</t>
  </si>
  <si>
    <t>White clover mosaic virus</t>
  </si>
  <si>
    <t>Zygocactus virus X</t>
  </si>
  <si>
    <t>Strawberry mild yellow edge virus</t>
  </si>
  <si>
    <t>Tamus red mosaic virus</t>
  </si>
  <si>
    <t>Apple chlorotic leaf spot virus</t>
  </si>
  <si>
    <t>Desmodium yellow mottle virus</t>
  </si>
  <si>
    <t>Dulcamara mottle virus</t>
  </si>
  <si>
    <t>Eggplant mosaic virus</t>
  </si>
  <si>
    <t>Erysimum latent virus</t>
  </si>
  <si>
    <t>Guttaviridae</t>
  </si>
  <si>
    <t>Ranunculus mild mosaic virus</t>
  </si>
  <si>
    <t>Ranunculus mosaic virus</t>
  </si>
  <si>
    <t>Okra mosaic virus</t>
  </si>
  <si>
    <t>Ononis yellow mosaic virus</t>
  </si>
  <si>
    <t>Sorghum mosaic virus</t>
  </si>
  <si>
    <t>Soybean mosaic virus</t>
  </si>
  <si>
    <t>Sugarcane mosaic virus</t>
  </si>
  <si>
    <t>Sunflower mosaic virus</t>
  </si>
  <si>
    <t>Sweet potato feathery mottle virus</t>
  </si>
  <si>
    <t>Sweet potato latent virus</t>
  </si>
  <si>
    <t>Torque teno virus 29</t>
  </si>
  <si>
    <t>Pepper yellow leaf curl Indonesia virus</t>
  </si>
  <si>
    <t>Pepper yellow vein Mali virus</t>
  </si>
  <si>
    <t>Potato yellow mosaic Panama virus</t>
  </si>
  <si>
    <t>Potato yellow mosaic virus</t>
  </si>
  <si>
    <t>Pumpkin yellow mosaic virus</t>
  </si>
  <si>
    <t>Radish leaf curl virus</t>
  </si>
  <si>
    <t>Tymovirus</t>
  </si>
  <si>
    <t>Anagyris vein yellowing virus</t>
  </si>
  <si>
    <t>Andean potato latent virus</t>
  </si>
  <si>
    <t>Belladonna mottle virus</t>
  </si>
  <si>
    <t>Cacao yellow mosaic virus</t>
  </si>
  <si>
    <t>Calopogonium yellow vein virus</t>
  </si>
  <si>
    <t>Chayote mosaic virus</t>
  </si>
  <si>
    <t>Clitoria yellow vein virus</t>
  </si>
  <si>
    <t>Chloris striate mosaic virus</t>
  </si>
  <si>
    <t>Digitaria streak virus</t>
  </si>
  <si>
    <t>Maize streak virus</t>
  </si>
  <si>
    <t>Wild potato mosaic virus</t>
  </si>
  <si>
    <t>Wisteria vein mosaic virus</t>
  </si>
  <si>
    <t>Yam mild mosaic virus</t>
  </si>
  <si>
    <t>Yam mosaic virus</t>
  </si>
  <si>
    <t>Zantedeschia mild mosaic virus</t>
  </si>
  <si>
    <t>Zea mosaic virus</t>
  </si>
  <si>
    <t>Ranid herpesvirus 2</t>
  </si>
  <si>
    <t>Cyprinivirus</t>
  </si>
  <si>
    <t>Cyprinid herpesvirus 1</t>
  </si>
  <si>
    <t>Cyprinid herpesvirus 2</t>
  </si>
  <si>
    <t>Salmonivirus</t>
  </si>
  <si>
    <t>Croton yellow vein mosaic virus</t>
  </si>
  <si>
    <t>Desmodium leaf distortion virus</t>
  </si>
  <si>
    <t>Dicliptera yellow mottle Cuba virus</t>
  </si>
  <si>
    <t>Dicliptera yellow mottle virus</t>
  </si>
  <si>
    <t>Dolichos yellow mosaic virus</t>
  </si>
  <si>
    <t>Garlic virus A</t>
  </si>
  <si>
    <t>Garlic virus B</t>
  </si>
  <si>
    <t>Garlic virus C</t>
  </si>
  <si>
    <t>Salmonid herpesvirus 3</t>
  </si>
  <si>
    <t>Parsnip yellow fleck virus</t>
  </si>
  <si>
    <t>Rice tungro spherical virus</t>
  </si>
  <si>
    <t>Sclerotinia sclerotiorum debilitation-associated RNA virus</t>
  </si>
  <si>
    <t>African oil palm ringspot virus</t>
  </si>
  <si>
    <t>Sugarcane striate mosaic-associated virus</t>
  </si>
  <si>
    <t>Barley yellow dwarf virus-MAV</t>
  </si>
  <si>
    <t>Barley yellow dwarf virus-PAS</t>
  </si>
  <si>
    <t>Barley yellow dwarf virus-PAV</t>
  </si>
  <si>
    <t>Cereal yellow dwarf virus-RPS</t>
  </si>
  <si>
    <t>Cereal yellow dwarf virus-RPV</t>
  </si>
  <si>
    <t>Barley yellow dwarf virus-GPV</t>
  </si>
  <si>
    <t>Barley yellow dwarf virus-SGV</t>
  </si>
  <si>
    <t>Rosellinia necatrix virus 1</t>
  </si>
  <si>
    <t>Helminthosporium victoriae virus 190S</t>
  </si>
  <si>
    <t>European mountain ash ringspot-associated virus</t>
  </si>
  <si>
    <t>Varicosavirus</t>
  </si>
  <si>
    <t>Acipenserid herpesvirus 2</t>
  </si>
  <si>
    <t>Oat sterile dwarf virus</t>
  </si>
  <si>
    <t>Pangola stunt virus</t>
  </si>
  <si>
    <t>Flanders virus</t>
  </si>
  <si>
    <t>Parainfluenza virus 5</t>
  </si>
  <si>
    <t>Chironomus plumosus entomopoxvirus</t>
  </si>
  <si>
    <t>Aedes aegypti Mosqcopia virus</t>
  </si>
  <si>
    <t>Candida albicans Tca2 virus</t>
  </si>
  <si>
    <t>Rehmannia mosaic virus</t>
  </si>
  <si>
    <t>Brugmansia mild mottle virus</t>
  </si>
  <si>
    <t>Streptocarpus flower break virus</t>
  </si>
  <si>
    <t>Grapevine virus E</t>
  </si>
  <si>
    <t>Tomato leaf curl Guangdong virus</t>
  </si>
  <si>
    <t>Tomato leaf curl Kerala virus</t>
  </si>
  <si>
    <t>Tomato leaf curl Laos virus</t>
  </si>
  <si>
    <t>Tomato leaf curl Madagascar virus</t>
  </si>
  <si>
    <t>Tomato leaf curl Malaysia virus</t>
  </si>
  <si>
    <t>Tomato leaf curl Mali virus</t>
  </si>
  <si>
    <t>Tomato leaf curl New Delhi virus</t>
  </si>
  <si>
    <t>Tomato leaf curl Philippines virus</t>
  </si>
  <si>
    <t>Tomato leaf curl Pune virus</t>
  </si>
  <si>
    <t>Tomato leaf curl Seychelles virus</t>
  </si>
  <si>
    <t>Tomato leaf curl Sinaloa virus</t>
  </si>
  <si>
    <t>Tomato leaf curl Sri Lanka virus</t>
  </si>
  <si>
    <t>Tomato leaf curl Sudan virus</t>
  </si>
  <si>
    <t>Tomato leaf curl Taiwan virus</t>
  </si>
  <si>
    <t>Tomato leaf curl Uganda virus</t>
  </si>
  <si>
    <t>Tomato leaf curl Vietnam virus</t>
  </si>
  <si>
    <t>Tomato leaf curl virus</t>
  </si>
  <si>
    <t>Tomato mild yellow leaf curl Aragua virus</t>
  </si>
  <si>
    <t>Tomato mosaic Havana virus</t>
  </si>
  <si>
    <t>Gammaentomopoxvirus</t>
  </si>
  <si>
    <t>Aedes aegypti entomopoxvirus</t>
  </si>
  <si>
    <t>Oat mosaic virus</t>
  </si>
  <si>
    <t>Rymovirus</t>
  </si>
  <si>
    <t>Agropyron mosaic virus</t>
  </si>
  <si>
    <t>Hordeum mosaic virus</t>
  </si>
  <si>
    <t>Ryegrass mosaic virus</t>
  </si>
  <si>
    <t>Tritimovirus</t>
  </si>
  <si>
    <t>Brome streak mosaic virus</t>
  </si>
  <si>
    <t>Oat necrotic mottle virus</t>
  </si>
  <si>
    <t>Wheat streak mosaic virus</t>
  </si>
  <si>
    <t>Candida albicans Tca5 virus</t>
  </si>
  <si>
    <t>Drosophila melanogaster 1731 virus</t>
  </si>
  <si>
    <t>Tomato infectious chlorosis virus</t>
  </si>
  <si>
    <t>Mint vein banding-associated virus</t>
  </si>
  <si>
    <t>Torque teno mini virus 7</t>
  </si>
  <si>
    <t>Torque teno mini virus 8</t>
  </si>
  <si>
    <t>Torque teno mini virus 9</t>
  </si>
  <si>
    <t>Goatpox virus</t>
  </si>
  <si>
    <t>Lumpy skin disease virus</t>
  </si>
  <si>
    <t>Sheeppox virus</t>
  </si>
  <si>
    <t>Cervidpoxvirus</t>
  </si>
  <si>
    <t>Torque teno tupaia virus</t>
  </si>
  <si>
    <t>Philosamia cynthia x ricini virus</t>
  </si>
  <si>
    <t>Providence virus</t>
  </si>
  <si>
    <t>Torque teno felis virus</t>
  </si>
  <si>
    <t>Torque teno canis virus</t>
  </si>
  <si>
    <t>Calanthe mild mosaic virus</t>
  </si>
  <si>
    <t>Carnation vein mottle virus</t>
  </si>
  <si>
    <t>Carrot thin leaf virus</t>
  </si>
  <si>
    <t>Carrot virus Y</t>
  </si>
  <si>
    <t>Celery mosaic virus</t>
  </si>
  <si>
    <t>Ceratobium mosaic virus</t>
  </si>
  <si>
    <t>Chilli veinal mottle virus</t>
  </si>
  <si>
    <t>Chinese artichoke mosaic virus</t>
  </si>
  <si>
    <t>Clitoria virus Y</t>
  </si>
  <si>
    <t>Clover yellow vein virus</t>
  </si>
  <si>
    <t>Pokeweed mosaic virus</t>
  </si>
  <si>
    <t>Potato virus A</t>
  </si>
  <si>
    <t>Sulfolobus islandicus rod-shaped virus 2</t>
  </si>
  <si>
    <t>Tectiviridae</t>
  </si>
  <si>
    <t>Tectivirus</t>
  </si>
  <si>
    <t>Tomato leaf curl Bangalore virus</t>
  </si>
  <si>
    <t>Tomato leaf curl Bangladesh virus</t>
  </si>
  <si>
    <t>Cypovirus 13</t>
  </si>
  <si>
    <t>Cypovirus 14</t>
  </si>
  <si>
    <t>Cypovirus 15</t>
  </si>
  <si>
    <t>Cypovirus 16</t>
  </si>
  <si>
    <t>Cypovirus 2</t>
  </si>
  <si>
    <t>Zucchini yellow fleck virus</t>
  </si>
  <si>
    <t>Zucchini yellow mosaic virus</t>
  </si>
  <si>
    <t>Cypovirus 1</t>
  </si>
  <si>
    <t>Cypovirus 8</t>
  </si>
  <si>
    <t>Cypovirus 9</t>
  </si>
  <si>
    <t>Dinovernavirus</t>
  </si>
  <si>
    <t>Giardia lamblia virus</t>
  </si>
  <si>
    <t>Leishmaniavirus</t>
  </si>
  <si>
    <t>Atkinsonella hypoxylon virus</t>
  </si>
  <si>
    <t>Discula destructiva virus 1</t>
  </si>
  <si>
    <t>Maize rough dwarf virus</t>
  </si>
  <si>
    <t>Mal de Rio Cuarto virus</t>
  </si>
  <si>
    <t>Nilaparvata lugens reovirus</t>
  </si>
  <si>
    <t>Gaeumannomyces graminis virus 019/6-A</t>
  </si>
  <si>
    <t>Rice black streaked dwarf virus</t>
  </si>
  <si>
    <t>Idnoreovirus</t>
  </si>
  <si>
    <t>Tobacco leaf curl Cuba virus</t>
  </si>
  <si>
    <t>Tobacco leaf curl Japan virus</t>
  </si>
  <si>
    <t>Tobacco leaf curl Yunnan virus</t>
  </si>
  <si>
    <t>Tobacco leaf curl Zimbabwe virus</t>
  </si>
  <si>
    <t>Faba bean necrotic yellows virus</t>
  </si>
  <si>
    <t>Garlic common latent virus</t>
  </si>
  <si>
    <t>Helenium virus S</t>
  </si>
  <si>
    <t>Hop latent virus</t>
  </si>
  <si>
    <t>Hop mosaic virus</t>
  </si>
  <si>
    <t>Parvovirinae</t>
  </si>
  <si>
    <t>Redspotted grouper nervous necrosis virus</t>
  </si>
  <si>
    <t>Striped jack nervous necrosis virus</t>
  </si>
  <si>
    <t>Tiger puffer nervous necrosis virus</t>
  </si>
  <si>
    <t>Ophioviridae</t>
  </si>
  <si>
    <t>Ophiovirus</t>
  </si>
  <si>
    <t>Citrus psorosis virus</t>
  </si>
  <si>
    <t>Lettuce ring necrosis virus</t>
  </si>
  <si>
    <t>Mirafiori lettuce big-vein virus</t>
  </si>
  <si>
    <t>Ranunculus white mottle virus</t>
  </si>
  <si>
    <t>Tulip mild mottle mosaic virus</t>
  </si>
  <si>
    <t>Orthomyxoviridae</t>
  </si>
  <si>
    <t>Levivirus</t>
  </si>
  <si>
    <t>Lipothrixviridae</t>
  </si>
  <si>
    <t>Thermoproteus tenax virus 1</t>
  </si>
  <si>
    <t>Betalipothrixvirus</t>
  </si>
  <si>
    <t>Sulfolobus islandicus filamentous virus</t>
  </si>
  <si>
    <t>Bean leafroll virus</t>
  </si>
  <si>
    <t>Lettuce speckles mottle virus</t>
  </si>
  <si>
    <t>Polerovirus</t>
  </si>
  <si>
    <t>Beet chlorosis virus</t>
  </si>
  <si>
    <t>Beet western yellows virus</t>
  </si>
  <si>
    <t>Carrot red leaf virus</t>
  </si>
  <si>
    <t>Cucurbit aphid-borne yellows virus</t>
  </si>
  <si>
    <t>Potato leafroll virus</t>
  </si>
  <si>
    <t>Sugarcane yellow leaf virus</t>
  </si>
  <si>
    <t>Turnip yellows virus</t>
  </si>
  <si>
    <t>Endornaviridae</t>
  </si>
  <si>
    <t>Endornavirus</t>
  </si>
  <si>
    <t>Oryza rufipogon endornavirus</t>
  </si>
  <si>
    <t>Oryza sativa endornavirus</t>
  </si>
  <si>
    <t>Vicia faba endornavirus</t>
  </si>
  <si>
    <t>Tobacco vein distorting virus</t>
  </si>
  <si>
    <t>Metaviridae</t>
  </si>
  <si>
    <t>Vitivirus</t>
  </si>
  <si>
    <t>Grapevine virus A</t>
  </si>
  <si>
    <t>Cacipacore virus</t>
  </si>
  <si>
    <t>Carey Island virus</t>
  </si>
  <si>
    <t>Cowbone Ridge virus</t>
  </si>
  <si>
    <t>Dakar bat virus</t>
  </si>
  <si>
    <t>Dengue virus</t>
  </si>
  <si>
    <t>Edge Hill virus</t>
  </si>
  <si>
    <t>Entebbe bat virus</t>
  </si>
  <si>
    <t>Gadgets Gully virus</t>
  </si>
  <si>
    <t>Ilheus virus</t>
  </si>
  <si>
    <t>Israel turkey meningoencephalomyelitis virus</t>
  </si>
  <si>
    <t>Japanese encephalitis virus</t>
  </si>
  <si>
    <t>Jugra virus</t>
  </si>
  <si>
    <t>Jutiapa virus</t>
  </si>
  <si>
    <t>Kadam virus</t>
  </si>
  <si>
    <t>Kedougou virus</t>
  </si>
  <si>
    <t>Kokobera virus</t>
  </si>
  <si>
    <t>Koutango virus</t>
  </si>
  <si>
    <t>Kyasanur Forest disease virus</t>
  </si>
  <si>
    <t>Langat virus</t>
  </si>
  <si>
    <t>Louping ill virus</t>
  </si>
  <si>
    <t>Meaban virus</t>
  </si>
  <si>
    <t>Modoc virus</t>
  </si>
  <si>
    <t>Xipapillomavirus</t>
  </si>
  <si>
    <t>Zetapapillomavirus</t>
  </si>
  <si>
    <t>Partitiviridae</t>
  </si>
  <si>
    <t>Schizosaccharomyces pombe Tf2 virus</t>
  </si>
  <si>
    <t>Takifugu rubripes Sushi virus</t>
  </si>
  <si>
    <t>Tribolium castaneum Woot virus</t>
  </si>
  <si>
    <t>Tripneustis gratilla SURL virus</t>
  </si>
  <si>
    <t>Drosophila virilis Ulysses virus</t>
  </si>
  <si>
    <t>Fusarium oxysporum Skippy virus</t>
  </si>
  <si>
    <t>Lilium henryi Del1 virus</t>
  </si>
  <si>
    <t>Saccharomyces cerevisiae Ty3 virus</t>
  </si>
  <si>
    <t>Schizosaccharomyces pombe Tf1 virus</t>
  </si>
  <si>
    <t>Cryphonectria hypovirus 4</t>
  </si>
  <si>
    <t>Inoviridae</t>
  </si>
  <si>
    <t>Inovirus</t>
  </si>
  <si>
    <t>Drosophila simulans Ninja virus</t>
  </si>
  <si>
    <t>Fugu rubripes Suzu virus</t>
  </si>
  <si>
    <t>Microviridae</t>
  </si>
  <si>
    <t>Oryza australiensis RIRE1 virus</t>
  </si>
  <si>
    <t>Oryza longistaminata Retrofit virus</t>
  </si>
  <si>
    <t>Physarum polycephalum Tp1 virus</t>
  </si>
  <si>
    <t>Saccharomyces cerevisiae Ty1 virus</t>
  </si>
  <si>
    <t>Saccharomyces cerevisiae Ty2 virus</t>
  </si>
  <si>
    <t>Gammaflexiviridae</t>
  </si>
  <si>
    <t>Sclerodarnavirus</t>
  </si>
  <si>
    <t>Honeysuckle yellow vein mosaic virus</t>
  </si>
  <si>
    <t>Honeysuckle yellow vein virus</t>
  </si>
  <si>
    <t>Epsilontorquevirus</t>
  </si>
  <si>
    <t>Zetatorquevirus</t>
  </si>
  <si>
    <t>Etatorquevirus</t>
  </si>
  <si>
    <t>Thetatorquevirus</t>
  </si>
  <si>
    <t>Iotatorquevirus</t>
  </si>
  <si>
    <t>Torque teno virus 1</t>
  </si>
  <si>
    <t>Torque teno virus 2</t>
  </si>
  <si>
    <t>Torque teno virus 3</t>
  </si>
  <si>
    <t>Tobacco mild green mosaic virus</t>
  </si>
  <si>
    <t>Tobacco mosaic virus</t>
  </si>
  <si>
    <t>Tomato mosaic virus</t>
  </si>
  <si>
    <t>Turnip vein-clearing virus</t>
  </si>
  <si>
    <t>Ullucus mild mottle virus</t>
  </si>
  <si>
    <t>Wasabi mottle virus</t>
  </si>
  <si>
    <t>Youcai mosaic virus</t>
  </si>
  <si>
    <t>Zucchini green mottle mosaic virus</t>
  </si>
  <si>
    <t>Tobravirus</t>
  </si>
  <si>
    <t>Pea early-browning virus</t>
  </si>
  <si>
    <t>Pepper ringspot virus</t>
  </si>
  <si>
    <t>Tobacco rattle virus</t>
  </si>
  <si>
    <t>Umbravirus</t>
  </si>
  <si>
    <t>Carrot mottle mimic virus</t>
  </si>
  <si>
    <t>Malvastrum yellow vein virus</t>
  </si>
  <si>
    <t>Malvastrum yellow vein Yunnan virus</t>
  </si>
  <si>
    <t>Melon chlorotic leaf curl virus</t>
  </si>
  <si>
    <t>Mesta yellow vein mosaic virus</t>
  </si>
  <si>
    <t>Macroptilium mosaic Puerto Rico virus</t>
  </si>
  <si>
    <t>Macroptilium yellow mosaic Florida virus</t>
  </si>
  <si>
    <t>Macroptilium yellow mosaic virus</t>
  </si>
  <si>
    <t>Malvastrum leaf curl virus</t>
  </si>
  <si>
    <t>Malvastrum yellow mosaic virus</t>
  </si>
  <si>
    <t>Sweet potato collusive virus</t>
  </si>
  <si>
    <t>Cucurbit leaf crumple virus</t>
  </si>
  <si>
    <t>Peach latent mosaic viroid</t>
  </si>
  <si>
    <t>Baculoviridae</t>
  </si>
  <si>
    <t>Alphabaculovirus</t>
  </si>
  <si>
    <t>Cherry leaf roll virus</t>
  </si>
  <si>
    <t>Chicory yellow mottle virus</t>
  </si>
  <si>
    <t>Cocoa necrosis virus</t>
  </si>
  <si>
    <t>Crimson clover latent virus</t>
  </si>
  <si>
    <t>Cycas necrotic stunt virus</t>
  </si>
  <si>
    <t>Grapevine Anatolian ringspot virus</t>
  </si>
  <si>
    <t>Grapevine Bulgarian latent virus</t>
  </si>
  <si>
    <t>Grapevine chrome mosaic virus</t>
  </si>
  <si>
    <t>Grapevine deformation virus</t>
  </si>
  <si>
    <t>Grapevine fanleaf virus</t>
  </si>
  <si>
    <t>Grapevine Tunisian ringspot virus</t>
  </si>
  <si>
    <t>Hibiscus latent ringspot virus</t>
  </si>
  <si>
    <t>Lucerne Australian latent virus</t>
  </si>
  <si>
    <t>Mulberry ringspot virus</t>
  </si>
  <si>
    <t>Myrobalan latent ringspot virus</t>
  </si>
  <si>
    <t>Anticarsia gemmatalis multiple nucleopolyhedrovirus</t>
  </si>
  <si>
    <t>Cotesia glomerata bracovirus</t>
  </si>
  <si>
    <t>Cotesia hyphantriae bracovirus</t>
  </si>
  <si>
    <t>Cotesia kariyai bracovirus</t>
  </si>
  <si>
    <t>Choristoneura fumiferana multiple nucleopolyhedrovirus</t>
  </si>
  <si>
    <t>Chelonus texanus bracovirus</t>
  </si>
  <si>
    <t>Choristoneura rosaceana nucleopolyhedrovirus</t>
  </si>
  <si>
    <t>Ectropis obliqua nucleopolyhedrovirus</t>
  </si>
  <si>
    <t>Epiphyas postvittana nucleopolyhedrovirus</t>
  </si>
  <si>
    <t>Helicoverpa armigera nucleopolyhedrovirus</t>
  </si>
  <si>
    <t>Lymantria dispar multiple nucleopolyhedrovirus</t>
  </si>
  <si>
    <t>Foot-and-mouth disease virus</t>
  </si>
  <si>
    <t>Cardiovirus</t>
  </si>
  <si>
    <t>Protapanteles paleacritae bracovirus</t>
  </si>
  <si>
    <t>Lacanobia oleracea granulovirus</t>
  </si>
  <si>
    <t>Phthorimaea operculella granulovirus</t>
  </si>
  <si>
    <t>Solanum tuberosum Tst1 virus</t>
  </si>
  <si>
    <t>Triticum aestivum WIS-2 virus</t>
  </si>
  <si>
    <t>Zea mays Hopscotch virus</t>
  </si>
  <si>
    <t>Zea mays Sto-4 virus</t>
  </si>
  <si>
    <t>Pseudalatia unipuncta granulovirus</t>
  </si>
  <si>
    <t>Trichoplusia ni granulovirus</t>
  </si>
  <si>
    <t>Xestia c-nigrum granulovirus</t>
  </si>
  <si>
    <t>Deltabaculovirus</t>
  </si>
  <si>
    <t>Zea mays Opie-2 virus</t>
  </si>
  <si>
    <t>Zea mays Prem-2 virus</t>
  </si>
  <si>
    <t>Phaseolus vulgaris Tpv2-6 virus</t>
  </si>
  <si>
    <t>Reoviridae</t>
  </si>
  <si>
    <t>Neodiprion sertifer nucleopolyhedrovirus</t>
  </si>
  <si>
    <t>Barnaviridae</t>
  </si>
  <si>
    <t>Barnavirus</t>
  </si>
  <si>
    <t>Mushroom bacilliform virus</t>
  </si>
  <si>
    <t>Birnaviridae</t>
  </si>
  <si>
    <t>Aquabirnavirus</t>
  </si>
  <si>
    <t>Infectious pancreatic necrosis virus</t>
  </si>
  <si>
    <t>Tellina virus</t>
  </si>
  <si>
    <t>Yellowtail ascites virus</t>
  </si>
  <si>
    <t>Avibirnavirus</t>
  </si>
  <si>
    <t>Figwort mosaic virus</t>
  </si>
  <si>
    <t>Horseradish latent virus</t>
  </si>
  <si>
    <t>Sadwavirus</t>
  </si>
  <si>
    <t>Satsuma dwarf virus</t>
  </si>
  <si>
    <t>Strawberry latent ringspot virus</t>
  </si>
  <si>
    <t>Strawberry mottle virus</t>
  </si>
  <si>
    <t>Adenoviridae</t>
  </si>
  <si>
    <t>Atadenovirus</t>
  </si>
  <si>
    <t>Infectious bursal disease virus</t>
  </si>
  <si>
    <t>Blosnavirus</t>
  </si>
  <si>
    <t>Blotched snakehead virus</t>
  </si>
  <si>
    <t>Entomobirnavirus</t>
  </si>
  <si>
    <t>Drosophila X virus</t>
  </si>
  <si>
    <t>Bromoviridae</t>
  </si>
  <si>
    <t>Acidianus filamentous virus 9</t>
  </si>
  <si>
    <t>Acidianus filamentous virus 8</t>
  </si>
  <si>
    <t>Cowpea chlorotic mottle virus</t>
  </si>
  <si>
    <t>Melandrium yellow fleck virus</t>
  </si>
  <si>
    <t>Beak and feather disease virus</t>
  </si>
  <si>
    <t>Canary circovirus</t>
  </si>
  <si>
    <t>Peanut stunt virus</t>
  </si>
  <si>
    <t>Tomato aspermy virus</t>
  </si>
  <si>
    <t>Ilarvirus</t>
  </si>
  <si>
    <t>American plum line pattern virus</t>
  </si>
  <si>
    <t>Apple mosaic virus</t>
  </si>
  <si>
    <t>Asparagus virus 2</t>
  </si>
  <si>
    <t>Blueberry shock virus</t>
  </si>
  <si>
    <t>Citrus leaf rugose virus</t>
  </si>
  <si>
    <t>Ascoviridae</t>
  </si>
  <si>
    <t>Ascovirus</t>
  </si>
  <si>
    <t>Alphaentomopoxvirus</t>
  </si>
  <si>
    <t>O'nyong-nyong virus</t>
  </si>
  <si>
    <t>Sammons's Opuntia virus</t>
  </si>
  <si>
    <t>Dermolepida albohirtum entomopoxvirus</t>
  </si>
  <si>
    <t>Geotrupes sylvaticus entomopoxvirus</t>
  </si>
  <si>
    <t>Venezuelan equine encephalitis virus</t>
  </si>
  <si>
    <t>Western equine encephalitis virus</t>
  </si>
  <si>
    <t>Whataroa virus</t>
  </si>
  <si>
    <t>Rubivirus</t>
  </si>
  <si>
    <t>Rubella virus</t>
  </si>
  <si>
    <t>Fujinami sarcoma virus</t>
  </si>
  <si>
    <t>Rous sarcoma virus</t>
  </si>
  <si>
    <t>Tomato chino La Paz virus</t>
  </si>
  <si>
    <t>Tomato chlorotic mottle virus</t>
  </si>
  <si>
    <t>Tomato curly stunt virus</t>
  </si>
  <si>
    <t>Tomato golden mosaic virus</t>
  </si>
  <si>
    <t>Tomato golden mottle virus</t>
  </si>
  <si>
    <t>Tomato leaf curl Arusha virus</t>
  </si>
  <si>
    <t>Pineapple mealybug wilt-associated virus 3</t>
  </si>
  <si>
    <t>Camptochironomus tentans entomopoxvirus</t>
  </si>
  <si>
    <t>Cypovirus 10</t>
  </si>
  <si>
    <t>Cypovirus 11</t>
  </si>
  <si>
    <t>Cypovirus 12</t>
  </si>
  <si>
    <t>Salmonid herpesvirus 1</t>
  </si>
  <si>
    <t>Aedes pseudoscutellaris reovirus</t>
  </si>
  <si>
    <t>Fijivirus</t>
  </si>
  <si>
    <t>Fiji disease virus</t>
  </si>
  <si>
    <t>Garlic dwarf virus</t>
  </si>
  <si>
    <t>Wongabel virus</t>
  </si>
  <si>
    <t>Ngaingan virus</t>
  </si>
  <si>
    <t>Ictalurid herpesvirus 2</t>
  </si>
  <si>
    <t>Tomato yellow leaf curl virus</t>
  </si>
  <si>
    <t>Family</t>
  </si>
  <si>
    <t>Subfamily</t>
  </si>
  <si>
    <t>Genus</t>
  </si>
  <si>
    <t>Species</t>
  </si>
  <si>
    <t>Rhynchosia golden mosaic Sinaloa virus</t>
  </si>
  <si>
    <t>Rhynchosia golden mosaic virus</t>
  </si>
  <si>
    <t>Swan circovirus</t>
  </si>
  <si>
    <t>Nebovirus</t>
  </si>
  <si>
    <t>Newbury-1 virus</t>
  </si>
  <si>
    <t>Coronavirinae</t>
  </si>
  <si>
    <t>Alphacoronavirus</t>
  </si>
  <si>
    <t>Alphacoronavirus 1</t>
  </si>
  <si>
    <t>Tomato leaf curl Comoros virus</t>
  </si>
  <si>
    <t>Sida yellow mosaic Yucatan virus</t>
  </si>
  <si>
    <t>Sida yellow vein Vietnam virus</t>
  </si>
  <si>
    <t>Sida yellow vein virus</t>
  </si>
  <si>
    <t>Siegesbeckia yellow vein Guangxi virus</t>
  </si>
  <si>
    <t>Siegesbeckia yellow vein virus</t>
  </si>
  <si>
    <t>Torque teno mini virus 2</t>
  </si>
  <si>
    <t>Torque teno mini virus 3</t>
  </si>
  <si>
    <t>Torque teno mini virus 4</t>
  </si>
  <si>
    <t>Paramecium bursaria Chlorella virus NE8A</t>
  </si>
  <si>
    <t>Paramecium bursaria Chlorella virus NY2A</t>
  </si>
  <si>
    <t>Paramecium bursaria Chlorella virus NYs1</t>
  </si>
  <si>
    <t>Dasychira pudibunda virus</t>
  </si>
  <si>
    <t>Euprosterna elaeasa virus</t>
  </si>
  <si>
    <t>Nudaurelia capensis beta virus</t>
  </si>
  <si>
    <t>Paramecium bursaria Chlorella virus XZ3A</t>
  </si>
  <si>
    <t>Pseudoplusia includens virus</t>
  </si>
  <si>
    <t>Thosea asigna virus</t>
  </si>
  <si>
    <t>Trichoplusia ni virus</t>
  </si>
  <si>
    <t>Tomato mottle Taino virus</t>
  </si>
  <si>
    <t>Tomato mottle virus</t>
  </si>
  <si>
    <t>Tomato rugose mosaic virus</t>
  </si>
  <si>
    <t>Tomato severe leaf curl virus</t>
  </si>
  <si>
    <t>Tomato severe rugose virus</t>
  </si>
  <si>
    <t>Tomato yellow leaf curl Axarquia virus</t>
  </si>
  <si>
    <t>Tomato yellow leaf curl China virus</t>
  </si>
  <si>
    <t>Tomato yellow leaf curl Guangdong virus</t>
  </si>
  <si>
    <t>Tomato yellow leaf curl Malaga virus</t>
  </si>
  <si>
    <t>Torque teno mini virus 1</t>
  </si>
  <si>
    <t>Drosophila melanogaster copia virus</t>
  </si>
  <si>
    <t>Saccharomyces cerevisiae Ty5 virus</t>
  </si>
  <si>
    <t>Torque teno mini virus 5</t>
  </si>
  <si>
    <t>Torque teno mini virus 6</t>
  </si>
  <si>
    <t>Betatetravirus</t>
  </si>
  <si>
    <t>Antheraea eucalypti virus</t>
  </si>
  <si>
    <t>Darna trima virus</t>
  </si>
  <si>
    <t>Torque teno midi virus 1</t>
  </si>
  <si>
    <t>Torque teno midi virus 2</t>
  </si>
  <si>
    <t>Deltapapillomavirus</t>
  </si>
  <si>
    <t>Helleborus net necrosis virus</t>
  </si>
  <si>
    <t>Waikavirus</t>
  </si>
  <si>
    <t>Comovirus</t>
  </si>
  <si>
    <t>Fabavirus</t>
  </si>
  <si>
    <t>Nepovirus</t>
  </si>
  <si>
    <t>Comovirinae</t>
  </si>
  <si>
    <t>Spiranthes mosaic virus 3</t>
  </si>
  <si>
    <t>Maize white line mosaic virus</t>
  </si>
  <si>
    <t>Volvox carteri Osser virus</t>
  </si>
  <si>
    <t>Pseudovirus</t>
  </si>
  <si>
    <t>Acidianus rod-shaped virus 1</t>
  </si>
  <si>
    <t>Sulfolobus islandicus rod-shaped virus 1</t>
  </si>
  <si>
    <t>Tobacco necrosis virus D</t>
  </si>
  <si>
    <t>Panicovirus</t>
  </si>
  <si>
    <t>Panicum mosaic virus</t>
  </si>
  <si>
    <t>Tombusvirus</t>
  </si>
  <si>
    <t>Artichoke mottled crinkle virus</t>
  </si>
  <si>
    <t>Carnation Italian ringspot virus</t>
  </si>
  <si>
    <t>Cucumber Bulgarian virus</t>
  </si>
  <si>
    <t>Cucumber necrosis virus</t>
  </si>
  <si>
    <t>Cymbidium ringspot virus</t>
  </si>
  <si>
    <t>Eggplant mottled crinkle virus</t>
  </si>
  <si>
    <t>Sitke waterborne virus</t>
  </si>
  <si>
    <t>Cypovirus 3</t>
  </si>
  <si>
    <t>Cypovirus 4</t>
  </si>
  <si>
    <t>Cypovirus 5</t>
  </si>
  <si>
    <t>Cypovirus 6</t>
  </si>
  <si>
    <t>Cypovirus 7</t>
  </si>
  <si>
    <t>Tomato bushy stunt virus</t>
  </si>
  <si>
    <t>Totiviridae</t>
  </si>
  <si>
    <t>Giardiavirus</t>
  </si>
  <si>
    <t>Hypomicrogaster canadensis bracovirus</t>
  </si>
  <si>
    <t>Hypomicrogaster ectdytolophae bracovirus</t>
  </si>
  <si>
    <t>Microplitis croceipes bracovirus</t>
  </si>
  <si>
    <t>Discula destructiva virus 2</t>
  </si>
  <si>
    <t>Fusarium poae virus 1</t>
  </si>
  <si>
    <t>Fusarium solani virus 1</t>
  </si>
  <si>
    <t>Parvoviridae</t>
  </si>
  <si>
    <t>Densovirinae</t>
  </si>
  <si>
    <t>Brevidensovirus</t>
  </si>
  <si>
    <t>Gaeumannomyces graminis virus T1-A</t>
  </si>
  <si>
    <t>Mimoreovirus</t>
  </si>
  <si>
    <t>Micromonas pusilla reovirus</t>
  </si>
  <si>
    <t>Mycoreovirus</t>
  </si>
  <si>
    <t>Mycoreovirus 1</t>
  </si>
  <si>
    <t>Mycoreovirus 2</t>
  </si>
  <si>
    <t>Mycoreovirus 3</t>
  </si>
  <si>
    <t>Orbivirus</t>
  </si>
  <si>
    <t>Molluscum contagiosum virus</t>
  </si>
  <si>
    <t>Tomato leaf curl China virus</t>
  </si>
  <si>
    <t>Grapevine Algerian latent virus</t>
  </si>
  <si>
    <t>Havel River virus</t>
  </si>
  <si>
    <t>Lato River virus</t>
  </si>
  <si>
    <t>Limonium flower distortion virus</t>
  </si>
  <si>
    <t>Moroccan pepper virus</t>
  </si>
  <si>
    <t>Neckar River virus</t>
  </si>
  <si>
    <t>Pelargonium leaf curl virus</t>
  </si>
  <si>
    <t>Pelargonium necrotic spot virus</t>
  </si>
  <si>
    <t>Tomato yellow leaf curl Mali virus</t>
  </si>
  <si>
    <t>Commelina yellow mottle virus</t>
  </si>
  <si>
    <t>Carnation etched ring virus</t>
  </si>
  <si>
    <t>Cauliflower mosaic virus</t>
  </si>
  <si>
    <t>Bdellomicrovirus</t>
  </si>
  <si>
    <t>Chlamydiamicrovirus</t>
  </si>
  <si>
    <t>Cowpea mild mottle virus</t>
  </si>
  <si>
    <t>Daphne virus S</t>
  </si>
  <si>
    <t>Narcissus common latent virus</t>
  </si>
  <si>
    <t>Nerine latent virus</t>
  </si>
  <si>
    <t>Passiflora latent virus</t>
  </si>
  <si>
    <t>Pea streak virus</t>
  </si>
  <si>
    <t>Poplar mosaic virus</t>
  </si>
  <si>
    <t>Potato latent virus</t>
  </si>
  <si>
    <t>Potato virus M</t>
  </si>
  <si>
    <t>Potato virus P</t>
  </si>
  <si>
    <t>Potato virus S</t>
  </si>
  <si>
    <t>Red clover vein mosaic virus</t>
  </si>
  <si>
    <t>Shallot latent virus</t>
  </si>
  <si>
    <t>Sint-Jan's onion latent virus</t>
  </si>
  <si>
    <t>Starling circovirus</t>
  </si>
  <si>
    <t>Gyrovirus</t>
  </si>
  <si>
    <t>Chicken anemia virus</t>
  </si>
  <si>
    <t>Closteroviridae</t>
  </si>
  <si>
    <t>Ampelovirus</t>
  </si>
  <si>
    <t>Tobacco streak virus</t>
  </si>
  <si>
    <t>Tulare apple mosaic virus</t>
  </si>
  <si>
    <t>Oleavirus</t>
  </si>
  <si>
    <t>Olive latent virus 2</t>
  </si>
  <si>
    <t>Bunyaviridae</t>
  </si>
  <si>
    <t>Hantavirus</t>
  </si>
  <si>
    <t>Influenzavirus A</t>
  </si>
  <si>
    <t>Acidianus filamentous virus 2</t>
  </si>
  <si>
    <t>Gammalipothrixvirus</t>
  </si>
  <si>
    <t>Acidianus filamentous virus 1</t>
  </si>
  <si>
    <t>Luteoviridae</t>
  </si>
  <si>
    <t>Lettuce chlorosis virus</t>
  </si>
  <si>
    <t>Lettuce infectious yellows virus</t>
  </si>
  <si>
    <t>Potato yellow vein virus</t>
  </si>
  <si>
    <t>Strawberry pallidosis-associated virus</t>
  </si>
  <si>
    <t>Beet mild yellowing virus</t>
  </si>
  <si>
    <t>Orthobunyavirus</t>
  </si>
  <si>
    <t>Groundnut rosette assistor virus</t>
  </si>
  <si>
    <t>Indonesian soybean dwarf virus</t>
  </si>
  <si>
    <t>Sweet potato leaf speckling virus</t>
  </si>
  <si>
    <t>Tobacco necrotic dwarf virus</t>
  </si>
  <si>
    <t>Cherry green ring mottle virus</t>
  </si>
  <si>
    <t>Cherry necrotic rusty mottle virus</t>
  </si>
  <si>
    <t>Potato virus T</t>
  </si>
  <si>
    <t>African cassava mosaic virus</t>
  </si>
  <si>
    <t>Ageratum enation virus</t>
  </si>
  <si>
    <t>Ageratum leaf curl virus</t>
  </si>
  <si>
    <t>Ageratum yellow vein Hualian virus</t>
  </si>
  <si>
    <t>Ageratum yellow vein Sri Lanka virus</t>
  </si>
  <si>
    <t>Ageratum yellow vein virus</t>
  </si>
  <si>
    <t>Alternanthera yellow vein virus</t>
  </si>
  <si>
    <t>Bean calico mosaic virus</t>
  </si>
  <si>
    <t>Bean dwarf mosaic virus</t>
  </si>
  <si>
    <t>Montana myotis leukoencephalitis virus</t>
  </si>
  <si>
    <t>Cilevirus</t>
  </si>
  <si>
    <t>Citrus leprosis virus C</t>
  </si>
  <si>
    <t>Virgaviridae</t>
  </si>
  <si>
    <t>Torradovirus</t>
  </si>
  <si>
    <t>Tomato torrado virus</t>
  </si>
  <si>
    <t>Tomato marchitez virus</t>
  </si>
  <si>
    <t>Secoviridae</t>
  </si>
  <si>
    <t>Maize necrotic streak virus</t>
  </si>
  <si>
    <t>Pelargonium line pattern virus</t>
  </si>
  <si>
    <t>Caliciviridae</t>
  </si>
  <si>
    <t>Lagovirus</t>
  </si>
  <si>
    <t>European brown hare syndrome virus</t>
  </si>
  <si>
    <t>Rabbit hemorrhagic disease virus</t>
  </si>
  <si>
    <t>Norovirus</t>
  </si>
  <si>
    <t>Norwalk virus</t>
  </si>
  <si>
    <t>Sapovirus</t>
  </si>
  <si>
    <t>Sapporo virus</t>
  </si>
  <si>
    <t>Vesivirus</t>
  </si>
  <si>
    <t>Feline calicivirus</t>
  </si>
  <si>
    <t>Vesicular exanthema of swine virus</t>
  </si>
  <si>
    <t>Caulimoviridae</t>
  </si>
  <si>
    <t>Badnavirus</t>
  </si>
  <si>
    <t>Aglaonema bacilliform virus</t>
  </si>
  <si>
    <t>Semotivirus</t>
  </si>
  <si>
    <t>Anopheles gambiae Moose virus</t>
  </si>
  <si>
    <t>Ascaris lumbricoides Tas virus</t>
  </si>
  <si>
    <t>Bombyx mori Pao virus</t>
  </si>
  <si>
    <t>Canna yellow mottle virus</t>
  </si>
  <si>
    <t>Chironomus attenuatus entomopoxvirus</t>
  </si>
  <si>
    <t>Sugarcane bacilliform IM virus</t>
  </si>
  <si>
    <t>Taro bacilliform virus</t>
  </si>
  <si>
    <t>Lettuce virus X</t>
  </si>
  <si>
    <t>Piper yellow mottle virus</t>
  </si>
  <si>
    <t>Rubus yellow net virus</t>
  </si>
  <si>
    <t>Schefflera ringspot virus</t>
  </si>
  <si>
    <t>Spiromicrovirus</t>
  </si>
  <si>
    <t>Mimiviridae</t>
  </si>
  <si>
    <t>Mimivirus</t>
  </si>
  <si>
    <t>Acanthamoeba polyphaga mimivirus</t>
  </si>
  <si>
    <t>Nanoviridae</t>
  </si>
  <si>
    <t>Babuvirus</t>
  </si>
  <si>
    <t>Banana bunchy top virus</t>
  </si>
  <si>
    <t>Nanovirus</t>
  </si>
  <si>
    <t>Dahlia mosaic virus</t>
  </si>
  <si>
    <t>Chrysanthemum virus B</t>
  </si>
  <si>
    <t>Cole latent virus</t>
  </si>
  <si>
    <t>Lily symptomless virus</t>
  </si>
  <si>
    <t>Melon yellowing-associated virus</t>
  </si>
  <si>
    <t>JC polyomavirus</t>
  </si>
  <si>
    <t>Murine pneumotropic virus</t>
  </si>
  <si>
    <t>Murine polyomavirus</t>
  </si>
  <si>
    <t>Simian virus 40</t>
  </si>
  <si>
    <t>Pospiviroidae</t>
  </si>
  <si>
    <t>Apscaviroid</t>
  </si>
  <si>
    <t>Apple dimple fruit viroid</t>
  </si>
  <si>
    <t>Apple scar skin viroid</t>
  </si>
  <si>
    <t>Australian grapevine viroid</t>
  </si>
  <si>
    <t>Citrus bent leaf viroid</t>
  </si>
  <si>
    <t>Citrus dwarfing viroid</t>
  </si>
  <si>
    <t>Grapevine yellow speckle viroid 1</t>
  </si>
  <si>
    <t>Grapevine yellow speckle viroid 2</t>
  </si>
  <si>
    <t>Pear blister canker viroid</t>
  </si>
  <si>
    <t>Cocadviroid</t>
  </si>
  <si>
    <t>Citrus bark cracking viroid</t>
  </si>
  <si>
    <t>Coconut cadang-cadang viroid</t>
  </si>
  <si>
    <t>Coconut tinangaja viroid</t>
  </si>
  <si>
    <t>Hop latent viroid</t>
  </si>
  <si>
    <t>Grapevine leafroll-associated virus 1</t>
  </si>
  <si>
    <t>Grapevine leafroll-associated virus 3</t>
  </si>
  <si>
    <t>Little cherry virus 2</t>
  </si>
  <si>
    <t>Pineapple mealybug wilt-associated virus 1</t>
  </si>
  <si>
    <t>Pineapple mealybug wilt-associated virus 2</t>
  </si>
  <si>
    <t>Closterovirus</t>
  </si>
  <si>
    <t>Beet yellow stunt virus</t>
  </si>
  <si>
    <t>Beet yellows virus</t>
  </si>
  <si>
    <t>Burdock yellows virus</t>
  </si>
  <si>
    <t>Carnation necrotic fleck virus</t>
  </si>
  <si>
    <t>Carrot yellow leaf virus</t>
  </si>
  <si>
    <t>Citrus tristeza virus</t>
  </si>
  <si>
    <t>Grapevine leafroll-associated virus 2</t>
  </si>
  <si>
    <t>Mint virus 1</t>
  </si>
  <si>
    <t>Wheat yellow leaf virus</t>
  </si>
  <si>
    <t>Crinivirus</t>
  </si>
  <si>
    <t>Abutilon yellows virus</t>
  </si>
  <si>
    <t>Cucurbit yellow stunting disorder virus</t>
  </si>
  <si>
    <t>Corticoviridae</t>
  </si>
  <si>
    <t>Corticovirus</t>
  </si>
  <si>
    <t>Volvox carteri Lueckenbuesser virus</t>
  </si>
  <si>
    <t>Cystoviridae</t>
  </si>
  <si>
    <t>Tomato mild mottle virus</t>
  </si>
  <si>
    <t>Poxviridae</t>
  </si>
  <si>
    <t>Chordopoxvirinae</t>
  </si>
  <si>
    <t>Avipoxvirus</t>
  </si>
  <si>
    <t>Cystovirus</t>
  </si>
  <si>
    <t>Apricot pseudo-chlorotic leaf spot virus</t>
  </si>
  <si>
    <t>Cherry mottle leaf virus</t>
  </si>
  <si>
    <t>Grapevine berry inner necrosis virus</t>
  </si>
  <si>
    <t>Peach mosaic virus</t>
  </si>
  <si>
    <t>Banana mild mosaic virus</t>
  </si>
  <si>
    <t>Heracleum latent virus</t>
  </si>
  <si>
    <t>Fuselloviridae</t>
  </si>
  <si>
    <t>Sulfolobus spindle-shaped virus 1</t>
  </si>
  <si>
    <t>Geminiviridae</t>
  </si>
  <si>
    <t>Begomovirus</t>
  </si>
  <si>
    <t>Abutilon mosaic virus</t>
  </si>
  <si>
    <t>Cocksfoot streak virus</t>
  </si>
  <si>
    <t>Colombian datura virus</t>
  </si>
  <si>
    <t>Commelina mosaic virus</t>
  </si>
  <si>
    <t>Cowpea aphid-borne mosaic virus</t>
  </si>
  <si>
    <t>Cowpea green vein banding virus</t>
  </si>
  <si>
    <t>Cypripedium virus Y</t>
  </si>
  <si>
    <t>Daphne mosaic virus</t>
  </si>
  <si>
    <t>Dasheen mosaic virus</t>
  </si>
  <si>
    <t>Datura shoestring virus</t>
  </si>
  <si>
    <t>Diuris virus Y</t>
  </si>
  <si>
    <t>East Asian Passiflora virus</t>
  </si>
  <si>
    <t>Endive necrotic mosaic virus</t>
  </si>
  <si>
    <t>Euphorbia ringspot virus</t>
  </si>
  <si>
    <t>Freesia mosaic virus</t>
  </si>
  <si>
    <t>Fritillary virus Y</t>
  </si>
  <si>
    <t>Gloriosa stripe mosaic virus</t>
  </si>
  <si>
    <t>Groundnut eyespot virus</t>
  </si>
  <si>
    <t>Guinea grass mosaic virus</t>
  </si>
  <si>
    <t>Helenium virus Y</t>
  </si>
  <si>
    <t>Algerian watermelon mosaic virus</t>
  </si>
  <si>
    <t>Alternanthera mild mosaic virus</t>
  </si>
  <si>
    <t>Angelica virus Y</t>
  </si>
  <si>
    <t>Butterfly flower mosaic virus</t>
  </si>
  <si>
    <t>Canna yellow streak virus</t>
  </si>
  <si>
    <t>Hardenbergia mosaic virus</t>
  </si>
  <si>
    <t>Peach chlorotic mottle virus</t>
  </si>
  <si>
    <t>Mint virus 2</t>
  </si>
  <si>
    <t>Coleus vein necrosis virus</t>
  </si>
  <si>
    <t>Ligustrum necrotic ringspot virus</t>
  </si>
  <si>
    <t>Malva mosaic virus</t>
  </si>
  <si>
    <t>Phaius virus X</t>
  </si>
  <si>
    <t>Johnsongrass chlorotic stripe mosaic virus</t>
  </si>
  <si>
    <t>Lolavirus</t>
  </si>
  <si>
    <t>Lolium latent virus</t>
  </si>
  <si>
    <t>Plum bark necrosis stem pitting-associated virus</t>
  </si>
  <si>
    <t>Bean yellow disorder virus</t>
  </si>
  <si>
    <t>Banana streak GF virus</t>
  </si>
  <si>
    <t>Banana streak OL virus</t>
  </si>
  <si>
    <t>Cacao swollen shoot virus</t>
  </si>
  <si>
    <t>Salmonid herpesvirus 2</t>
  </si>
  <si>
    <t>Bovine rhinitis B virus</t>
  </si>
  <si>
    <t>Chironomus luridus entomopoxvirus</t>
  </si>
  <si>
    <t>Caulimovirus</t>
  </si>
  <si>
    <t>Diachasmimorpha entomopoxvirus</t>
  </si>
  <si>
    <t>Pseudoviridae</t>
  </si>
  <si>
    <t>Hemivirus</t>
  </si>
  <si>
    <t>Arracacha mottle virus</t>
  </si>
  <si>
    <t>Brugmansia suaveolens mottle virus</t>
  </si>
  <si>
    <t>Chilli ringspot virus</t>
  </si>
  <si>
    <t>Malva vein clearing virus</t>
  </si>
  <si>
    <t>Telosma mosaic virus</t>
  </si>
  <si>
    <t>Twisted-stalk chlorotic streak virus</t>
  </si>
  <si>
    <t>Vallota mosaic virus</t>
  </si>
  <si>
    <t>Wild tomato mosaic virus</t>
  </si>
  <si>
    <t>Wheat eqlid mosaic virus</t>
  </si>
  <si>
    <t>Carrot necrotic dieback virus</t>
  </si>
  <si>
    <t>Black raspberry necrosis virus</t>
  </si>
  <si>
    <t>Citrus viroid V</t>
  </si>
  <si>
    <t>Citrus viroid VI</t>
  </si>
  <si>
    <t>Beet curly top Iran virus</t>
  </si>
  <si>
    <t>For more information see: http://www.ictvonline.org/</t>
  </si>
  <si>
    <t>Alligatorweed stunting virus</t>
  </si>
  <si>
    <t>Grapevine leafroll-associated virus 7</t>
  </si>
  <si>
    <t>Little cherry virus 1</t>
  </si>
  <si>
    <t>Megakepasma mosaic virus</t>
  </si>
  <si>
    <t>Olive leaf yellowing-associated virus</t>
  </si>
  <si>
    <t>Escherichia phage Rogue1</t>
  </si>
  <si>
    <t>Escherichia phage Rtp</t>
  </si>
  <si>
    <t>Escherichia phage Tls</t>
  </si>
  <si>
    <t>Aurivirus</t>
  </si>
  <si>
    <t>Haliotid herpesvirus 1</t>
  </si>
  <si>
    <t>Ligamenvirales</t>
  </si>
  <si>
    <t>Perhabdovirus</t>
  </si>
  <si>
    <t>Sigmavirus</t>
  </si>
  <si>
    <t>Drosophila affinis sigmavirus</t>
  </si>
  <si>
    <t>Drosophila ananassae sigmavirus</t>
  </si>
  <si>
    <t>Drosophila immigrans sigmavirus</t>
  </si>
  <si>
    <t>Drosophila melanogaster sigmavirus</t>
  </si>
  <si>
    <t>Drosophila obscura sigmavirus</t>
  </si>
  <si>
    <t>Drosophila tristis sigmavirus</t>
  </si>
  <si>
    <t>Muscina stabulans sigmavirus</t>
  </si>
  <si>
    <t>Tibrovirus</t>
  </si>
  <si>
    <t>Mesoniviridae</t>
  </si>
  <si>
    <t>Alphamesonivirus</t>
  </si>
  <si>
    <t>Alphamesonivirus 1</t>
  </si>
  <si>
    <t>Aquamavirus</t>
  </si>
  <si>
    <t>Aquamavirus A</t>
  </si>
  <si>
    <t>Cosavirus</t>
  </si>
  <si>
    <t>Cosavirus A</t>
  </si>
  <si>
    <t>Dicipivirus</t>
  </si>
  <si>
    <t>Cadicivirus A</t>
  </si>
  <si>
    <t>Enterovirus A</t>
  </si>
  <si>
    <t>Enterovirus B</t>
  </si>
  <si>
    <t>Enterovirus C</t>
  </si>
  <si>
    <t>Enterovirus D</t>
  </si>
  <si>
    <t>Enterovirus E</t>
  </si>
  <si>
    <t>Enterovirus F</t>
  </si>
  <si>
    <t>Enterovirus G</t>
  </si>
  <si>
    <t>Enterovirus H</t>
  </si>
  <si>
    <t>Enterovirus J</t>
  </si>
  <si>
    <t>Rhinovirus A</t>
  </si>
  <si>
    <t>Rhinovirus B</t>
  </si>
  <si>
    <t>Rhinovirus C</t>
  </si>
  <si>
    <t>Aichivirus A</t>
  </si>
  <si>
    <t>Aichivirus B</t>
  </si>
  <si>
    <t>Aichivirus C</t>
  </si>
  <si>
    <t>Megrivirus</t>
  </si>
  <si>
    <t>Melegrivirus A</t>
  </si>
  <si>
    <t>Salivirus</t>
  </si>
  <si>
    <t>Salivirus A</t>
  </si>
  <si>
    <t>Cucurbit mild mosaic virus</t>
  </si>
  <si>
    <t>Blueberry latent spherical virus</t>
  </si>
  <si>
    <t>Allium virus X</t>
  </si>
  <si>
    <t>Lagenaria mild mosaic virus</t>
  </si>
  <si>
    <t>Blackberry virus E</t>
  </si>
  <si>
    <t>Butterbur mosaic virus</t>
  </si>
  <si>
    <t>Cucumber vein-clearing virus</t>
  </si>
  <si>
    <t>Helleborus mosaic virus</t>
  </si>
  <si>
    <t>Hippeastrum latent virus</t>
  </si>
  <si>
    <t>Hydrangea chlorotic mottle virus</t>
  </si>
  <si>
    <t>Mirabilis jalapa mottle virus</t>
  </si>
  <si>
    <t>Phlox virus B</t>
  </si>
  <si>
    <t>Phlox virus M</t>
  </si>
  <si>
    <t>Phlox virus S</t>
  </si>
  <si>
    <t>Sweet potato C6 virus</t>
  </si>
  <si>
    <t>Asian prunus virus 1</t>
  </si>
  <si>
    <t>Grapevine Pinot gris virus</t>
  </si>
  <si>
    <t>Phlomis mottle virus</t>
  </si>
  <si>
    <t>Banana virus X</t>
  </si>
  <si>
    <t>Hardenbergia virus A</t>
  </si>
  <si>
    <t>Actinidia virus A</t>
  </si>
  <si>
    <t>Antheraea pernyi nucleopolyhedrovirus</t>
  </si>
  <si>
    <t>Chrysodeixis chalcites nucleopolyhedrovirus</t>
  </si>
  <si>
    <t>Clanis bilineata nucleopolyhedrovirus</t>
  </si>
  <si>
    <t>Euproctis pseudoconspersa nucleopolyhedrovirus</t>
  </si>
  <si>
    <t>Hyphantria cunea nucleopolyhedrovirus</t>
  </si>
  <si>
    <t>Leucania separata nucleopolyhedrovirus</t>
  </si>
  <si>
    <t>Maruca vitrata nucleopolyhedrovirus</t>
  </si>
  <si>
    <t>Amasya cherry disease associated chrysovirus</t>
  </si>
  <si>
    <t>Aspergillus fumigatus chrysovirus</t>
  </si>
  <si>
    <t>Cryphonectria nitschkei chrysovirus 1</t>
  </si>
  <si>
    <t>Fusarium oxysporum chrysovirus 1</t>
  </si>
  <si>
    <t>Verticillium dahliae chrysovirus 1</t>
  </si>
  <si>
    <t>Grapevine leafroll-associated virus 4</t>
  </si>
  <si>
    <t>Diodia vein chlorosis virus</t>
  </si>
  <si>
    <t>Bell pepper endornavirus</t>
  </si>
  <si>
    <t>Pegivirus</t>
  </si>
  <si>
    <t>Pegivirus A</t>
  </si>
  <si>
    <t>Pegivirus B</t>
  </si>
  <si>
    <t>Alphafusellovirus</t>
  </si>
  <si>
    <t>Sulfolobus spindle-shaped virus 2</t>
  </si>
  <si>
    <t>Sulfolobus spindle-shaped virus 4</t>
  </si>
  <si>
    <t>Sulfolobus spindle-shaped virus 5</t>
  </si>
  <si>
    <t>Sulfolobus spindle-shaped virus 7</t>
  </si>
  <si>
    <t>Sulfolobus spindle-shaped virus 8</t>
  </si>
  <si>
    <t>Sulfolobus spindle-shaped virus 9</t>
  </si>
  <si>
    <t>Betafusellovirus</t>
  </si>
  <si>
    <t>Acidianus spindle-shaped virus 1</t>
  </si>
  <si>
    <t>Sulfolobus spindle-shaped virus 6</t>
  </si>
  <si>
    <t>Becurtovirus</t>
  </si>
  <si>
    <t>Spinach curly top Arizona virus</t>
  </si>
  <si>
    <t>Spinach severe curly top virus</t>
  </si>
  <si>
    <t>Eragrovirus</t>
  </si>
  <si>
    <t>Eragrostis curvula streak virus</t>
  </si>
  <si>
    <t>Bromus catharticus striate mosaic virus</t>
  </si>
  <si>
    <t>Chickpea chlorosis Australia virus</t>
  </si>
  <si>
    <t>Chickpea chlorosis virus</t>
  </si>
  <si>
    <t>Chickpea chlorotic dwarf virus</t>
  </si>
  <si>
    <t>Chickpea redleaf virus</t>
  </si>
  <si>
    <t>Chickpea yellows virus</t>
  </si>
  <si>
    <t>Digitaria ciliaris striate mosaic virus</t>
  </si>
  <si>
    <t>Digitaria didactyla striate mosaic virus</t>
  </si>
  <si>
    <t>Eragrostis minor streak virus</t>
  </si>
  <si>
    <t>Maize streak Reunion virus</t>
  </si>
  <si>
    <t>Oat dwarf virus</t>
  </si>
  <si>
    <t>Paspalum dilatatum striate mosaic virus</t>
  </si>
  <si>
    <t>Paspalum striate mosaic virus</t>
  </si>
  <si>
    <t>Saccharum streak virus</t>
  </si>
  <si>
    <t>Sporolobus striate mosaic virus 1</t>
  </si>
  <si>
    <t>Sporolobus striate mosaic virus 2</t>
  </si>
  <si>
    <t>Wheat dwarf India virus</t>
  </si>
  <si>
    <t>Turncurtovirus</t>
  </si>
  <si>
    <t>Turnip curly top virus</t>
  </si>
  <si>
    <t>Alphaguttavirus</t>
  </si>
  <si>
    <t>Betaguttavirus</t>
  </si>
  <si>
    <t>Aeropyrum pernix ovoid virus 1</t>
  </si>
  <si>
    <t>Cafeteriavirus</t>
  </si>
  <si>
    <t>Cafeteria roenbergensis virus</t>
  </si>
  <si>
    <t>Faba bean yellow leaf virus</t>
  </si>
  <si>
    <t>Quaranjavirus</t>
  </si>
  <si>
    <t>Johnston Atoll virus</t>
  </si>
  <si>
    <t>Quaranfil virus</t>
  </si>
  <si>
    <t>Yellow oat-grass mosaic virus</t>
  </si>
  <si>
    <t>Quadriviridae</t>
  </si>
  <si>
    <t>Quadrivirus</t>
  </si>
  <si>
    <t>Rosellinia necatrix quadrivirus 1</t>
  </si>
  <si>
    <t>Madariaga virus</t>
  </si>
  <si>
    <t>Alphanecrovirus</t>
  </si>
  <si>
    <t>Betanecrovirus</t>
  </si>
  <si>
    <t>Gallantivirus</t>
  </si>
  <si>
    <t>Macanavirus</t>
  </si>
  <si>
    <t>Furcraea necrotic streak virus</t>
  </si>
  <si>
    <t>Zeavirus</t>
  </si>
  <si>
    <t>Rice stripe necrosis virus</t>
  </si>
  <si>
    <t>Rose rosette virus</t>
  </si>
  <si>
    <t>Iranian wheat stripe virus</t>
  </si>
  <si>
    <t>Bell pepper mottle virus</t>
  </si>
  <si>
    <t>Cactus mild mottle virus</t>
  </si>
  <si>
    <t>Clitoria yellow mottle virus</t>
  </si>
  <si>
    <t>Cucumber mottle virus</t>
  </si>
  <si>
    <t>Maracuja mosaic virus</t>
  </si>
  <si>
    <t>Passion fruit mosaic virus</t>
  </si>
  <si>
    <t>Rattail cactus necrosis-associated virus</t>
  </si>
  <si>
    <t>Tropical soda apple mosaic virus</t>
  </si>
  <si>
    <t>Actinidia virus B</t>
  </si>
  <si>
    <t>Cuevavirus</t>
  </si>
  <si>
    <t>Lloviu cuevavirus</t>
  </si>
  <si>
    <t>Nyamiviridae</t>
  </si>
  <si>
    <t>Nyavirus</t>
  </si>
  <si>
    <t>Midway nyavirus</t>
  </si>
  <si>
    <t>Nyamanini nyavirus</t>
  </si>
  <si>
    <t>Bokeloh bat lyssavirus</t>
  </si>
  <si>
    <t>Ikoma lyssavirus</t>
  </si>
  <si>
    <t>Sprivivirus</t>
  </si>
  <si>
    <t>Tupavirus</t>
  </si>
  <si>
    <t>Lygus lineolaris virus 1</t>
  </si>
  <si>
    <t>Nilaparvata lugens honeydew virus 1</t>
  </si>
  <si>
    <t>Avisivirus</t>
  </si>
  <si>
    <t>Avisivirus A</t>
  </si>
  <si>
    <t>Gallivirus</t>
  </si>
  <si>
    <t>Gallivirus A</t>
  </si>
  <si>
    <t>Hunnivirus</t>
  </si>
  <si>
    <t>Hunnivirus A</t>
  </si>
  <si>
    <t>Mischivirus</t>
  </si>
  <si>
    <t>Mischivirus A</t>
  </si>
  <si>
    <t>Mosavirus</t>
  </si>
  <si>
    <t>Mosavirus A</t>
  </si>
  <si>
    <t>Oscivirus</t>
  </si>
  <si>
    <t>Oscivirus A</t>
  </si>
  <si>
    <t>Pasivirus</t>
  </si>
  <si>
    <t>Pasivirus A</t>
  </si>
  <si>
    <t>Passerivirus</t>
  </si>
  <si>
    <t>Passerivirus A</t>
  </si>
  <si>
    <t>Rosavirus</t>
  </si>
  <si>
    <t>Rosavirus A</t>
  </si>
  <si>
    <t>Arracacha virus B</t>
  </si>
  <si>
    <t>Citrus yellow vein clearing virus</t>
  </si>
  <si>
    <t>Rubus canadensis virus 1</t>
  </si>
  <si>
    <t>Diuris virus A</t>
  </si>
  <si>
    <t>Diuris virus B</t>
  </si>
  <si>
    <t>Grapevine virus F</t>
  </si>
  <si>
    <t>Andean potato mild mosaic virus</t>
  </si>
  <si>
    <t>Bovine atadenovirus D</t>
  </si>
  <si>
    <t>Duck atadenovirus A</t>
  </si>
  <si>
    <t>Ovine atadenovirus D</t>
  </si>
  <si>
    <t>Possum atadenovirus A</t>
  </si>
  <si>
    <t>Snake atadenovirus A</t>
  </si>
  <si>
    <t>Falcon aviadenovirus A</t>
  </si>
  <si>
    <t>Fowl aviadenovirus A</t>
  </si>
  <si>
    <t>Fowl aviadenovirus B</t>
  </si>
  <si>
    <t>Fowl aviadenovirus C</t>
  </si>
  <si>
    <t>Fowl aviadenovirus D</t>
  </si>
  <si>
    <t>Fowl aviadenovirus E</t>
  </si>
  <si>
    <t>Goose aviadenovirus A</t>
  </si>
  <si>
    <t>Turkey aviadenovirus B</t>
  </si>
  <si>
    <t>Sturgeon ichtadenovirus A</t>
  </si>
  <si>
    <t>Bat mastadenovirus A</t>
  </si>
  <si>
    <t>Bat mastadenovirus B</t>
  </si>
  <si>
    <t>Bovine mastadenovirus A</t>
  </si>
  <si>
    <t>Bovine mastadenovirus B</t>
  </si>
  <si>
    <t>Bovine mastadenovirus C</t>
  </si>
  <si>
    <t>Canine mastadenovirus A</t>
  </si>
  <si>
    <t>Equine mastadenovirus A</t>
  </si>
  <si>
    <t>Equine mastadenovirus B</t>
  </si>
  <si>
    <t>Human mastadenovirus A</t>
  </si>
  <si>
    <t>Human mastadenovirus B</t>
  </si>
  <si>
    <t>Human mastadenovirus C</t>
  </si>
  <si>
    <t>Human mastadenovirus D</t>
  </si>
  <si>
    <t>Human mastadenovirus E</t>
  </si>
  <si>
    <t>Human mastadenovirus F</t>
  </si>
  <si>
    <t>Human mastadenovirus G</t>
  </si>
  <si>
    <t>Murine mastadenovirus A</t>
  </si>
  <si>
    <t>Murine mastadenovirus B</t>
  </si>
  <si>
    <t>Murine mastadenovirus C</t>
  </si>
  <si>
    <t>Ovine mastadenovirus A</t>
  </si>
  <si>
    <t>Ovine mastadenovirus B</t>
  </si>
  <si>
    <t>Porcine mastadenovirus A</t>
  </si>
  <si>
    <t>Porcine mastadenovirus B</t>
  </si>
  <si>
    <t>Porcine mastadenovirus C</t>
  </si>
  <si>
    <t>Simian mastadenovirus A</t>
  </si>
  <si>
    <t>Tree shrew mastadenovirus A</t>
  </si>
  <si>
    <t>Frog siadenovirus A</t>
  </si>
  <si>
    <t>Great tit siadenovirus A</t>
  </si>
  <si>
    <t>Raptor siadenovirus A</t>
  </si>
  <si>
    <t>Skua siadenovirus A</t>
  </si>
  <si>
    <t>Turkey siadenovirus A</t>
  </si>
  <si>
    <t>Amalgaviridae</t>
  </si>
  <si>
    <t>Amalgavirus</t>
  </si>
  <si>
    <t>Blueberry latent virus</t>
  </si>
  <si>
    <t>Rhododendron virus A</t>
  </si>
  <si>
    <t>Southern tomato virus</t>
  </si>
  <si>
    <t>Vicia cryptic virus M</t>
  </si>
  <si>
    <t>Benyviridae</t>
  </si>
  <si>
    <t>Burdock mottle virus</t>
  </si>
  <si>
    <t>Amazon lily mild mottle virus</t>
  </si>
  <si>
    <t>Velarivirus</t>
  </si>
  <si>
    <t>Cordyline virus 1</t>
  </si>
  <si>
    <t>Phaseolus vulgaris endornavirus 1</t>
  </si>
  <si>
    <t>Phaseolus vulgaris endornavirus 2</t>
  </si>
  <si>
    <t>Abutilon mosaic Bolivia virus</t>
  </si>
  <si>
    <t>Abutilon mosaic Brazil virus</t>
  </si>
  <si>
    <t>Allamanda leaf curl virus</t>
  </si>
  <si>
    <t>Bean chlorosis virus</t>
  </si>
  <si>
    <t>Bean yellow mosaic Mexico virus</t>
  </si>
  <si>
    <t>Bhendi yellow vein Bhubhaneswar virus</t>
  </si>
  <si>
    <t>Bhendi yellow vein Haryana virus</t>
  </si>
  <si>
    <t>Blainvillea yellow spot virus</t>
  </si>
  <si>
    <t>Blechum interveinal chlorosis virus</t>
  </si>
  <si>
    <t>Centrosema yellow spot virus</t>
  </si>
  <si>
    <t>Chino del tomate Amazonas virus</t>
  </si>
  <si>
    <t>Cleome golden mosaic virus</t>
  </si>
  <si>
    <t>Cleome leaf crumple virus</t>
  </si>
  <si>
    <t>Dalechampia chlorotic mosaic virus</t>
  </si>
  <si>
    <t>Datura leaf distortion virus</t>
  </si>
  <si>
    <t>Euphorbia yellow mosaic virus</t>
  </si>
  <si>
    <t>Hollyhock leaf curl virus</t>
  </si>
  <si>
    <t>Jacquemontia mosaic Yucatan virus</t>
  </si>
  <si>
    <t>Jatropha mosaic India virus</t>
  </si>
  <si>
    <t>Leonurus mosaic virus</t>
  </si>
  <si>
    <t>Macroptilium golden mosaic virus</t>
  </si>
  <si>
    <t>Macroptilium yellow spot virus</t>
  </si>
  <si>
    <t>Macroptilium yellow vein virus</t>
  </si>
  <si>
    <t>Malvastrum yellow mosaic Helshire virus</t>
  </si>
  <si>
    <t>Malvastrum yellow mosaic Jamaica virus</t>
  </si>
  <si>
    <t>Malvastrum yellow vein Honghe virus</t>
  </si>
  <si>
    <t>Melon chlorotic mosaic virus</t>
  </si>
  <si>
    <t>Merremia mosaic Puerto Rico virus</t>
  </si>
  <si>
    <t>Okra enation leaf curl virus</t>
  </si>
  <si>
    <t>Okra mottle virus</t>
  </si>
  <si>
    <t>Papaya leaf crumple virus</t>
  </si>
  <si>
    <t>Passionfruit severe leaf distortion virus</t>
  </si>
  <si>
    <t>Pepper leaf curl Yunnan virus</t>
  </si>
  <si>
    <t>Rhynchosia golden mosaic Havana virus</t>
  </si>
  <si>
    <t>Rhynchosia golden mosaic Yucatan virus</t>
  </si>
  <si>
    <t>Rhynchosia mild mosaic virus</t>
  </si>
  <si>
    <t>Rhynchosia rugose golden mosaic virus</t>
  </si>
  <si>
    <t>Rhynchosia yellow mosaic virus</t>
  </si>
  <si>
    <t>Rose leaf curl virus</t>
  </si>
  <si>
    <t>Sida golden mosaic Braco virus</t>
  </si>
  <si>
    <t>Sida golden mosaic Buckup virus</t>
  </si>
  <si>
    <t>Sida golden mottle virus</t>
  </si>
  <si>
    <t>Sida mosaic Alagoas virus</t>
  </si>
  <si>
    <t>Sida mosaic Bolivia virus 1</t>
  </si>
  <si>
    <t>Sida mosaic Bolivia virus 2</t>
  </si>
  <si>
    <t>Sida mosaic Sinaloa virus</t>
  </si>
  <si>
    <t>Sida mottle Alagoas virus</t>
  </si>
  <si>
    <t>Sida yellow blotch virus</t>
  </si>
  <si>
    <t>Sida yellow mosaic Alagoas virus</t>
  </si>
  <si>
    <t>Sida yellow mottle virus</t>
  </si>
  <si>
    <t>Sida yellow net virus</t>
  </si>
  <si>
    <t>Soybean mild mottle virus</t>
  </si>
  <si>
    <t>Sweet potato leaf curl Sao Paulo virus</t>
  </si>
  <si>
    <t>Sweet potato leaf curl South Carolina virus</t>
  </si>
  <si>
    <t>Sweet potato leaf curl Uganda virus</t>
  </si>
  <si>
    <t>Sweet potato mosaic virus</t>
  </si>
  <si>
    <t>Tobacco leaf curl Pusa virus</t>
  </si>
  <si>
    <t>Tobacco leaf curl Thailand virus</t>
  </si>
  <si>
    <t>Tobacco leaf rugose virus</t>
  </si>
  <si>
    <t>Tobacco mottle leaf curl virus</t>
  </si>
  <si>
    <t>Tobacco yellow crinkle virus</t>
  </si>
  <si>
    <t>Tomato chlorotic leaf distortion virus</t>
  </si>
  <si>
    <t>Tomato common mosaic virus</t>
  </si>
  <si>
    <t>Tomato dwarf leaf virus</t>
  </si>
  <si>
    <t>Tomato golden vein virus</t>
  </si>
  <si>
    <t>Tomato leaf curl Anjouan virus</t>
  </si>
  <si>
    <t>Tomato leaf curl Cebu virus</t>
  </si>
  <si>
    <t>Tomato leaf curl Diana virus</t>
  </si>
  <si>
    <t>Tomato leaf curl Ghana virus</t>
  </si>
  <si>
    <t>Tomato leaf curl Hainan virus</t>
  </si>
  <si>
    <t>Tomato leaf curl Hanoi virus</t>
  </si>
  <si>
    <t>Tomato leaf curl Iran virus</t>
  </si>
  <si>
    <t>Tomato leaf curl Mindanao virus</t>
  </si>
  <si>
    <t>Tomato leaf curl Moheli virus</t>
  </si>
  <si>
    <t>Tomato leaf curl Namakely virus</t>
  </si>
  <si>
    <t>Tomato leaf curl Nigeria virus</t>
  </si>
  <si>
    <t>Tomato leaf curl Oman virus</t>
  </si>
  <si>
    <t>Tomato leaf curl Toliara virus</t>
  </si>
  <si>
    <t>Tomato leaf deformation virus</t>
  </si>
  <si>
    <t>Tomato leaf distortion virus</t>
  </si>
  <si>
    <t>Tomato mild mosaic virus</t>
  </si>
  <si>
    <t>Tomato mottle leaf curl virus</t>
  </si>
  <si>
    <t>Tomato rugose yellow leaf curl virus</t>
  </si>
  <si>
    <t>Tomato yellow leaf distortion virus</t>
  </si>
  <si>
    <t>Tomato yellow mottle virus</t>
  </si>
  <si>
    <t>West African Asystasia virus 1</t>
  </si>
  <si>
    <t>West African Asystasia virus 2</t>
  </si>
  <si>
    <t>Wissadula golden mosaic virus</t>
  </si>
  <si>
    <t>Pea enation mosaic virus 1</t>
  </si>
  <si>
    <t>Barley yellow dwarf virus-kerII</t>
  </si>
  <si>
    <t>Barley yellow dwarf virus-kerIII</t>
  </si>
  <si>
    <t>Cotton leafroll dwarf virus</t>
  </si>
  <si>
    <t>Maize yellow dwarf virus-RMV</t>
  </si>
  <si>
    <t>Pepper vein yellows virus</t>
  </si>
  <si>
    <t>Suakwa aphid-borne yellows virus</t>
  </si>
  <si>
    <t>Marseilleviridae</t>
  </si>
  <si>
    <t>Marseillevirus</t>
  </si>
  <si>
    <t>Marseillevirus marseillevirus</t>
  </si>
  <si>
    <t>Senegalvirus marseillevirus</t>
  </si>
  <si>
    <t>Lausannevirus</t>
  </si>
  <si>
    <t>Tunisvirus</t>
  </si>
  <si>
    <t>Nudiviridae</t>
  </si>
  <si>
    <t>Alphanudivirus</t>
  </si>
  <si>
    <t>Gryllus bimaculatus nudivirus</t>
  </si>
  <si>
    <t>Oryctes rhinoceros nudivirus</t>
  </si>
  <si>
    <t>Betanudivirus</t>
  </si>
  <si>
    <t>Heliothis zea nudivirus</t>
  </si>
  <si>
    <t>Chipapillomavirus 3</t>
  </si>
  <si>
    <t>Deltapapillomavirus 6</t>
  </si>
  <si>
    <t>Dyoiotapapillomavirus 2</t>
  </si>
  <si>
    <t>Dyokappapapillomavirus</t>
  </si>
  <si>
    <t>Dyokappapapillomavirus 1</t>
  </si>
  <si>
    <t>Dyolambdapapillomavirus</t>
  </si>
  <si>
    <t>Dyolambdapapillomavirus 1</t>
  </si>
  <si>
    <t>Dyomupapillomavirus</t>
  </si>
  <si>
    <t>Dyomupapillomavirus 1</t>
  </si>
  <si>
    <t>Dyonupapillomavirus</t>
  </si>
  <si>
    <t>Dyonupapillomavirus 1</t>
  </si>
  <si>
    <t>Dyoomikronpapillomavirus</t>
  </si>
  <si>
    <t>Dyoomikronpapillomavirus 1</t>
  </si>
  <si>
    <t>Dyopipapillomavirus</t>
  </si>
  <si>
    <t>Dyopipapillomavirus 1</t>
  </si>
  <si>
    <t>Dyorhopapillomavirus</t>
  </si>
  <si>
    <t>Dyorhopapillomavirus 1</t>
  </si>
  <si>
    <t>Dyosigmapapillomavirus</t>
  </si>
  <si>
    <t>Dyosigmapapillomavirus 1</t>
  </si>
  <si>
    <t>Dyoxipapillomavirus</t>
  </si>
  <si>
    <t>Dyoxipapillomavirus 1</t>
  </si>
  <si>
    <t>Gammapapillomavirus 11</t>
  </si>
  <si>
    <t>Gammapapillomavirus 12</t>
  </si>
  <si>
    <t>Gammapapillomavirus 13</t>
  </si>
  <si>
    <t>Gammapapillomavirus 14</t>
  </si>
  <si>
    <t>Gammapapillomavirus 15</t>
  </si>
  <si>
    <t>Gammapapillomavirus 16</t>
  </si>
  <si>
    <t>Gammapapillomavirus 17</t>
  </si>
  <si>
    <t>Gammapapillomavirus 18</t>
  </si>
  <si>
    <t>Gammapapillomavirus 19</t>
  </si>
  <si>
    <t>Gammapapillomavirus 20</t>
  </si>
  <si>
    <t>Lambdapapillomavirus 5</t>
  </si>
  <si>
    <t>Taupapillomavirus 2</t>
  </si>
  <si>
    <t>Upsilonpapillomavirus 3</t>
  </si>
  <si>
    <t>Xipapillomavirus 2</t>
  </si>
  <si>
    <t>Alphapartitivirus</t>
  </si>
  <si>
    <t>Carrot cryptic virus</t>
  </si>
  <si>
    <t>Cherry chlorotic rusty spot associated partitivirus</t>
  </si>
  <si>
    <t>Chondrostereum purpureum cryptic virus 1</t>
  </si>
  <si>
    <t>Flammulina velutipes browning virus</t>
  </si>
  <si>
    <t>Rosellinia necatrix partitivirus 2</t>
  </si>
  <si>
    <t>Betapartitivirus</t>
  </si>
  <si>
    <t>Cannabis cryptic virus</t>
  </si>
  <si>
    <t>Crimson clover cryptic virus 2</t>
  </si>
  <si>
    <t>Dill cryptic virus 2</t>
  </si>
  <si>
    <t>Primula malacoides virus 1</t>
  </si>
  <si>
    <t>Deltapartitivirus</t>
  </si>
  <si>
    <t>Fig cryptic virus</t>
  </si>
  <si>
    <t>Pepper cryptic virus 1</t>
  </si>
  <si>
    <t>Pepper cryptic virus 2</t>
  </si>
  <si>
    <t>Gammapartitivirus</t>
  </si>
  <si>
    <t>Ambidensovirus</t>
  </si>
  <si>
    <t>Blattodean ambidensovirus 1</t>
  </si>
  <si>
    <t>Blattodean ambidensovirus 2</t>
  </si>
  <si>
    <t>Dipteran ambidensovirus 1</t>
  </si>
  <si>
    <t>Hemipteran ambidensovirus 1</t>
  </si>
  <si>
    <t>Lepidopteran ambidensovirus 1</t>
  </si>
  <si>
    <t>Orthopteran ambidensovirus 1</t>
  </si>
  <si>
    <t>Dipteran brevidensovirus 1</t>
  </si>
  <si>
    <t>Dipteran brevidensovirus 2</t>
  </si>
  <si>
    <t>Hepandensovirus</t>
  </si>
  <si>
    <t>Decapod hepandensovirus 1</t>
  </si>
  <si>
    <t>Iteradensovirus</t>
  </si>
  <si>
    <t>Lepidopteran iteradensovirus 1</t>
  </si>
  <si>
    <t>Lepidopteran iteradensovirus 2</t>
  </si>
  <si>
    <t>Lepidopteran iteradensovirus 3</t>
  </si>
  <si>
    <t>Lepidopteran iteradensovirus 4</t>
  </si>
  <si>
    <t>Lepidopteran iteradensovirus 5</t>
  </si>
  <si>
    <t>Penstyldensovirus</t>
  </si>
  <si>
    <t>Decapod penstyldensovirus 1</t>
  </si>
  <si>
    <t>Amdoparvovirus</t>
  </si>
  <si>
    <t>Carnivore amdoparvovirus 1</t>
  </si>
  <si>
    <t>Carnivore amdoparvovirus 2</t>
  </si>
  <si>
    <t>Aveparvovirus</t>
  </si>
  <si>
    <t>Galliform aveparvovirus 1</t>
  </si>
  <si>
    <t>Bocaparvovirus</t>
  </si>
  <si>
    <t>Carnivore bocaparvovirus 1</t>
  </si>
  <si>
    <t>Carnivore bocaparvovirus 2</t>
  </si>
  <si>
    <t>Carnivore bocaparvovirus 3</t>
  </si>
  <si>
    <t>Pinniped bocaparvovirus 1</t>
  </si>
  <si>
    <t>Pinniped bocaparvovirus 2</t>
  </si>
  <si>
    <t>Primate bocaparvovirus 1</t>
  </si>
  <si>
    <t>Primate bocaparvovirus 2</t>
  </si>
  <si>
    <t>Ungulate bocaparvovirus 1</t>
  </si>
  <si>
    <t>Ungulate bocaparvovirus 2</t>
  </si>
  <si>
    <t>Ungulate bocaparvovirus 3</t>
  </si>
  <si>
    <t>Ungulate bocaparvovirus 4</t>
  </si>
  <si>
    <t>Ungulate bocaparvovirus 5</t>
  </si>
  <si>
    <t>Copiparvovirus</t>
  </si>
  <si>
    <t>Ungulate copiparvovirus 1</t>
  </si>
  <si>
    <t>Ungulate copiparvovirus 2</t>
  </si>
  <si>
    <t>Dependoparvovirus</t>
  </si>
  <si>
    <t>Adeno-associated dependoparvovirus A</t>
  </si>
  <si>
    <t>Adeno-associated dependoparvovirus B</t>
  </si>
  <si>
    <t>Anseriform dependoparvovirus 1</t>
  </si>
  <si>
    <t>Avian dependoparvovirus 1</t>
  </si>
  <si>
    <t>Chiropteran dependoparvovirus 1</t>
  </si>
  <si>
    <t>Pinniped dependoparvovirus 1</t>
  </si>
  <si>
    <t>Squamate dependoparvovirus 1</t>
  </si>
  <si>
    <t>Erythroparvovirus</t>
  </si>
  <si>
    <t>Primate erythroparvovirus 1</t>
  </si>
  <si>
    <t>Primate erythroparvovirus 2</t>
  </si>
  <si>
    <t>Primate erythroparvovirus 3</t>
  </si>
  <si>
    <t>Primate erythroparvovirus 4</t>
  </si>
  <si>
    <t>Rodent erythroparvovirus 1</t>
  </si>
  <si>
    <t>Ungulate erythroparvovirus 1</t>
  </si>
  <si>
    <t>Protoparvovirus</t>
  </si>
  <si>
    <t>Carnivore protoparvovirus 1</t>
  </si>
  <si>
    <t>Primate protoparvovirus 1</t>
  </si>
  <si>
    <t>Rodent protoparvovirus 1</t>
  </si>
  <si>
    <t>Rodent protoparvovirus 2</t>
  </si>
  <si>
    <t>Ungulate protoparvovirus 1</t>
  </si>
  <si>
    <t>Tetraparvovirus</t>
  </si>
  <si>
    <t>Chiropteran tetraparvovirus 1</t>
  </si>
  <si>
    <t>Primate tetraparvovirus 1</t>
  </si>
  <si>
    <t>Ungulate tetraparvovirus 1</t>
  </si>
  <si>
    <t>Ungulate tetraparvovirus 2</t>
  </si>
  <si>
    <t>Ungulate tetraparvovirus 3</t>
  </si>
  <si>
    <t>Ungulate tetraparvovirus 4</t>
  </si>
  <si>
    <t>Rose yellow mosaic virus</t>
  </si>
  <si>
    <t>Spiraviridae</t>
  </si>
  <si>
    <t>Alphaspiravirus</t>
  </si>
  <si>
    <t>Aeropyrum coil-shaped virus</t>
  </si>
  <si>
    <t>Eilat virus</t>
  </si>
  <si>
    <t>Leishmania RNA virus 1</t>
  </si>
  <si>
    <t>Leishmania RNA virus 2</t>
  </si>
  <si>
    <t>Scheffersomyces segobiensis virus L</t>
  </si>
  <si>
    <t>Tuber aestivum virus 1</t>
  </si>
  <si>
    <t>Xanthophyllomyces dendrorhous virus L1A</t>
  </si>
  <si>
    <t>Xanthophyllomyces dendrorhous virus L1B</t>
  </si>
  <si>
    <t>Trichomonas vaginalis virus 4</t>
  </si>
  <si>
    <t>Aspergillus foetidus slow virus 1</t>
  </si>
  <si>
    <t>Beauveria bassiana victorivirus 1</t>
  </si>
  <si>
    <t>Magnaporthe oryzae virus 2</t>
  </si>
  <si>
    <t>Rosellinia necatrix victorivirus 1</t>
  </si>
  <si>
    <t>Tolypocladium cylindrosporum virus 1</t>
  </si>
  <si>
    <t>Turriviridae</t>
  </si>
  <si>
    <t>Alphaturrivirus</t>
  </si>
  <si>
    <t>Sulfolobus turreted icosahedral virus 1</t>
  </si>
  <si>
    <t>Sulfolobus turreted icosahedral virus 2</t>
  </si>
  <si>
    <t>Raspberry leaf blotch virus</t>
  </si>
  <si>
    <t>Higrevirus</t>
  </si>
  <si>
    <t>Hibiscus green spot virus 2</t>
  </si>
  <si>
    <t>Pea enation mosaic virus 2</t>
  </si>
  <si>
    <t>Eucampyvirinae</t>
  </si>
  <si>
    <t>Bcep22likevirus</t>
  </si>
  <si>
    <t>Mammalian 1 bornavirus</t>
  </si>
  <si>
    <t>Passeriform 1 bornavirus</t>
  </si>
  <si>
    <t>Passeriform 2 bornavirus</t>
  </si>
  <si>
    <t>Psittaciform 1 bornavirus</t>
  </si>
  <si>
    <t>Waterbird 1 bornavirus</t>
  </si>
  <si>
    <t>Sierra Nevada nyavirus</t>
  </si>
  <si>
    <t>Avihepatovirus A</t>
  </si>
  <si>
    <t>Cardiovirus A</t>
  </si>
  <si>
    <t>Cardiovirus B</t>
  </si>
  <si>
    <t>Cardiovirus C</t>
  </si>
  <si>
    <t>Erbovirus A</t>
  </si>
  <si>
    <t>Hepatovirus A</t>
  </si>
  <si>
    <t>Kunsagivirus</t>
  </si>
  <si>
    <t>Kunsagivirus A</t>
  </si>
  <si>
    <t>Parechovirus A</t>
  </si>
  <si>
    <t>Parechovirus B</t>
  </si>
  <si>
    <t>Sakobuvirus</t>
  </si>
  <si>
    <t>Sakobuvirus A</t>
  </si>
  <si>
    <t>Sapelovirus A</t>
  </si>
  <si>
    <t>Sapelovirus B</t>
  </si>
  <si>
    <t>Senecavirus A</t>
  </si>
  <si>
    <t>Sicinivirus</t>
  </si>
  <si>
    <t>Sicinivirus A</t>
  </si>
  <si>
    <t>Teschovirus A</t>
  </si>
  <si>
    <t>Tremovirus A</t>
  </si>
  <si>
    <t>Lettuce necrotic leaf curl virus</t>
  </si>
  <si>
    <t>Mammarenavirus</t>
  </si>
  <si>
    <t>Allpahuayo mammarenavirus</t>
  </si>
  <si>
    <t>Bear Canyon mammarenavirus</t>
  </si>
  <si>
    <t>Chapare mammarenavirus</t>
  </si>
  <si>
    <t>Cupixi mammarenavirus</t>
  </si>
  <si>
    <t>Flexal mammarenavirus</t>
  </si>
  <si>
    <t>Guanarito mammarenavirus</t>
  </si>
  <si>
    <t>Ippy mammarenavirus</t>
  </si>
  <si>
    <t>Lassa mammarenavirus</t>
  </si>
  <si>
    <t>Latino mammarenavirus</t>
  </si>
  <si>
    <t>Lujo mammarenavirus</t>
  </si>
  <si>
    <t>Luna mammarenavirus</t>
  </si>
  <si>
    <t>Lunk mammarenavirus</t>
  </si>
  <si>
    <t>Lymphocytic choriomeningitis mammarenavirus</t>
  </si>
  <si>
    <t>Machupo mammarenavirus</t>
  </si>
  <si>
    <t>Merino Walk mammarenavirus</t>
  </si>
  <si>
    <t>Mobala mammarenavirus</t>
  </si>
  <si>
    <t>Mopeia mammarenavirus</t>
  </si>
  <si>
    <t>Oliveros mammarenavirus</t>
  </si>
  <si>
    <t>Pirital mammarenavirus</t>
  </si>
  <si>
    <t>Tacaribe mammarenavirus</t>
  </si>
  <si>
    <t>Tamiami mammarenavirus</t>
  </si>
  <si>
    <t>Whitewater Arroyo mammarenavirus</t>
  </si>
  <si>
    <t>Reptarenavirus</t>
  </si>
  <si>
    <t>Alethinophid 1 reptarenavirus</t>
  </si>
  <si>
    <t>Alethinophid 2 reptarenavirus</t>
  </si>
  <si>
    <t>Alethinophid 3 reptarenavirus</t>
  </si>
  <si>
    <t>Banana streak IM virus</t>
  </si>
  <si>
    <t>Banana streak UA virus</t>
  </si>
  <si>
    <t>Banana streak UI virus</t>
  </si>
  <si>
    <t>Banana streak UL virus</t>
  </si>
  <si>
    <t>Banana streak UM virus</t>
  </si>
  <si>
    <t>Fig badnavirus 1</t>
  </si>
  <si>
    <t>Pagoda yellow mosaic associated virus</t>
  </si>
  <si>
    <t>Soybean Putnam virus</t>
  </si>
  <si>
    <t>Rosadnavirus</t>
  </si>
  <si>
    <t>Rose yellow vein virus</t>
  </si>
  <si>
    <t>Orthohepevirus</t>
  </si>
  <si>
    <t>Orthohepevirus A</t>
  </si>
  <si>
    <t>Orthohepevirus B</t>
  </si>
  <si>
    <t>Orthohepevirus C</t>
  </si>
  <si>
    <t>Orthohepevirus D</t>
  </si>
  <si>
    <t>Piscihepevirus</t>
  </si>
  <si>
    <t>Piscihepevirus A</t>
  </si>
  <si>
    <t>Helicobasidium mompa partitivirus V70</t>
  </si>
  <si>
    <t>Heterobasidion partitivirus 1</t>
  </si>
  <si>
    <t>Heterobasidion partitivirus 3</t>
  </si>
  <si>
    <t>Heterobasidion partitivirus 2</t>
  </si>
  <si>
    <t>Heterobasidion partitivirus 8</t>
  </si>
  <si>
    <t>Heterobasidion partitivirus P</t>
  </si>
  <si>
    <t>Dahlia latent viroid</t>
  </si>
  <si>
    <t>Bidens mosaic virus</t>
  </si>
  <si>
    <t>Blue squill virus A</t>
  </si>
  <si>
    <t>Brugmansia mosaic virus</t>
  </si>
  <si>
    <t>Calla lily latent virus</t>
  </si>
  <si>
    <t>Cyrtanthus elatus virus A</t>
  </si>
  <si>
    <t>Habenaria mosaic virus</t>
  </si>
  <si>
    <t>Keunjorong mosaic virus</t>
  </si>
  <si>
    <t>Lupinus mosaic virus</t>
  </si>
  <si>
    <t>Panax virus Y</t>
  </si>
  <si>
    <t>Tomato necrotic stunt virus</t>
  </si>
  <si>
    <t>Verbena virus Y</t>
  </si>
  <si>
    <t>Zucchini tigre mosaic virus</t>
  </si>
  <si>
    <t>Tall oatgrass mosaic virus</t>
  </si>
  <si>
    <t>Demodema bonariensis entomopoxvirus</t>
  </si>
  <si>
    <t>Figulus sublaevis entomopoxvirus</t>
  </si>
  <si>
    <t>Acrobasis zelleri entomopoxvirus</t>
  </si>
  <si>
    <t>Adoxophyes honmai entomopoxvirus</t>
  </si>
  <si>
    <t>Amsacta moorei entomopoxvirus</t>
  </si>
  <si>
    <t>Arphia conspersa entomopoxvirus</t>
  </si>
  <si>
    <t>Choristoneura biennis entomopoxvirus</t>
  </si>
  <si>
    <t>Choristoneura conflicta entomopoxvirus</t>
  </si>
  <si>
    <t>Choristoneura diversuma entomopoxvirus</t>
  </si>
  <si>
    <t>Choristoneura fumiferana entomopoxvirus</t>
  </si>
  <si>
    <t>Choristoneura rosaceana entomopoxvirus</t>
  </si>
  <si>
    <t>Chorizagrotis auxiliaris entomopoxvirus</t>
  </si>
  <si>
    <t>Heliothis armigera entomopoxvirus</t>
  </si>
  <si>
    <t>Locusta migratoria entomopoxvirus</t>
  </si>
  <si>
    <t>Mythimna separata entomopoxvirus</t>
  </si>
  <si>
    <t>Oedaleus senegalensis entomopoxvirus</t>
  </si>
  <si>
    <t>Operophtera brumata entomopoxvirus</t>
  </si>
  <si>
    <t>Schistocerca gregaria entomopoxvirus</t>
  </si>
  <si>
    <t>Goeldichironomus holoprasinus entomopoxvirus</t>
  </si>
  <si>
    <t>Rotavirus F</t>
  </si>
  <si>
    <t>Rotavirus G</t>
  </si>
  <si>
    <t>Rotavirus H</t>
  </si>
  <si>
    <t>Sphaerolipoviridae</t>
  </si>
  <si>
    <t>Alphasphaerolipovirus</t>
  </si>
  <si>
    <t>Haloarcula hispanica icosahedral virus 2</t>
  </si>
  <si>
    <t>Betasphaerolipovirus</t>
  </si>
  <si>
    <t>Gammasphaerolipovirus</t>
  </si>
  <si>
    <t>Thin paspalum asymptomatic virus</t>
  </si>
  <si>
    <t>Elderberry latent virus</t>
  </si>
  <si>
    <t>Pelargonium chlorotic ring pattern virus</t>
  </si>
  <si>
    <t>Pelargonium ringspot virus</t>
  </si>
  <si>
    <t>Rosa rugosa leaf distortion virus</t>
  </si>
  <si>
    <t>Trailing lespedeza virus 1</t>
  </si>
  <si>
    <t>Pigeonpea sterility mosaic virus</t>
  </si>
  <si>
    <t>Tomato mottle mosaic virus</t>
  </si>
  <si>
    <t>Yellow tailflower mild mottle virus</t>
  </si>
  <si>
    <t>New,</t>
  </si>
  <si>
    <t>Moved,</t>
  </si>
  <si>
    <t>New,Assigned as Type Species,</t>
  </si>
  <si>
    <t>Moved,Assigned as Type Species,</t>
  </si>
  <si>
    <t>Renamed,Moved,</t>
  </si>
  <si>
    <t>Renamed,</t>
  </si>
  <si>
    <t>Ratification_2002a</t>
  </si>
  <si>
    <t>Ratification_1990</t>
  </si>
  <si>
    <t>ICTV 5th Report</t>
  </si>
  <si>
    <t>Ratification_1998</t>
  </si>
  <si>
    <t>ICTV 7th Report</t>
  </si>
  <si>
    <t>ICTV 6th Report</t>
  </si>
  <si>
    <t>Merged,</t>
  </si>
  <si>
    <t>Ratification_1993</t>
  </si>
  <si>
    <t>ICTV 8th Report</t>
  </si>
  <si>
    <t>Renamed,Moved,Assigned as Type Species,</t>
  </si>
  <si>
    <t>Ratification_1996</t>
  </si>
  <si>
    <t>Merged,Renamed,Moved,Assigned as Type Species,</t>
  </si>
  <si>
    <t>Ratification_1987</t>
  </si>
  <si>
    <t>Merged,Assigned as Type Species,</t>
  </si>
  <si>
    <t>Merged,Moved,Assigned as Type Species,</t>
  </si>
  <si>
    <t>Ratification_1997</t>
  </si>
  <si>
    <t>MSL24_changes</t>
  </si>
  <si>
    <t>Ratification_1999</t>
  </si>
  <si>
    <t>Split,Moved,</t>
  </si>
  <si>
    <t>Ratification_1984</t>
  </si>
  <si>
    <t>Merged,Renamed,</t>
  </si>
  <si>
    <t>Ratification_1981</t>
  </si>
  <si>
    <t>Merged,Moved,</t>
  </si>
  <si>
    <t>Ratification_1978</t>
  </si>
  <si>
    <t>ICTV 3rd Report</t>
  </si>
  <si>
    <t>Haloarcula hispanica virus PH1</t>
  </si>
  <si>
    <t>Haloarcula hispanica virus SH1</t>
  </si>
  <si>
    <t>Natrinema virus SNJ1</t>
  </si>
  <si>
    <t>Ratification_1974</t>
  </si>
  <si>
    <t>ICTV 2nd Report</t>
  </si>
  <si>
    <t>Ratification_1975</t>
  </si>
  <si>
    <t>Proposal</t>
  </si>
  <si>
    <t>Split,</t>
  </si>
  <si>
    <t>HE815464</t>
  </si>
  <si>
    <t>FN667788</t>
  </si>
  <si>
    <t>FN667789</t>
  </si>
  <si>
    <t>HM246720</t>
  </si>
  <si>
    <t>FR823450</t>
  </si>
  <si>
    <t>JN132397</t>
  </si>
  <si>
    <t>GU296433</t>
  </si>
  <si>
    <t>dsDNA</t>
  </si>
  <si>
    <t>AY349011</t>
  </si>
  <si>
    <t>FJ937737</t>
  </si>
  <si>
    <t>JX104231</t>
  </si>
  <si>
    <t>JN662425</t>
  </si>
  <si>
    <t>AY625898</t>
  </si>
  <si>
    <t>KC262634</t>
  </si>
  <si>
    <t>AY954957</t>
  </si>
  <si>
    <t>AY954956</t>
  </si>
  <si>
    <t>AY954955</t>
  </si>
  <si>
    <t>EU861005</t>
  </si>
  <si>
    <t>AF424782</t>
  </si>
  <si>
    <t>AB045978</t>
  </si>
  <si>
    <t>AF424783</t>
  </si>
  <si>
    <t>AY508486</t>
  </si>
  <si>
    <t>AB243556</t>
  </si>
  <si>
    <t>KC330684</t>
  </si>
  <si>
    <t>KF669648</t>
  </si>
  <si>
    <t>KC330679</t>
  </si>
  <si>
    <t>KC330680</t>
  </si>
  <si>
    <t>KC330683</t>
  </si>
  <si>
    <t>KF669651</t>
  </si>
  <si>
    <t>KF669659</t>
  </si>
  <si>
    <t>KC330682</t>
  </si>
  <si>
    <t>AY129339</t>
  </si>
  <si>
    <t>FJ174691</t>
  </si>
  <si>
    <t>JN412589</t>
  </si>
  <si>
    <t>EU770222</t>
  </si>
  <si>
    <t>JN412591</t>
  </si>
  <si>
    <t>JN572061</t>
  </si>
  <si>
    <t>HM152763</t>
  </si>
  <si>
    <t>JF744988</t>
  </si>
  <si>
    <t>JF704108</t>
  </si>
  <si>
    <t>JN680858</t>
  </si>
  <si>
    <t>EU340421</t>
  </si>
  <si>
    <t>AY739900</t>
  </si>
  <si>
    <t>JN256079</t>
  </si>
  <si>
    <t>JN624851</t>
  </si>
  <si>
    <t>GU060500</t>
  </si>
  <si>
    <t>JQ809702</t>
  </si>
  <si>
    <t>EU816590</t>
  </si>
  <si>
    <t>AY129330</t>
  </si>
  <si>
    <t>AY129336</t>
  </si>
  <si>
    <t>JN698996</t>
  </si>
  <si>
    <t>JF937093</t>
  </si>
  <si>
    <t>JX411620</t>
  </si>
  <si>
    <t>JN859129</t>
  </si>
  <si>
    <t>JN542517</t>
  </si>
  <si>
    <t>FJ174690</t>
  </si>
  <si>
    <t>JN398368</t>
  </si>
  <si>
    <t>JF937098</t>
  </si>
  <si>
    <t>DQ398045</t>
  </si>
  <si>
    <t>JF937102</t>
  </si>
  <si>
    <t>JN020142</t>
  </si>
  <si>
    <t>FJ174692</t>
  </si>
  <si>
    <t>DQ398050</t>
  </si>
  <si>
    <t>FJ174693</t>
  </si>
  <si>
    <t>JF704117</t>
  </si>
  <si>
    <t>JN699012</t>
  </si>
  <si>
    <t>JN020141</t>
  </si>
  <si>
    <t>JN020143</t>
  </si>
  <si>
    <t>JQ300538</t>
  </si>
  <si>
    <t>JX121091</t>
  </si>
  <si>
    <t>EF536069</t>
  </si>
  <si>
    <t>HQ728524</t>
  </si>
  <si>
    <t>JF704115</t>
  </si>
  <si>
    <t>JN699001</t>
  </si>
  <si>
    <t>FJ168659</t>
  </si>
  <si>
    <t>AY129333</t>
  </si>
  <si>
    <t>JX094499</t>
  </si>
  <si>
    <t>KC139519</t>
  </si>
  <si>
    <t>KC139512</t>
  </si>
  <si>
    <t>KC677662</t>
  </si>
  <si>
    <t>JN871591</t>
  </si>
  <si>
    <t>DQ398041</t>
  </si>
  <si>
    <t>JF937091</t>
  </si>
  <si>
    <t>AY129331</t>
  </si>
  <si>
    <t>JN412590</t>
  </si>
  <si>
    <t>EU816591</t>
  </si>
  <si>
    <t>EU816588</t>
  </si>
  <si>
    <t>GQ303265</t>
  </si>
  <si>
    <t>JF937106</t>
  </si>
  <si>
    <t>JN006061</t>
  </si>
  <si>
    <t>AY129335</t>
  </si>
  <si>
    <t>JN698993</t>
  </si>
  <si>
    <t>AY394005</t>
  </si>
  <si>
    <t>DQ631426</t>
  </si>
  <si>
    <t>JN808773</t>
  </si>
  <si>
    <t>HE584812</t>
  </si>
  <si>
    <t>DQ873690</t>
  </si>
  <si>
    <t>EU272036</t>
  </si>
  <si>
    <t>EU272037</t>
  </si>
  <si>
    <t>HM624080</t>
  </si>
  <si>
    <t>AF165214</t>
  </si>
  <si>
    <t>HQ711985</t>
  </si>
  <si>
    <t>DQ398042</t>
  </si>
  <si>
    <t>JN412593</t>
  </si>
  <si>
    <t xml:space="preserve">JX865427 </t>
  </si>
  <si>
    <t>FJ750948</t>
  </si>
  <si>
    <t>JQ086375</t>
  </si>
  <si>
    <t xml:space="preserve">JN984867 </t>
  </si>
  <si>
    <t xml:space="preserve">GQ502199 </t>
  </si>
  <si>
    <t>GU229986</t>
  </si>
  <si>
    <t>EU874396</t>
  </si>
  <si>
    <t xml:space="preserve">HE775250 </t>
  </si>
  <si>
    <t>KF148055</t>
  </si>
  <si>
    <t xml:space="preserve">JQ007353 </t>
  </si>
  <si>
    <t xml:space="preserve">EF177456 </t>
  </si>
  <si>
    <t>AY730274</t>
  </si>
  <si>
    <t xml:space="preserve">JX202565 </t>
  </si>
  <si>
    <t>JN699005</t>
  </si>
  <si>
    <t>JX307702</t>
  </si>
  <si>
    <t>JX015524</t>
  </si>
  <si>
    <t>JF704093</t>
  </si>
  <si>
    <t>JF957057</t>
  </si>
  <si>
    <t>JN083852</t>
  </si>
  <si>
    <t>AY500153</t>
  </si>
  <si>
    <t>JN699000</t>
  </si>
  <si>
    <t>JN698998</t>
  </si>
  <si>
    <t>AF271693</t>
  </si>
  <si>
    <t>AY129332</t>
  </si>
  <si>
    <t>DQ398043</t>
  </si>
  <si>
    <t>JN408459</t>
  </si>
  <si>
    <t>JN153085</t>
  </si>
  <si>
    <t>JN049605</t>
  </si>
  <si>
    <t>JN153086</t>
  </si>
  <si>
    <t>JF704107</t>
  </si>
  <si>
    <t>JF704097</t>
  </si>
  <si>
    <t>JX307704</t>
  </si>
  <si>
    <t>JF937094</t>
  </si>
  <si>
    <t>JF957058</t>
  </si>
  <si>
    <t>EU744251</t>
  </si>
  <si>
    <t>JF937099</t>
  </si>
  <si>
    <t>JN699019</t>
  </si>
  <si>
    <t>JF704098</t>
  </si>
  <si>
    <t>EU744248</t>
  </si>
  <si>
    <t>JF937110</t>
  </si>
  <si>
    <t>JN699016</t>
  </si>
  <si>
    <t>JF937100</t>
  </si>
  <si>
    <t>JN699015</t>
  </si>
  <si>
    <t>EU744249</t>
  </si>
  <si>
    <t>JX307705</t>
  </si>
  <si>
    <t>JF704101</t>
  </si>
  <si>
    <t>JN020140</t>
  </si>
  <si>
    <t>JF937103</t>
  </si>
  <si>
    <t>JQ698665</t>
  </si>
  <si>
    <t>JF704110</t>
  </si>
  <si>
    <t>GQ303263</t>
  </si>
  <si>
    <t>JN572689</t>
  </si>
  <si>
    <t>EU744250</t>
  </si>
  <si>
    <t>JX411619</t>
  </si>
  <si>
    <t>GU339467</t>
  </si>
  <si>
    <t>JN398369</t>
  </si>
  <si>
    <t>JF704111</t>
  </si>
  <si>
    <t>JN831654</t>
  </si>
  <si>
    <t>GU247132</t>
  </si>
  <si>
    <t>EU826470</t>
  </si>
  <si>
    <t>JF937108</t>
  </si>
  <si>
    <t>JF946695</t>
  </si>
  <si>
    <t>JN400277</t>
  </si>
  <si>
    <t>JQ684677</t>
  </si>
  <si>
    <t>JF957060</t>
  </si>
  <si>
    <t>JN408461</t>
  </si>
  <si>
    <t>JN408460</t>
  </si>
  <si>
    <t>JQ512844</t>
  </si>
  <si>
    <t>AY500152</t>
  </si>
  <si>
    <t>JN687951</t>
  </si>
  <si>
    <t>HM755814</t>
  </si>
  <si>
    <t>JN116827</t>
  </si>
  <si>
    <t>JN116826</t>
  </si>
  <si>
    <t>JF937090</t>
  </si>
  <si>
    <t>JN698997</t>
  </si>
  <si>
    <t>JF937101</t>
  </si>
  <si>
    <t>AY129338</t>
  </si>
  <si>
    <t>JF957059</t>
  </si>
  <si>
    <t>JN201525</t>
  </si>
  <si>
    <t>EU100883</t>
  </si>
  <si>
    <t>EU100884</t>
  </si>
  <si>
    <t>DQ398047</t>
  </si>
  <si>
    <t>JN699007</t>
  </si>
  <si>
    <t>JN699003</t>
  </si>
  <si>
    <t>JF704094</t>
  </si>
  <si>
    <t>DQ398044</t>
  </si>
  <si>
    <t>JN698992</t>
  </si>
  <si>
    <t>EU770221</t>
  </si>
  <si>
    <t>JN192463</t>
  </si>
  <si>
    <t>AF547430</t>
  </si>
  <si>
    <t>DQ398049</t>
  </si>
  <si>
    <t>AY129334</t>
  </si>
  <si>
    <t>JN699011</t>
  </si>
  <si>
    <t>JF704104</t>
  </si>
  <si>
    <t>AJ550940</t>
  </si>
  <si>
    <t>JX182372</t>
  </si>
  <si>
    <t>JX100811</t>
  </si>
  <si>
    <t>JX100812</t>
  </si>
  <si>
    <t>JX100813</t>
  </si>
  <si>
    <t>JX100814</t>
  </si>
  <si>
    <t>JX100809</t>
  </si>
  <si>
    <t>CP000625</t>
  </si>
  <si>
    <t xml:space="preserve">AY453853 </t>
  </si>
  <si>
    <t xml:space="preserve">AF447491 </t>
  </si>
  <si>
    <t>AF424781</t>
  </si>
  <si>
    <t>AY954964</t>
  </si>
  <si>
    <t>AY954958</t>
  </si>
  <si>
    <t>AY954952</t>
  </si>
  <si>
    <t>AY954963</t>
  </si>
  <si>
    <t>AY954951</t>
  </si>
  <si>
    <t>AY954962</t>
  </si>
  <si>
    <t>DQ908929</t>
  </si>
  <si>
    <t>AY954953</t>
  </si>
  <si>
    <t>AY954966</t>
  </si>
  <si>
    <t>AY954967</t>
  </si>
  <si>
    <t>AY954960</t>
  </si>
  <si>
    <t>AY954950</t>
  </si>
  <si>
    <t>AY954965</t>
  </si>
  <si>
    <t>DQ517338</t>
  </si>
  <si>
    <t>DQ831957</t>
  </si>
  <si>
    <t>AY954959</t>
  </si>
  <si>
    <t>JN192400</t>
  </si>
  <si>
    <t>JN192401</t>
  </si>
  <si>
    <t>EU861004</t>
  </si>
  <si>
    <t>DQ834250</t>
  </si>
  <si>
    <t>AP001553</t>
  </si>
  <si>
    <t>AP008953</t>
  </si>
  <si>
    <t>AP008954</t>
  </si>
  <si>
    <t>AB370268</t>
  </si>
  <si>
    <t>AB370205</t>
  </si>
  <si>
    <t>DQ530359</t>
  </si>
  <si>
    <t>DQ530360</t>
  </si>
  <si>
    <t>DQ530362</t>
  </si>
  <si>
    <t>GU477322</t>
  </si>
  <si>
    <t>AY954968</t>
  </si>
  <si>
    <t>GQ478081</t>
  </si>
  <si>
    <t>GQ478084</t>
  </si>
  <si>
    <t>GQ478086</t>
  </si>
  <si>
    <t>JX486087</t>
  </si>
  <si>
    <t>AY236756</t>
  </si>
  <si>
    <t>JN051154</t>
  </si>
  <si>
    <t>JN699628</t>
  </si>
  <si>
    <t>JF937105</t>
  </si>
  <si>
    <t>AB712291</t>
  </si>
  <si>
    <t>KF192053</t>
  </si>
  <si>
    <t>JF731128</t>
  </si>
  <si>
    <t>KJ094032</t>
  </si>
  <si>
    <t>HE962497</t>
  </si>
  <si>
    <t>EF529515</t>
  </si>
  <si>
    <t>AY699705</t>
  </si>
  <si>
    <t>FJ226752</t>
  </si>
  <si>
    <t>U88974</t>
  </si>
  <si>
    <t>AF158600</t>
  </si>
  <si>
    <t>AF145054</t>
  </si>
  <si>
    <t>FJ236310</t>
  </si>
  <si>
    <t>AF085222</t>
  </si>
  <si>
    <t>AF115102</t>
  </si>
  <si>
    <t>AF115103</t>
  </si>
  <si>
    <t>DQ227763</t>
  </si>
  <si>
    <t>JQ740813</t>
  </si>
  <si>
    <t>JQ740788</t>
  </si>
  <si>
    <t>JQ740787</t>
  </si>
  <si>
    <t>JQ740804</t>
  </si>
  <si>
    <t>JQ740789</t>
  </si>
  <si>
    <t>EU221285</t>
  </si>
  <si>
    <t>AF009630</t>
  </si>
  <si>
    <t>FJ848882</t>
  </si>
  <si>
    <t>FJ848883</t>
  </si>
  <si>
    <t>FJ848884</t>
  </si>
  <si>
    <t>FJ848885</t>
  </si>
  <si>
    <t>DQ227764</t>
  </si>
  <si>
    <t>GQ979703</t>
  </si>
  <si>
    <t>DQ054536</t>
  </si>
  <si>
    <t>AF011378</t>
  </si>
  <si>
    <t>FJ848881</t>
  </si>
  <si>
    <t>JF704106</t>
  </si>
  <si>
    <t>HM152764</t>
  </si>
  <si>
    <t>HM152767</t>
  </si>
  <si>
    <t>JN831653</t>
  </si>
  <si>
    <t>JN185608</t>
  </si>
  <si>
    <t>JN243855</t>
  </si>
  <si>
    <t>JX042579</t>
  </si>
  <si>
    <t>JF937104</t>
  </si>
  <si>
    <t>AF068845</t>
  </si>
  <si>
    <t>JX887877</t>
  </si>
  <si>
    <t>EU887664</t>
  </si>
  <si>
    <t>DQ289555</t>
  </si>
  <si>
    <t>AB720063</t>
  </si>
  <si>
    <t>AP008979</t>
  </si>
  <si>
    <t>EU717894</t>
  </si>
  <si>
    <t>DQ777876</t>
  </si>
  <si>
    <t>AY299121</t>
  </si>
  <si>
    <t>ssRNA(-)</t>
  </si>
  <si>
    <t>KC464471</t>
  </si>
  <si>
    <t>canary bornavirus 1</t>
  </si>
  <si>
    <t>KF680099</t>
  </si>
  <si>
    <t>estrildid finch bornavirus 1</t>
  </si>
  <si>
    <t>GU249595</t>
  </si>
  <si>
    <t>parrot bornavirus 1</t>
  </si>
  <si>
    <t>KF578398</t>
  </si>
  <si>
    <t>aquatic bird bornavirus 1</t>
  </si>
  <si>
    <t>KF530058</t>
  </si>
  <si>
    <t>BA-T</t>
  </si>
  <si>
    <t>ssRNA(+)</t>
  </si>
  <si>
    <t>JQ864242</t>
  </si>
  <si>
    <t>Boone cardiovirus 1</t>
  </si>
  <si>
    <t>KC935379</t>
  </si>
  <si>
    <t>SZAL6-KuV/2011/HUN</t>
  </si>
  <si>
    <t>KF387721</t>
  </si>
  <si>
    <t>feline sakobuvirus 1, FFUP1/Portugal/2012</t>
  </si>
  <si>
    <t>KF741227</t>
  </si>
  <si>
    <t>chicken/UCC001/Eire (sicinivirus 1)</t>
  </si>
  <si>
    <t>ssDNA</t>
  </si>
  <si>
    <t>L segment: AB693151, S segment: AB693150</t>
  </si>
  <si>
    <t>Lunk virus, isolate NKS-1</t>
  </si>
  <si>
    <t>L segment: GU078661, S segment: GU078660</t>
  </si>
  <si>
    <t>Merino Walk virus, isolate Merino Walk</t>
  </si>
  <si>
    <t>JQ717263, JQ717264</t>
  </si>
  <si>
    <t>Golden Gate virus</t>
  </si>
  <si>
    <t>JQ717262, JQ717261</t>
  </si>
  <si>
    <t>California Academy of Sciences virus</t>
  </si>
  <si>
    <t>KC508669, KC508670</t>
  </si>
  <si>
    <t>Boa AV NL B3</t>
  </si>
  <si>
    <t>Viroid</t>
  </si>
  <si>
    <t>dsRNA</t>
  </si>
  <si>
    <t>L segment: (HM745930), M segment: (HM745931), S segment: (HM745932)</t>
  </si>
  <si>
    <t>ssRNA-RT</t>
  </si>
  <si>
    <t>HQ593107</t>
  </si>
  <si>
    <t>HQ593108</t>
  </si>
  <si>
    <t>HQ593109</t>
  </si>
  <si>
    <t>HQ593110</t>
  </si>
  <si>
    <t>JF411989</t>
  </si>
  <si>
    <t>KJ013302</t>
  </si>
  <si>
    <t>JQ926983</t>
  </si>
  <si>
    <t>JX028536</t>
  </si>
  <si>
    <t>JX941466</t>
  </si>
  <si>
    <t>GU345042</t>
  </si>
  <si>
    <t>R63</t>
  </si>
  <si>
    <t>JQ001749</t>
  </si>
  <si>
    <t>BatHEV/BS7/GE/2009</t>
  </si>
  <si>
    <t>HQ731075</t>
  </si>
  <si>
    <t>JX263426</t>
  </si>
  <si>
    <t>KF649336</t>
  </si>
  <si>
    <t>EF105297</t>
  </si>
  <si>
    <t>JQ723475</t>
  </si>
  <si>
    <t>AB818538</t>
  </si>
  <si>
    <t>JF838187</t>
  </si>
  <si>
    <t>EU847625</t>
  </si>
  <si>
    <t>GQ916624</t>
  </si>
  <si>
    <t>JQ314463</t>
  </si>
  <si>
    <t>EU564817</t>
  </si>
  <si>
    <t>KC345605</t>
  </si>
  <si>
    <t>KF260962</t>
  </si>
  <si>
    <t>HF679131</t>
  </si>
  <si>
    <t>HF769133</t>
  </si>
  <si>
    <t>HF679134</t>
  </si>
  <si>
    <t>Seg1: JN596591, Seg2: JQ919995, Seg3: JQ919997, Seg4: JQ919996, Seg5: JQ919999, Seg6: HQ403603, Seg7: JQ920001, Seg8: JQ920000, Seg9: JQ919998, Seg10: JQ920003, Seg11: JQ920002</t>
  </si>
  <si>
    <t>RVF/Chicken-wt/DEU/03V0568/2003/GXP[X]</t>
  </si>
  <si>
    <t>Seg1: JN596592, Seg2: JQ920004, Seg3: JQ920006, Seg4: JQ920005, Seg5: JQ920008, Seg6: HQ403604, Seg7: JQ920010, Seg8: JQ920009, Seg9: JQ920007, Seg10: JQ920011, Seg11: JQ920012</t>
  </si>
  <si>
    <t>RVG/Chicken-wt/DEU/03V0567/2003/GXP[X]</t>
  </si>
  <si>
    <t>Seg1: DQ113897, Seg2: DQ113898, Seg3: DQ113899, Seg4: DQ113900, Seg5: DQ113901, Seg6: DQ113902, Seg7: DQ113903, Seg8: DQ113904, Seg9: DQ113905, Seg10: DQ113906, Seg11: DQ113907</t>
  </si>
  <si>
    <t>RVX/Human-tc/CHN/NADRV-J19/1997/GXP[X]</t>
  </si>
  <si>
    <t>JN968479</t>
  </si>
  <si>
    <t>KC252997</t>
  </si>
  <si>
    <t>AY950802</t>
  </si>
  <si>
    <t>AY048850</t>
  </si>
  <si>
    <t>GQ403789</t>
  </si>
  <si>
    <t>AB063393</t>
  </si>
  <si>
    <t>JX848617</t>
  </si>
  <si>
    <t>AY038066</t>
  </si>
  <si>
    <t>AY038069</t>
  </si>
  <si>
    <t>AY038068</t>
  </si>
  <si>
    <t>KC166238</t>
  </si>
  <si>
    <t>HM640935</t>
  </si>
  <si>
    <t>06TGP01091</t>
  </si>
  <si>
    <t>KF477193</t>
  </si>
  <si>
    <t>KF495564</t>
  </si>
  <si>
    <t>Mosso das Pedras virus</t>
  </si>
  <si>
    <t>HQ128706</t>
  </si>
  <si>
    <t>EF442780</t>
  </si>
  <si>
    <t>EU371896</t>
  </si>
  <si>
    <t>Melanoplus sanguinipes entomopoxvirus 'O'</t>
  </si>
  <si>
    <t>Ratification_2004</t>
  </si>
  <si>
    <t>Exemplar Accession Number</t>
  </si>
  <si>
    <t>Exemplar Isolate</t>
  </si>
  <si>
    <t>Genome Composition</t>
  </si>
  <si>
    <t>Type Species?</t>
  </si>
  <si>
    <t>Taxon History URL</t>
  </si>
  <si>
    <t>Last Change</t>
  </si>
  <si>
    <t>Spiraea yellow leafspot virus</t>
  </si>
  <si>
    <t>Arabidopsis thaliana evelknievel virus</t>
  </si>
  <si>
    <t>New MSL including all taxa updates since the 2014 release</t>
  </si>
  <si>
    <t>ICTV 2015 Master Species List (MSL30)</t>
  </si>
  <si>
    <t>and ratified by the ICTV membership in 2016</t>
  </si>
  <si>
    <t>Updates approved during EC 47, London, UK, July 2015 (MSL #30)</t>
  </si>
  <si>
    <t>Cp220virus</t>
  </si>
  <si>
    <t>Campylobacter virus CP21</t>
  </si>
  <si>
    <t>Campylobacter virus CP220</t>
  </si>
  <si>
    <t>Campylobacter virus CPt10</t>
  </si>
  <si>
    <t>Campylobacter virus IBB35</t>
  </si>
  <si>
    <t>Cp8virus</t>
  </si>
  <si>
    <t>Campylobacter virus CP81</t>
  </si>
  <si>
    <t>Campylobacter virus CPX</t>
  </si>
  <si>
    <t>Campylobacter virus NCTC12673</t>
  </si>
  <si>
    <t>Hp1virus</t>
  </si>
  <si>
    <t>Aeromonas virus phiO18P</t>
  </si>
  <si>
    <t>Haemophilus virus HP1</t>
  </si>
  <si>
    <t>Haemophilus virus HP2</t>
  </si>
  <si>
    <t>Pasteurella virus F108</t>
  </si>
  <si>
    <t>Vibrio virus K139</t>
  </si>
  <si>
    <t>Vibrio virus Kappa</t>
  </si>
  <si>
    <t>P2virus</t>
  </si>
  <si>
    <t>Burkholderia virus phi52237</t>
  </si>
  <si>
    <t>Burkholderia virus phiE122</t>
  </si>
  <si>
    <t>Burkholderia virus phiE202</t>
  </si>
  <si>
    <t>Escherichia virus 186</t>
  </si>
  <si>
    <t>Escherichia virus P2</t>
  </si>
  <si>
    <t>P2</t>
  </si>
  <si>
    <t>Escherichia virus Wphi</t>
  </si>
  <si>
    <t>Mannheimia virus MhaA1- PHL101</t>
  </si>
  <si>
    <t>Pseudomonas virus phiCTX</t>
  </si>
  <si>
    <t>Ralstonia virus RSA1</t>
  </si>
  <si>
    <t>Salmonella virus Fels2</t>
  </si>
  <si>
    <t>Salmonella virus PsP3</t>
  </si>
  <si>
    <t>Salmonella virus SopEphi</t>
  </si>
  <si>
    <t>Yersinia virus L413C</t>
  </si>
  <si>
    <t>Kayvirus</t>
  </si>
  <si>
    <t>Staphylococcus virus G1</t>
  </si>
  <si>
    <t>Staphylococcus virus G15</t>
  </si>
  <si>
    <t>Staphylococcus phage G15</t>
  </si>
  <si>
    <t>Staphylococcus virus JD7</t>
  </si>
  <si>
    <t>Staphylococcus phage JD007</t>
  </si>
  <si>
    <t>Staphylococcus virus K</t>
  </si>
  <si>
    <t>Staphylococcus virus MCE2014</t>
  </si>
  <si>
    <t>Staphylococcus phage MCE-2014</t>
  </si>
  <si>
    <t>Staphylococcus virus P108</t>
  </si>
  <si>
    <t>Staphylococcus phage P108</t>
  </si>
  <si>
    <t>Staphylococcus virus S253</t>
  </si>
  <si>
    <t>Staphylococcus phage S25-3</t>
  </si>
  <si>
    <t>Staphylococcus virus SA12</t>
  </si>
  <si>
    <t>Staphylococcus phage phiSA12</t>
  </si>
  <si>
    <t>P100virus</t>
  </si>
  <si>
    <t>Listeria virus A511</t>
  </si>
  <si>
    <t>Listeria virus P100</t>
  </si>
  <si>
    <t>Silviavirus</t>
  </si>
  <si>
    <t>Staphylococcus virus Remus</t>
  </si>
  <si>
    <t>Staphylococcus phage vB_SauM_Remus</t>
  </si>
  <si>
    <t>Staphylococcus virus SA11</t>
  </si>
  <si>
    <t>Staphylococcus phage SA11</t>
  </si>
  <si>
    <t>Spo1virus</t>
  </si>
  <si>
    <t>Bacillus virus SPO1</t>
  </si>
  <si>
    <t>Twortvirus</t>
  </si>
  <si>
    <t>Staphylococcus virus Twort</t>
  </si>
  <si>
    <t>Enterococcus virus phiEC24C</t>
  </si>
  <si>
    <t>Lactobacillus phage Lb338-1</t>
  </si>
  <si>
    <t>Lactobacillus virus LP65</t>
  </si>
  <si>
    <t>Cc31virus</t>
  </si>
  <si>
    <t>Enterobacter virus CC31</t>
  </si>
  <si>
    <t>Enterobacter phage CC31</t>
  </si>
  <si>
    <t>Enterobacter virus PG7</t>
  </si>
  <si>
    <t>Enterobacter phage PG7</t>
  </si>
  <si>
    <t>Js98virus</t>
  </si>
  <si>
    <t>Escherichia virus Bp7</t>
  </si>
  <si>
    <t>Escherichia phage Bp7</t>
  </si>
  <si>
    <t>Escherichia virus IME08</t>
  </si>
  <si>
    <t>Escherichia phage IME08</t>
  </si>
  <si>
    <t>Escherichia virus JS10</t>
  </si>
  <si>
    <t>Escherichia phage JS10</t>
  </si>
  <si>
    <t>Escherichia virus JS98</t>
  </si>
  <si>
    <t>Escherichia virus VR5</t>
  </si>
  <si>
    <t>Escherichia phage vb_EcoM-VR5</t>
  </si>
  <si>
    <t>Rb49virus</t>
  </si>
  <si>
    <t>Escherichia virus phi1</t>
  </si>
  <si>
    <t>Escherichia virus RB49</t>
  </si>
  <si>
    <t>Rb69virus</t>
  </si>
  <si>
    <t>Escherichia virus HX01</t>
  </si>
  <si>
    <t>Escherichia phage HX01</t>
  </si>
  <si>
    <t>Escherichia virus JS09</t>
  </si>
  <si>
    <t>Escherichia phage vB_EcoM_JS09</t>
  </si>
  <si>
    <t>Escherichia virus RB69</t>
  </si>
  <si>
    <t>Shigella virus UTAM</t>
  </si>
  <si>
    <t>Shigella phage Shf125875</t>
  </si>
  <si>
    <t>S16virus</t>
  </si>
  <si>
    <t>Salmonella virus S16</t>
  </si>
  <si>
    <t>Salmonella phage vB_SenM-S16</t>
  </si>
  <si>
    <t>Salmonella virus STML198</t>
  </si>
  <si>
    <t>Salmonella phage STML-198</t>
  </si>
  <si>
    <t>Schizot4virus</t>
  </si>
  <si>
    <t>Vibrio virus KVP40</t>
  </si>
  <si>
    <t>Vibrio virus nt1</t>
  </si>
  <si>
    <t>Vibrio virus ValKK3</t>
  </si>
  <si>
    <t>Vibrio phage ValKK3</t>
  </si>
  <si>
    <t>Sp18virus</t>
  </si>
  <si>
    <t>Escherichia virus VR7</t>
  </si>
  <si>
    <t>Escherichia phage vB_EcoM_VR7</t>
  </si>
  <si>
    <t>Escherichia virus VR20</t>
  </si>
  <si>
    <t>Escherichia phage vB_EcoM_VR20</t>
  </si>
  <si>
    <t>Escherichia virus VR25</t>
  </si>
  <si>
    <t>Escherichia phage vB_EcoM_VR25</t>
  </si>
  <si>
    <t>Escherichia virus VR26</t>
  </si>
  <si>
    <t>Escherichia phage vB_EcoM_VR26</t>
  </si>
  <si>
    <t>Shigella virus SP18</t>
  </si>
  <si>
    <t>Shigella phage SP18</t>
  </si>
  <si>
    <t>T4virus</t>
  </si>
  <si>
    <t>Escherichia virus AR1</t>
  </si>
  <si>
    <t>Escherichia phage AR1</t>
  </si>
  <si>
    <t>Escherichia virus C40</t>
  </si>
  <si>
    <t>Escherichia phage vB_EcoM_ACG-C40</t>
  </si>
  <si>
    <t>Escherichia virus E112</t>
  </si>
  <si>
    <t>Escherichia phage vB_EcoM_112</t>
  </si>
  <si>
    <t>Escherichia virus ECML134</t>
  </si>
  <si>
    <t>Escherichia phage ECML-134</t>
  </si>
  <si>
    <t>Escherichia virus Ime09</t>
  </si>
  <si>
    <t>Escherichia phage ime09</t>
  </si>
  <si>
    <t>Escherichia virus RB3</t>
  </si>
  <si>
    <t>Escherichia phage RB3</t>
  </si>
  <si>
    <t>Escherichia virus RB14</t>
  </si>
  <si>
    <t>Escherichia virus T4</t>
  </si>
  <si>
    <t>Shigella virus Pss1</t>
  </si>
  <si>
    <t>Shigella phage pSs-1</t>
  </si>
  <si>
    <t>Shigella virus Shfl2</t>
  </si>
  <si>
    <t>Shigella phage Shfl2</t>
  </si>
  <si>
    <t>Yersinia virus D1</t>
  </si>
  <si>
    <t>Yersinia phage phiD1</t>
  </si>
  <si>
    <t>Yersinia virus PST</t>
  </si>
  <si>
    <t>Yersinia phage PST</t>
  </si>
  <si>
    <t>Acinetobacter virus 133</t>
  </si>
  <si>
    <t>Aeromonas virus 65</t>
  </si>
  <si>
    <t>Aeromonas virus Aeh1</t>
  </si>
  <si>
    <t>Enterobacteria virus SV14</t>
  </si>
  <si>
    <t>Escherichia virus RB16</t>
  </si>
  <si>
    <t>Escherichia virus RB32</t>
  </si>
  <si>
    <t>Escherichia virus RB43</t>
  </si>
  <si>
    <t>Pseudomonas virus 42</t>
  </si>
  <si>
    <t>Vequintavirinae</t>
  </si>
  <si>
    <t>Cr3virus</t>
  </si>
  <si>
    <t>Cronobacter virus CR3</t>
  </si>
  <si>
    <t>Cronobacter phage CR3</t>
  </si>
  <si>
    <t>Cronobacter virus CR8</t>
  </si>
  <si>
    <t>Cronobacter phage CR8</t>
  </si>
  <si>
    <t>Cronobacter virus CR9</t>
  </si>
  <si>
    <t>Cronobacter phage CR9</t>
  </si>
  <si>
    <t>Se1virus</t>
  </si>
  <si>
    <t>Cronobacter virus GAP31</t>
  </si>
  <si>
    <t>Cronobacter phage vB_CsaM_GAP31</t>
  </si>
  <si>
    <t>Escherichia virus 4MG</t>
  </si>
  <si>
    <t>Escherichia phage 4MG</t>
  </si>
  <si>
    <t>Salmonella virus SE1</t>
  </si>
  <si>
    <t>Salmonella phage SE1</t>
  </si>
  <si>
    <t>Salmonella virus SSE121</t>
  </si>
  <si>
    <t>Salmonella phage SSE121</t>
  </si>
  <si>
    <t>V5virus</t>
  </si>
  <si>
    <t>Escherichia virus FFH2</t>
  </si>
  <si>
    <t>Escherichia phage FFH2</t>
  </si>
  <si>
    <t>Escherichia virus FV3</t>
  </si>
  <si>
    <t>Escherichia phage FV3</t>
  </si>
  <si>
    <t>Escherichia virus JES2013</t>
  </si>
  <si>
    <t>Escherichia phage JES2013</t>
  </si>
  <si>
    <t>Escherichia virus V5</t>
  </si>
  <si>
    <t>Escherichia phage V5</t>
  </si>
  <si>
    <t>Agatevirus</t>
  </si>
  <si>
    <t>Bacillus virus Agate</t>
  </si>
  <si>
    <t>Bacillus phage phiAGATE</t>
  </si>
  <si>
    <t>Bacillus virus Bobb</t>
  </si>
  <si>
    <t>Bacillus phage Bobb</t>
  </si>
  <si>
    <t>Bacillus virus Bp8pC</t>
  </si>
  <si>
    <t>Bacillus phage Bp8p-C</t>
  </si>
  <si>
    <t>Ap22virus</t>
  </si>
  <si>
    <t>Acinetobacter virus AB1</t>
  </si>
  <si>
    <t>Acinetobacter phage AB1</t>
  </si>
  <si>
    <t>Acinetobacter virus AB2</t>
  </si>
  <si>
    <t>Acinetobacter phage vB_AbaM-IME-AB2</t>
  </si>
  <si>
    <t>Acinetobacter virus AbC62</t>
  </si>
  <si>
    <t>Acinetobacter phage YMC-13-01-C62</t>
  </si>
  <si>
    <t>Acinetobacter virus AP22</t>
  </si>
  <si>
    <t>Acinetobacter phage AP22</t>
  </si>
  <si>
    <t>B4virus</t>
  </si>
  <si>
    <t>Bacillus virus B4</t>
  </si>
  <si>
    <t>Bacillus phage B4</t>
  </si>
  <si>
    <t>Bacillus virus Bigbertha</t>
  </si>
  <si>
    <t>Bacillus phage BigBertha</t>
  </si>
  <si>
    <t>Bacillus virus Riley</t>
  </si>
  <si>
    <t>Bacillus phage Riley</t>
  </si>
  <si>
    <t>Bacillus virus Spock</t>
  </si>
  <si>
    <t>Bacillus phage Spock</t>
  </si>
  <si>
    <t>Bacillus virus Troll</t>
  </si>
  <si>
    <t>Bacillus phage Troll</t>
  </si>
  <si>
    <t>Bastillevirus</t>
  </si>
  <si>
    <t>Bacillus virus Bastille</t>
  </si>
  <si>
    <t>Bacillus phage Bastille</t>
  </si>
  <si>
    <t>Bacillus virus CAM003</t>
  </si>
  <si>
    <t>Bacillus phage CAM003</t>
  </si>
  <si>
    <t>Bc431virus</t>
  </si>
  <si>
    <t>Bacillus virus Bc431</t>
  </si>
  <si>
    <t>Bacillus phage vB_BceM_Bc431v3</t>
  </si>
  <si>
    <t>Bacillus virus Bcp1</t>
  </si>
  <si>
    <t>Bacillus phage Bcp1</t>
  </si>
  <si>
    <t>Bacillus virus BCP82</t>
  </si>
  <si>
    <t>Bacillus phage BCP8-2</t>
  </si>
  <si>
    <t>Bacillus virus JBP901</t>
  </si>
  <si>
    <t>Bacillus phage JBP901</t>
  </si>
  <si>
    <t>Bcep78virus</t>
  </si>
  <si>
    <t>Burkholderia virus Bcep1</t>
  </si>
  <si>
    <t>Burkholderia virus Bcep43</t>
  </si>
  <si>
    <t>Burkholderia virus Bcep781</t>
  </si>
  <si>
    <t>Burkholderia virus BcepNY3</t>
  </si>
  <si>
    <t>Xanthomonas virus OP2</t>
  </si>
  <si>
    <t>Bcepmuvirus</t>
  </si>
  <si>
    <t>Burkholderia virus BcepMu</t>
  </si>
  <si>
    <t>Burkholderia virus phiE255</t>
  </si>
  <si>
    <t>Biquartavirus</t>
  </si>
  <si>
    <t>Aeromonas virus 44RR2</t>
  </si>
  <si>
    <t>Bxz1virus</t>
  </si>
  <si>
    <t>Mycobacterium virus I3</t>
  </si>
  <si>
    <t>Cd119virus</t>
  </si>
  <si>
    <t>Clostridium virus phiC2</t>
  </si>
  <si>
    <t>Clostridium virus phiCD27</t>
  </si>
  <si>
    <t>Clostridium virus phiCD119</t>
  </si>
  <si>
    <t>Cp51virus</t>
  </si>
  <si>
    <t>Bacillus virus CP51</t>
  </si>
  <si>
    <t>Bacillus phage CP-51</t>
  </si>
  <si>
    <t>Bacillus virus JL</t>
  </si>
  <si>
    <t>Bacillus phage JL</t>
  </si>
  <si>
    <t>Bacillus virus Shanette</t>
  </si>
  <si>
    <t>Bacillus phage Shanette</t>
  </si>
  <si>
    <t>Cvm10virus</t>
  </si>
  <si>
    <t>Escherichia virus CVM10</t>
  </si>
  <si>
    <t>Escherichia phage vB_EcoM_ECO1230-10</t>
  </si>
  <si>
    <t>Escherichia virus ep3</t>
  </si>
  <si>
    <t>Escherichia phage vB_EcoM-ep3</t>
  </si>
  <si>
    <t>Felixo1virus</t>
  </si>
  <si>
    <t>Erwinia virus Ea214</t>
  </si>
  <si>
    <t>Escherichia virus AYO145A</t>
  </si>
  <si>
    <t>Escherichia phage vB_EcoM_AYO145A</t>
  </si>
  <si>
    <t>Escherichia virus EC6</t>
  </si>
  <si>
    <t>Escherichia phage EC6</t>
  </si>
  <si>
    <t>Escherichia virus JH2</t>
  </si>
  <si>
    <t>Escherichia phage JH2</t>
  </si>
  <si>
    <t>Escherichia virus VpaE1</t>
  </si>
  <si>
    <t>Escherichia phage vB_EcoM-VpaE1</t>
  </si>
  <si>
    <t>Escherichia virus wV8</t>
  </si>
  <si>
    <t>Salmonella virus FelixO1</t>
  </si>
  <si>
    <t>Salmonella virus HB2014</t>
  </si>
  <si>
    <t>Salmonella phage HB-2014</t>
  </si>
  <si>
    <t>Salmonella virus Mushroom</t>
  </si>
  <si>
    <t>Salmonella phage Mushroom</t>
  </si>
  <si>
    <t>Salmonella virus UAB87</t>
  </si>
  <si>
    <t>Enterobacteriaphage UAB_Phi87</t>
  </si>
  <si>
    <t>Hapunavirus</t>
  </si>
  <si>
    <t>Halomonas virus HAP1</t>
  </si>
  <si>
    <t>Vibrio virus VP882</t>
  </si>
  <si>
    <t>Kpp10virus</t>
  </si>
  <si>
    <t>Pseudomonas virus Ab03</t>
  </si>
  <si>
    <t>Pseudomonas phage vB_PaeM_PAO1_Ab03</t>
  </si>
  <si>
    <t>Pseudomonas virus KPP10</t>
  </si>
  <si>
    <t>Pseudomonas phage KPP10</t>
  </si>
  <si>
    <t>Pseudomonas virus PAKP3</t>
  </si>
  <si>
    <t>Pseudomonas phage PAK_P3</t>
  </si>
  <si>
    <t>Muvirus</t>
  </si>
  <si>
    <t>Escherichia virus Mu</t>
  </si>
  <si>
    <t>Myohalovirus</t>
  </si>
  <si>
    <t>Halobacterium virus phiH</t>
  </si>
  <si>
    <t>Nit1virus</t>
  </si>
  <si>
    <t>Bacillus virus Grass</t>
  </si>
  <si>
    <t>Bacillus phage Grass</t>
  </si>
  <si>
    <t>Bacillus virus NIT1</t>
  </si>
  <si>
    <t>Bacillus phage phiNIT1</t>
  </si>
  <si>
    <t>Bacillus virus SPG24</t>
  </si>
  <si>
    <t>Bacillus phage SPG24</t>
  </si>
  <si>
    <t>P1virus</t>
  </si>
  <si>
    <t>Aeromonas virus 43</t>
  </si>
  <si>
    <t>Escherichia virus P1</t>
  </si>
  <si>
    <t>Pakpunavirus</t>
  </si>
  <si>
    <t>Pseudomonas virus CAb1</t>
  </si>
  <si>
    <t>Pseudomonas phage vB_PaeM_C2-10_Ab1</t>
  </si>
  <si>
    <t>Pseudomonas virus CAb02</t>
  </si>
  <si>
    <t>Pseudomonas phage vB_PaeM_C2-10_Ab02</t>
  </si>
  <si>
    <t>Pseudomonas virus JG004</t>
  </si>
  <si>
    <t>Pseudomonas phage JG004</t>
  </si>
  <si>
    <t>Pseudomonas virus PAKP1</t>
  </si>
  <si>
    <t>Pseudomonas phage PAK_P1</t>
  </si>
  <si>
    <t>Pseudomonas virus PAKP4</t>
  </si>
  <si>
    <t>Pseudomonas phage PAK_P4</t>
  </si>
  <si>
    <t>Pseudomonas virus PaP1</t>
  </si>
  <si>
    <t>Pseudomonas phage PaP1</t>
  </si>
  <si>
    <t>Pbunavirus</t>
  </si>
  <si>
    <t>Burkholderia virus BcepF1</t>
  </si>
  <si>
    <t>Pseudomonas virus 141</t>
  </si>
  <si>
    <t>Pseudomonas virus Ab28</t>
  </si>
  <si>
    <t>Pseudomonas phage vB_PaeM_C1-14_Ab28</t>
  </si>
  <si>
    <t>Pseudomonas virus DL60</t>
  </si>
  <si>
    <t>Pseudomonas phage DL60</t>
  </si>
  <si>
    <t>Pseudomonas virus DL68</t>
  </si>
  <si>
    <t>Pseudomonas phage DL68</t>
  </si>
  <si>
    <t>Pseudomonas virus F8</t>
  </si>
  <si>
    <t>Pseudomonas virus JG024</t>
  </si>
  <si>
    <t>Pseudomonas phage JG024</t>
  </si>
  <si>
    <t>Pseudomonas virus KPP12</t>
  </si>
  <si>
    <t>Pseudomonas phage KPP12</t>
  </si>
  <si>
    <t>Pseudomonas virus LBL3</t>
  </si>
  <si>
    <t>Pseudomonas virus LMA2</t>
  </si>
  <si>
    <t>Pseudomonas virus PB1</t>
  </si>
  <si>
    <t>Pseudomonas virus SN</t>
  </si>
  <si>
    <t>Phikzvirus</t>
  </si>
  <si>
    <t>Pseudomonas virus EL</t>
  </si>
  <si>
    <t>Pseudomonas virus Lin68</t>
  </si>
  <si>
    <t>Pseudomonas virus phiKZ</t>
  </si>
  <si>
    <t>Rheph4virus</t>
  </si>
  <si>
    <t>Rhizobium virus RHEph4</t>
  </si>
  <si>
    <t>Rhizobium phage RHEph04</t>
  </si>
  <si>
    <t>Secunda5virus</t>
  </si>
  <si>
    <t>Aeromonas virus 25</t>
  </si>
  <si>
    <t>Aeromonas virus 31</t>
  </si>
  <si>
    <t>Aeromonas virus Aes12</t>
  </si>
  <si>
    <t>Aeromonas phage Aes012</t>
  </si>
  <si>
    <t>Aeromonas virus Aes508</t>
  </si>
  <si>
    <t>Aeromonas phage Aes508</t>
  </si>
  <si>
    <t>Aeromonas virus AS4</t>
  </si>
  <si>
    <t>Aeromonas phage phiAS4</t>
  </si>
  <si>
    <t>Stenotrophomonas virus IME13</t>
  </si>
  <si>
    <t>Stenotrophomonas phage IME13</t>
  </si>
  <si>
    <t>Tg1virus</t>
  </si>
  <si>
    <t>Yersinia virus R1RT</t>
  </si>
  <si>
    <t>Yersinia phage phiR1-RT</t>
  </si>
  <si>
    <t>Yersinia virus TG1</t>
  </si>
  <si>
    <t>Yersinia phage vB_YenM_TG1</t>
  </si>
  <si>
    <t>Bacillus virus G</t>
  </si>
  <si>
    <t>Bacillus virus PBS1</t>
  </si>
  <si>
    <t>Microcystis virus Ma-LMM01</t>
  </si>
  <si>
    <t>Vhmlvirus</t>
  </si>
  <si>
    <t>Vibrio virus MAR</t>
  </si>
  <si>
    <t>Vibrio phage vB_VpaM_MAR</t>
  </si>
  <si>
    <t>Vibrio virus VHML</t>
  </si>
  <si>
    <t>Vibrio phage VHML</t>
  </si>
  <si>
    <t>Vibrio virus VP585</t>
  </si>
  <si>
    <t>Vibrio phage VP585</t>
  </si>
  <si>
    <t>Vi1virus</t>
  </si>
  <si>
    <t>Dickeya virus Limestone</t>
  </si>
  <si>
    <t>Escherichia virus CBA120</t>
  </si>
  <si>
    <t>Escherichia virus ECML4</t>
  </si>
  <si>
    <t>Escherichia phage ECML-4</t>
  </si>
  <si>
    <t>Escherichia virus PhaxI</t>
  </si>
  <si>
    <t>Salmonella virus Det7</t>
  </si>
  <si>
    <t>Salmonella phage Det7</t>
  </si>
  <si>
    <t>Salmonella virus Marshall</t>
  </si>
  <si>
    <t>Salmonella phage Marshall</t>
  </si>
  <si>
    <t>Salmonella virus Maynard</t>
  </si>
  <si>
    <t>Salmonella phage Maynard</t>
  </si>
  <si>
    <t>Salmonella virus SFP10</t>
  </si>
  <si>
    <t>Salmonella virus SH19</t>
  </si>
  <si>
    <t>Salmonella virus SJ2</t>
  </si>
  <si>
    <t>Salmonella phage vB_SalM_SJ2</t>
  </si>
  <si>
    <t>Salmonella virus SJ3</t>
  </si>
  <si>
    <t>Salmonella phage vB_SalM_SJ3</t>
  </si>
  <si>
    <t>Salmonella virus STML131</t>
  </si>
  <si>
    <t>Salmonella phage STML-13-1</t>
  </si>
  <si>
    <t>Salmonella virus ViI</t>
  </si>
  <si>
    <t>Shigella virus AG3</t>
  </si>
  <si>
    <t>Wphvirus</t>
  </si>
  <si>
    <t>Bacillus virus WPh</t>
  </si>
  <si>
    <t>Kp34virus</t>
  </si>
  <si>
    <t>Klebsiella virus F19</t>
  </si>
  <si>
    <t>Klebsiella phage F19</t>
  </si>
  <si>
    <t>Klebsiella virus K244</t>
  </si>
  <si>
    <t>Klebsiella phage NTUH-K2044-K1-1</t>
  </si>
  <si>
    <t>Klebsiella virus KP34</t>
  </si>
  <si>
    <t>Klebsiella phage KP34</t>
  </si>
  <si>
    <t>Klebsiella virus SU503</t>
  </si>
  <si>
    <t>Klebsiella phage vB_KpnP_SU503</t>
  </si>
  <si>
    <t>Klebsiella virus SU552A</t>
  </si>
  <si>
    <t>Klebsiella phage vB_KpnP_SU552A</t>
  </si>
  <si>
    <t>Phikmvvirus</t>
  </si>
  <si>
    <t>Pantoea virus Limelight</t>
  </si>
  <si>
    <t>Pantoea virus Limezero</t>
  </si>
  <si>
    <t>Pseudomonas virus LKA1</t>
  </si>
  <si>
    <t>Pseudomonas virus phiKMV</t>
  </si>
  <si>
    <t>Sp6virus</t>
  </si>
  <si>
    <t>Erwinia virus Era103</t>
  </si>
  <si>
    <t>Escherichia virus K5</t>
  </si>
  <si>
    <t>Escherichia virus K1-5</t>
  </si>
  <si>
    <t>Escherichia virus K1E</t>
  </si>
  <si>
    <t>Salmonella virus SP6</t>
  </si>
  <si>
    <t>T7virus</t>
  </si>
  <si>
    <t>Escherichia virus T7</t>
  </si>
  <si>
    <t>Kluyvera virus Kvp1</t>
  </si>
  <si>
    <t>Pseudomonas virus gh1</t>
  </si>
  <si>
    <t>Prochlorococcus virus PSSP7</t>
  </si>
  <si>
    <t>Synechococcus virus P60</t>
  </si>
  <si>
    <t>Synechococcus virus Syn5</t>
  </si>
  <si>
    <t>P68virus</t>
  </si>
  <si>
    <t>Staphylococcus virus 44AHJD</t>
  </si>
  <si>
    <t>Streptococcus virus C1</t>
  </si>
  <si>
    <t>C1</t>
  </si>
  <si>
    <t>Phi29virus</t>
  </si>
  <si>
    <t>Bacillus virus B103</t>
  </si>
  <si>
    <t>Bacillus virus GA1</t>
  </si>
  <si>
    <t>Bacillus virus phi29</t>
  </si>
  <si>
    <t>Kurthia virus 6</t>
  </si>
  <si>
    <t>Actinomyces virus Av1</t>
  </si>
  <si>
    <t>Mycoplasma virus P1</t>
  </si>
  <si>
    <t>Streptococcus virus Cp1</t>
  </si>
  <si>
    <t>Burkholderia virus Bcep22</t>
  </si>
  <si>
    <t>Burkholderia virus Bcepil02</t>
  </si>
  <si>
    <t>Burkholderia virus Bcepmigl</t>
  </si>
  <si>
    <t>Burkholderia virus DC1</t>
  </si>
  <si>
    <t>Bpp1virus</t>
  </si>
  <si>
    <t>Bordetella virus BPP1</t>
  </si>
  <si>
    <t>Burkholderia virus BcepC6B</t>
  </si>
  <si>
    <t>Cba41virus</t>
  </si>
  <si>
    <t>Cellulophaga virus Cba41</t>
  </si>
  <si>
    <t>Cellulophaga phage phi4:1</t>
  </si>
  <si>
    <t>Cellulophaga virus Cba172</t>
  </si>
  <si>
    <t>Cellulophaga phage phi17:2</t>
  </si>
  <si>
    <t>Epsilon15virus</t>
  </si>
  <si>
    <t>Escherichia virus phiV10</t>
  </si>
  <si>
    <t>Salmonella virus Epsilon15</t>
  </si>
  <si>
    <t>F116virus</t>
  </si>
  <si>
    <t>Pseudomonas virus F116</t>
  </si>
  <si>
    <t>Pseudomonas virus H66</t>
  </si>
  <si>
    <t>Ff47virus</t>
  </si>
  <si>
    <t>Mycobacterium virus Ff47</t>
  </si>
  <si>
    <t>Mycobacterium virus FF47</t>
  </si>
  <si>
    <t>Mycobacterium virus Muddy</t>
  </si>
  <si>
    <t>G7cvirus</t>
  </si>
  <si>
    <t>Escherichia virus APEC5</t>
  </si>
  <si>
    <t>Escherichia phage vB_EcoP_PhAPEC5</t>
  </si>
  <si>
    <t>Escherichia virus APEC7</t>
  </si>
  <si>
    <t>Escherichia phage vB_EcoP_PhAPEC7</t>
  </si>
  <si>
    <t>Escherichia virus Bp4</t>
  </si>
  <si>
    <t>Escherichia phage Bp4</t>
  </si>
  <si>
    <t>Escherichia virus EC1UPM</t>
  </si>
  <si>
    <t>Escherichia phage EC1-UPM</t>
  </si>
  <si>
    <t>Escherichia virus ECBP1</t>
  </si>
  <si>
    <t>Escherichia phage ECBP1</t>
  </si>
  <si>
    <t>Escherichia virus G7C</t>
  </si>
  <si>
    <t>Escherichia phage vB_EcoP_G7C</t>
  </si>
  <si>
    <t>Escherichia virus IME11</t>
  </si>
  <si>
    <t>Escherichia phage IME11</t>
  </si>
  <si>
    <t>Shigella virus Sb1</t>
  </si>
  <si>
    <t>Shigella phage pSb-1</t>
  </si>
  <si>
    <t>Lit1virus</t>
  </si>
  <si>
    <t>Pseudomonas virus Ab09</t>
  </si>
  <si>
    <t>Pseudomonas phage vB_PaeP_C2-10_Ab09</t>
  </si>
  <si>
    <t>Pseudomonas virus LIT1</t>
  </si>
  <si>
    <t>Pseudomonas phage LIT1</t>
  </si>
  <si>
    <t>Pseudomonas virus PA26</t>
  </si>
  <si>
    <t>Pseudomonas phage PA26</t>
  </si>
  <si>
    <t>Luz24virus</t>
  </si>
  <si>
    <t>Pseudomonas virus Ab22</t>
  </si>
  <si>
    <t>Pseudomonas phage vB_PaeP_C2-10_Ab22</t>
  </si>
  <si>
    <t>Pseudomonas virus CHU</t>
  </si>
  <si>
    <t>Pseudomonas phage PhiCHU</t>
  </si>
  <si>
    <t>Pseudomonas virus LUZ24</t>
  </si>
  <si>
    <t>Pseudomonas virus PAA2</t>
  </si>
  <si>
    <t>Pseudomonas phage phiIBB-PAA2</t>
  </si>
  <si>
    <t>Pseudomonas virus PaP3</t>
  </si>
  <si>
    <t>Pseudomonas virus PaP4</t>
  </si>
  <si>
    <t>Pseudomonas phage PaP4</t>
  </si>
  <si>
    <t>Pseudomonas virus TL</t>
  </si>
  <si>
    <t>Pseudomonas phage TL</t>
  </si>
  <si>
    <t>N4virus</t>
  </si>
  <si>
    <t>Escherichia virus N4</t>
  </si>
  <si>
    <t>Nonanavirus</t>
  </si>
  <si>
    <t>Salmonella virus 9NA</t>
  </si>
  <si>
    <t>Salmonella phage 9NA</t>
  </si>
  <si>
    <t>Salmonella virus SP069</t>
  </si>
  <si>
    <t>Salmonella phage SP069</t>
  </si>
  <si>
    <t>P22virus</t>
  </si>
  <si>
    <t>Salmonella virus HK620</t>
  </si>
  <si>
    <t>Salmonella virus P22</t>
  </si>
  <si>
    <t>Salmonella virus ST64T</t>
  </si>
  <si>
    <t>Shigella virus Sf6</t>
  </si>
  <si>
    <t>Pagevirus</t>
  </si>
  <si>
    <t>Bacillus virus Page</t>
  </si>
  <si>
    <t>Bacillus phage Page</t>
  </si>
  <si>
    <t>Bacillus virus Palmer</t>
  </si>
  <si>
    <t>Bacillus phage Palmer</t>
  </si>
  <si>
    <t>Bacillus virus Pascal</t>
  </si>
  <si>
    <t>Bacillus phage Pascal</t>
  </si>
  <si>
    <t>Bacillus virus Pony</t>
  </si>
  <si>
    <t>Bacillus phage Pony</t>
  </si>
  <si>
    <t>Bacillus virus Pookie</t>
  </si>
  <si>
    <t>Bacillus phage Pookie</t>
  </si>
  <si>
    <t>Phieco32virus</t>
  </si>
  <si>
    <t>Escherichia virus ECB2</t>
  </si>
  <si>
    <t>Escherichia phage ECBP2</t>
  </si>
  <si>
    <t>Escherichia virus NJ01</t>
  </si>
  <si>
    <t>Escherichia phage NJ01</t>
  </si>
  <si>
    <t>Escherichia virus phiEco32</t>
  </si>
  <si>
    <t>Escherichia virus Septima11</t>
  </si>
  <si>
    <t>Escherichia phage KBNP1711</t>
  </si>
  <si>
    <t>Escherichia virus SU10</t>
  </si>
  <si>
    <t>Escherichia phage vB_EcoP_SU10</t>
  </si>
  <si>
    <t>Hamiltonella virus APSE1</t>
  </si>
  <si>
    <t>Lactococcus virus KSY1</t>
  </si>
  <si>
    <t>Phormidium virus WMP3</t>
  </si>
  <si>
    <t>Phormidium virus WMP4</t>
  </si>
  <si>
    <t>Pseudomonas virus 119X</t>
  </si>
  <si>
    <t>Roseobacter virus SIO1</t>
  </si>
  <si>
    <t>Vibrio virus VpV262</t>
  </si>
  <si>
    <t>Vp5virus</t>
  </si>
  <si>
    <t>Vibrio virus VC8</t>
  </si>
  <si>
    <t>Vibrio phage phiVC8</t>
  </si>
  <si>
    <t>Vibrio virus VP2</t>
  </si>
  <si>
    <t>Vibriophage VP2</t>
  </si>
  <si>
    <t>Vibrio virus VP5</t>
  </si>
  <si>
    <t>Vibriophage VP5</t>
  </si>
  <si>
    <t>Guernseyvirinae</t>
  </si>
  <si>
    <t>Jerseyvirus</t>
  </si>
  <si>
    <t>Salmonella phage L13</t>
  </si>
  <si>
    <t>Salmonella phage LSPA1</t>
  </si>
  <si>
    <t>Salmonella virus AG11</t>
  </si>
  <si>
    <t>Salmonella phage vB_SenS_AG11</t>
  </si>
  <si>
    <t>Salmonella virus Ent1</t>
  </si>
  <si>
    <t>Salmonella virus Jersey</t>
  </si>
  <si>
    <t>Salmonella virus SE2</t>
  </si>
  <si>
    <t>Salmonella virus SETP3</t>
  </si>
  <si>
    <t>Salmonella virus SETP7</t>
  </si>
  <si>
    <t>Salmonella phage SETP7</t>
  </si>
  <si>
    <t>Salmonella virus SETP13</t>
  </si>
  <si>
    <t>Salmonella phage SETP13</t>
  </si>
  <si>
    <t>Salmonella virus SP101</t>
  </si>
  <si>
    <t>Salmonella phage FSL SP-101</t>
  </si>
  <si>
    <t>Salmonella virus SS3e</t>
  </si>
  <si>
    <t>Salmonella virus wksl3</t>
  </si>
  <si>
    <t>K1gvirus</t>
  </si>
  <si>
    <t>Escherichia virus K1G</t>
  </si>
  <si>
    <t>Escherichia phage K1G</t>
  </si>
  <si>
    <t>Escherichia virus K1H</t>
  </si>
  <si>
    <t>Escherichia phage K1H</t>
  </si>
  <si>
    <t>Escherichia virus K1ind1</t>
  </si>
  <si>
    <t>Escherichia phage K1ind1</t>
  </si>
  <si>
    <t>Escherichia virus K1ind2</t>
  </si>
  <si>
    <t>Escherichia phage K1ind2</t>
  </si>
  <si>
    <t>Sp31virus</t>
  </si>
  <si>
    <t>Salmonella virus SP31</t>
  </si>
  <si>
    <t>Salmonella phage FSL SP-031</t>
  </si>
  <si>
    <t>Tunavirinae</t>
  </si>
  <si>
    <t>Kp36virus</t>
  </si>
  <si>
    <t>Enterobacter virus F20</t>
  </si>
  <si>
    <t>Klebsiella virus 1513</t>
  </si>
  <si>
    <t>Klebsiella phage 1513</t>
  </si>
  <si>
    <t>Klebsiella virus KP36</t>
  </si>
  <si>
    <t>Klebsiella phage KP36</t>
  </si>
  <si>
    <t>Rogue1virus</t>
  </si>
  <si>
    <t>Escherichia virus AHP42</t>
  </si>
  <si>
    <t>Escherichia phage vB_EcoS_AHP42</t>
  </si>
  <si>
    <t>Escherichia virus AHS24</t>
  </si>
  <si>
    <t>Escherichia phage vB_EcoS_AHS24</t>
  </si>
  <si>
    <t>Escherichia virus AKS96</t>
  </si>
  <si>
    <t>Escherichia phage vB_EcoS_AKS96</t>
  </si>
  <si>
    <t>Escherichia virus E41c</t>
  </si>
  <si>
    <t>Escherichia phage e4/1c</t>
  </si>
  <si>
    <t>Escherichia virus Eb49</t>
  </si>
  <si>
    <t>Escherichia virus Jk06</t>
  </si>
  <si>
    <t>Escherichia virus KP26</t>
  </si>
  <si>
    <t>Escherichia phage phiKP26</t>
  </si>
  <si>
    <t>Escherichia virus Rogue1</t>
  </si>
  <si>
    <t>Rtpvirus</t>
  </si>
  <si>
    <t>Escherichia virus ACGM12</t>
  </si>
  <si>
    <t>Escherichia phage vB_Eco_ACG-M12</t>
  </si>
  <si>
    <t>Escherichia virus Rtp</t>
  </si>
  <si>
    <t>T1virus</t>
  </si>
  <si>
    <t>Escherichia virus ADB2</t>
  </si>
  <si>
    <t>Escherichia phage ADB-2</t>
  </si>
  <si>
    <t>Escherichia virus T1</t>
  </si>
  <si>
    <t>T1</t>
  </si>
  <si>
    <t>Shigella virus PSf2</t>
  </si>
  <si>
    <t>Shigella phage pSf-2</t>
  </si>
  <si>
    <t>Shigella virus Shfl1</t>
  </si>
  <si>
    <t>Tlsvirus</t>
  </si>
  <si>
    <t>Citrobacter virus Stevie</t>
  </si>
  <si>
    <t>Citrobacter phage Stevie</t>
  </si>
  <si>
    <t>Escherichia virus TLS</t>
  </si>
  <si>
    <t>Salmonella virus SP126</t>
  </si>
  <si>
    <t>Salmonella phage FSL SP-126</t>
  </si>
  <si>
    <t>Cronobacter virus Esp2949-1</t>
  </si>
  <si>
    <t>Andromedavirus</t>
  </si>
  <si>
    <t>Bacillus virus Andromeda</t>
  </si>
  <si>
    <t>Bacillus virus Blastoid</t>
  </si>
  <si>
    <t>Bacillus virus Curly</t>
  </si>
  <si>
    <t>Bacillus virus Eoghan</t>
  </si>
  <si>
    <t>Bacillus virus Finn</t>
  </si>
  <si>
    <t>Bacillus virus Glittering</t>
  </si>
  <si>
    <t>Bacillus virus Riggi</t>
  </si>
  <si>
    <t>Bacillus virus Taylor</t>
  </si>
  <si>
    <t>Barnyardvirus</t>
  </si>
  <si>
    <t>Mycobacterium virus Barnyard</t>
  </si>
  <si>
    <t>Mycobacterium virus Konstantine</t>
  </si>
  <si>
    <t>Mycobacterium virus Patience</t>
  </si>
  <si>
    <t>Mycobacterium virus Predator</t>
  </si>
  <si>
    <t>Bignuzvirus</t>
  </si>
  <si>
    <t>Mycobacterium virus Bignuz</t>
  </si>
  <si>
    <t>Mycobacterium virus Jebeks</t>
  </si>
  <si>
    <t>Biseptimavirus</t>
  </si>
  <si>
    <t>Staphylococcus virus 13</t>
  </si>
  <si>
    <t>Staphylococcus virus 77</t>
  </si>
  <si>
    <t>Staphylococcus virus 108PVL</t>
  </si>
  <si>
    <t>Bronvirus</t>
  </si>
  <si>
    <t>Mycobacterium virus Bron</t>
  </si>
  <si>
    <t>Mycobacterium virus Faith1</t>
  </si>
  <si>
    <t>Mycobacterium virus Joedirt</t>
  </si>
  <si>
    <t>Mycobacterium virus Rumpelstiltskin</t>
  </si>
  <si>
    <t>C2virus</t>
  </si>
  <si>
    <t>Lactococcus virus bIL67</t>
  </si>
  <si>
    <t>Lactococcus virus c2</t>
  </si>
  <si>
    <t>C5virus</t>
  </si>
  <si>
    <t>Lactobacillus virus c5</t>
  </si>
  <si>
    <t>Lactobacillus virus LLKu</t>
  </si>
  <si>
    <t>Cba181virus</t>
  </si>
  <si>
    <t>Cellulophaga virus Cba121</t>
  </si>
  <si>
    <t>Cellulophaga phage phi12:1</t>
  </si>
  <si>
    <t>Cellulophaga virus Cba171</t>
  </si>
  <si>
    <t>Cellulophaga phage phi17:1</t>
  </si>
  <si>
    <t>Cellulophaga virus Cba181</t>
  </si>
  <si>
    <t>Cellulophaga phage phi18:1</t>
  </si>
  <si>
    <t>Cbastvirus</t>
  </si>
  <si>
    <t>Cellulophaga virus ST</t>
  </si>
  <si>
    <t>Cellulophaga phage phiST</t>
  </si>
  <si>
    <t>Cecivirus</t>
  </si>
  <si>
    <t>Bacillus virus 250</t>
  </si>
  <si>
    <t>Bacillus virus IEBH</t>
  </si>
  <si>
    <t>Charlievirus</t>
  </si>
  <si>
    <t>Mycobacterium virus Charlie</t>
  </si>
  <si>
    <t>Mycobacterium virus Redi</t>
  </si>
  <si>
    <t>Che8virus</t>
  </si>
  <si>
    <t>Mycobacterium virus Ardmore</t>
  </si>
  <si>
    <t>Mycobacterium virus Avani</t>
  </si>
  <si>
    <t>Mycobacterium virus Boomer</t>
  </si>
  <si>
    <t>Mycobacterium virus Che8</t>
  </si>
  <si>
    <t>Mycobacterium virus Che9d</t>
  </si>
  <si>
    <t>Mycobacterium virus Deadp</t>
  </si>
  <si>
    <t>Mycobacterium virus Dlane</t>
  </si>
  <si>
    <t>Mycobacterium virus Dorothy</t>
  </si>
  <si>
    <t>Mycobacterium virus Dotproduct</t>
  </si>
  <si>
    <t>Mycobacterium virus Drago</t>
  </si>
  <si>
    <t>Mycobacterium virus Fruitloop</t>
  </si>
  <si>
    <t>Mycobacterium virus Gumbie</t>
  </si>
  <si>
    <t>Mycobacterium virus Ibhubesi</t>
  </si>
  <si>
    <t>Mycobacterium virus Llij</t>
  </si>
  <si>
    <t>Mycobacterium virus Mozy</t>
  </si>
  <si>
    <t>Mycobacterium virus Mutaforma13</t>
  </si>
  <si>
    <t>Mycobacterium virus Pacc40</t>
  </si>
  <si>
    <t>Mycobacterium virus PMC</t>
  </si>
  <si>
    <t>Mycobacterium virus Ramsey</t>
  </si>
  <si>
    <t>Mycobacterium virus Rockyhorror</t>
  </si>
  <si>
    <t>Mycobacterium virus SG4</t>
  </si>
  <si>
    <t>Mycobacterium virus Shauna1</t>
  </si>
  <si>
    <t>Mycobacterium virus Shilan</t>
  </si>
  <si>
    <t>Mycobacterium virus Spartacus</t>
  </si>
  <si>
    <t>Mycobacterium virus Taj</t>
  </si>
  <si>
    <t>Mycobacterium virus Tweety</t>
  </si>
  <si>
    <t>Mycobacterium virus Wee</t>
  </si>
  <si>
    <t>Mycobacterium virus Yoshi</t>
  </si>
  <si>
    <t>Che9cvirus</t>
  </si>
  <si>
    <t>Mycobacterium virus Babsiella</t>
  </si>
  <si>
    <t>Mycobacterium virus Brujita</t>
  </si>
  <si>
    <t>Mycobacterium virus Che9c</t>
  </si>
  <si>
    <t>Chivirus</t>
  </si>
  <si>
    <t>Salmonella virus Chi</t>
  </si>
  <si>
    <t>Salmonella virus FSLSP030</t>
  </si>
  <si>
    <t>Salmonella virus FSLSP088</t>
  </si>
  <si>
    <t>Salmonella virus iEPS5</t>
  </si>
  <si>
    <t>Salmonella virus SPN19</t>
  </si>
  <si>
    <t>Cjw1virus</t>
  </si>
  <si>
    <t>Mycobacterium virus 244</t>
  </si>
  <si>
    <t>Mycobacterium virus Bask21</t>
  </si>
  <si>
    <t>Mycobacterium virus CJW1</t>
  </si>
  <si>
    <t>Mycobacterium virus Eureka</t>
  </si>
  <si>
    <t>Mycobacterium virus Kostya</t>
  </si>
  <si>
    <t>Mycobacterium virus Porky</t>
  </si>
  <si>
    <t>Mycobacterium virus Pumpkin</t>
  </si>
  <si>
    <t>Mycobacterium virus Sirduracell</t>
  </si>
  <si>
    <t>Mycobacterium virus Toto</t>
  </si>
  <si>
    <t>Corndogvirus</t>
  </si>
  <si>
    <t>Mycobacterium virus Corndog</t>
  </si>
  <si>
    <t>Mycobacterium virus Firecracker</t>
  </si>
  <si>
    <t>D3112virus</t>
  </si>
  <si>
    <t>Pseudomonas virus D3112</t>
  </si>
  <si>
    <t>Pseudomonas virus DMS3</t>
  </si>
  <si>
    <t>Pseudomonas virus FHA0480</t>
  </si>
  <si>
    <t>Pseudomonas virus LPB1</t>
  </si>
  <si>
    <t>Pseudomonas virus MP22</t>
  </si>
  <si>
    <t>Pseudomonas virus MP29</t>
  </si>
  <si>
    <t>Pseudomonas virus MP38</t>
  </si>
  <si>
    <t>Pseudomonas virus PA1KOR</t>
  </si>
  <si>
    <t>D3virus</t>
  </si>
  <si>
    <t>Pseudomonas virus D3</t>
  </si>
  <si>
    <t>Pseudomonas virus PMG1</t>
  </si>
  <si>
    <t>E125virus</t>
  </si>
  <si>
    <t>Burkholderia virus phi6442</t>
  </si>
  <si>
    <t>Burkholderia virus phi1026b</t>
  </si>
  <si>
    <t>Burkholderia virus phiE125</t>
  </si>
  <si>
    <t>Hk578virus</t>
  </si>
  <si>
    <t>Escherichia virus HK578</t>
  </si>
  <si>
    <t>Escherichia virus JL1</t>
  </si>
  <si>
    <t>Escherichia virus SSL2009a</t>
  </si>
  <si>
    <t>Shigella virus EP23</t>
  </si>
  <si>
    <t>Sodalis virus SO1</t>
  </si>
  <si>
    <t>L5virus</t>
  </si>
  <si>
    <t>Mycobacterium virus Alma</t>
  </si>
  <si>
    <t>Mycobacterium virus Arturo</t>
  </si>
  <si>
    <t>Mycobacterium virus Astro</t>
  </si>
  <si>
    <t>Mycobacterium virus Backyardigan</t>
  </si>
  <si>
    <t>Mycobacterium virus BBPiebs31</t>
  </si>
  <si>
    <t>Mycobacterium virus Benedict</t>
  </si>
  <si>
    <t>Mycobacterium virus Bethlehem</t>
  </si>
  <si>
    <t>Mycobacterium virus Billknuckles</t>
  </si>
  <si>
    <t>Mycobacterium virus Bruns</t>
  </si>
  <si>
    <t>Mycobacterium virus Bxb1</t>
  </si>
  <si>
    <t>Mycobacterium virus Bxz2</t>
  </si>
  <si>
    <t>Mycobacterium virus Che12</t>
  </si>
  <si>
    <t>Mycobacterium virus Cuco</t>
  </si>
  <si>
    <t>Mycobacterium virus D29</t>
  </si>
  <si>
    <t>Mycobacterium virus Doom</t>
  </si>
  <si>
    <t>Mycobacterium virus Ericb</t>
  </si>
  <si>
    <t>Mycobacterium virus Euphoria</t>
  </si>
  <si>
    <t>Mycobacterium virus George</t>
  </si>
  <si>
    <t>Mycobacterium virus Gladiator</t>
  </si>
  <si>
    <t>Mycobacterium virus Goose</t>
  </si>
  <si>
    <t>Mycobacterium virus Hammer</t>
  </si>
  <si>
    <t>Mycobacterium virus Heldan</t>
  </si>
  <si>
    <t>Mycobacterium virus Jasper</t>
  </si>
  <si>
    <t>Mycobacterium virus JC27</t>
  </si>
  <si>
    <t>Mycobacterium virus Jeffabunny</t>
  </si>
  <si>
    <t>Mycobacterium virus JHC117</t>
  </si>
  <si>
    <t>Mycobacterium virus KBG</t>
  </si>
  <si>
    <t>Mycobacterium virus Kssjeb</t>
  </si>
  <si>
    <t>Mycobacterium virus Kugel</t>
  </si>
  <si>
    <t>Mycobacterium virus L5</t>
  </si>
  <si>
    <t>Mycobacterium virus Lesedi</t>
  </si>
  <si>
    <t>Mycobacterium virus LHTSCC</t>
  </si>
  <si>
    <t>Mycobacterium virus lockley</t>
  </si>
  <si>
    <t>Mycobacterium virus Marcell</t>
  </si>
  <si>
    <t>Mycobacterium virus Microwolf</t>
  </si>
  <si>
    <t>Mycobacterium virus Mrgordo</t>
  </si>
  <si>
    <t>Mycobacterium virus Museum</t>
  </si>
  <si>
    <t>Mycobacterium virus Nepal</t>
  </si>
  <si>
    <t>Mycobacterium virus Packman</t>
  </si>
  <si>
    <t>Mycobacterium virus Peaches</t>
  </si>
  <si>
    <t>Mycobacterium virus Perseus</t>
  </si>
  <si>
    <t>Mycobacterium virus Pukovnik</t>
  </si>
  <si>
    <t>Mycobacterium virus Rebeuca</t>
  </si>
  <si>
    <t>Mycobacterium virus Redrock</t>
  </si>
  <si>
    <t>Mycobacterium virus Ridgecb</t>
  </si>
  <si>
    <t>Mycobacterium virus Rockstar</t>
  </si>
  <si>
    <t>Mycobacterium virus Saintus</t>
  </si>
  <si>
    <t>Mycobacterium virus Skipole</t>
  </si>
  <si>
    <t>Mycobacterium virus Solon</t>
  </si>
  <si>
    <t>Mycobacterium virus Switzer</t>
  </si>
  <si>
    <t>Mycobacterium virus SWU1</t>
  </si>
  <si>
    <t>Mycobacterium virus Ta17a</t>
  </si>
  <si>
    <t>Mycobacterium virus Tiger</t>
  </si>
  <si>
    <t>Mycobacterium virus Timshel</t>
  </si>
  <si>
    <t>Mycobacterium virus Trixie</t>
  </si>
  <si>
    <t>Mycobacterium virus Turbido</t>
  </si>
  <si>
    <t>Mycobacterium virus Twister</t>
  </si>
  <si>
    <t>Mycobacterium virus U2</t>
  </si>
  <si>
    <t>Mycobacterium virus Violet</t>
  </si>
  <si>
    <t>Mycobacterium virus Wonder</t>
  </si>
  <si>
    <t>Rhodococcus virus RER2</t>
  </si>
  <si>
    <t>Rhodococcus virus RGL3</t>
  </si>
  <si>
    <t>Lambdavirus</t>
  </si>
  <si>
    <t>Escherichia virus HK022</t>
  </si>
  <si>
    <t>Escherichia virus HK97</t>
  </si>
  <si>
    <t>Escherichia virus Lambda</t>
  </si>
  <si>
    <t>Liefievirus</t>
  </si>
  <si>
    <t>Mycobacterium virus Halo</t>
  </si>
  <si>
    <t>Mycobacterium virus Liefie</t>
  </si>
  <si>
    <t>N15virus</t>
  </si>
  <si>
    <t>Escherichia virus N15</t>
  </si>
  <si>
    <t>Nonagvirus</t>
  </si>
  <si>
    <t>Escherichia virus 9g</t>
  </si>
  <si>
    <t>Enterobacteria phage 9g</t>
  </si>
  <si>
    <t>Escherichia virus JenK1</t>
  </si>
  <si>
    <t>Enterobacteria phage JenK1</t>
  </si>
  <si>
    <t>Escherichia virus JenP1</t>
  </si>
  <si>
    <t>Enterobacteria phage JenP1</t>
  </si>
  <si>
    <t>Escherichia virus JenP2</t>
  </si>
  <si>
    <t>Enterobacteria phage JenP2</t>
  </si>
  <si>
    <t>Omegavirus</t>
  </si>
  <si>
    <t>Mycobacterium virus Baka</t>
  </si>
  <si>
    <t>Mycobacterium virus Courthouse</t>
  </si>
  <si>
    <t>Mycobacterium virus Littlee</t>
  </si>
  <si>
    <t>Mycobacterium virus Omega</t>
  </si>
  <si>
    <t>Mycobacterium virus Optimus</t>
  </si>
  <si>
    <t>Mycobacterium virus Thibault</t>
  </si>
  <si>
    <t>P23virus</t>
  </si>
  <si>
    <t>Thermus virus P23-45</t>
  </si>
  <si>
    <t>Thermus virus P74-26</t>
  </si>
  <si>
    <t>P70virus</t>
  </si>
  <si>
    <t>Listeria virus LP26</t>
  </si>
  <si>
    <t>Listeria phage LP-026</t>
  </si>
  <si>
    <t>Listeria virus LP37</t>
  </si>
  <si>
    <t>Listeria phage LP-037</t>
  </si>
  <si>
    <t>Listeria virus LP110</t>
  </si>
  <si>
    <t>Listeria phage LP-110</t>
  </si>
  <si>
    <t>Listeria virus LP114</t>
  </si>
  <si>
    <t>Listeria phage LP-114</t>
  </si>
  <si>
    <t>Listeria virus P70</t>
  </si>
  <si>
    <t>Listeria phage P70</t>
  </si>
  <si>
    <t>Pbi1virus</t>
  </si>
  <si>
    <t>Mycobacterium virus PBI1</t>
  </si>
  <si>
    <t>Pg1virus</t>
  </si>
  <si>
    <t>Mycobacterium virus Acadian</t>
  </si>
  <si>
    <t>Mycobacterium virus Athena</t>
  </si>
  <si>
    <t>Mycobacterium virus Chrisnmich</t>
  </si>
  <si>
    <t>Mycobacterium virus Cooper</t>
  </si>
  <si>
    <t>Mycobacterium virus Gadjet</t>
  </si>
  <si>
    <t>Mycobacterium virus Nigel</t>
  </si>
  <si>
    <t>Mycobacterium virus Oline</t>
  </si>
  <si>
    <t>Mycobacterium virus Pg1</t>
  </si>
  <si>
    <t>Mycobacterium virus Pipefish</t>
  </si>
  <si>
    <t>Mycobacterium virus Rosebush</t>
  </si>
  <si>
    <t>Mycobacterium virus Stinger</t>
  </si>
  <si>
    <t>Mycobacterium virus Zemanar</t>
  </si>
  <si>
    <t>Phic31virus</t>
  </si>
  <si>
    <t>Streptomyces virus phiBT1</t>
  </si>
  <si>
    <t>Streptomyces virus phiC31</t>
  </si>
  <si>
    <t>Streptomyces virus TG1</t>
  </si>
  <si>
    <t>Phicbkvirus</t>
  </si>
  <si>
    <t>Caulobacter virus Karma</t>
  </si>
  <si>
    <t>Caulobacter virus Magneto</t>
  </si>
  <si>
    <t>Caulobacter virus phiCbK</t>
  </si>
  <si>
    <t>Caulobacter virus Rogue</t>
  </si>
  <si>
    <t>Caulobacter virus Swift</t>
  </si>
  <si>
    <t>Phietavirus</t>
  </si>
  <si>
    <t>Staphylococcus virus 11</t>
  </si>
  <si>
    <t>Staphylococcus virus 29</t>
  </si>
  <si>
    <t>Staphylococcus virus 37</t>
  </si>
  <si>
    <t>Staphylococcus virus 53</t>
  </si>
  <si>
    <t>Staphylococcus virus 55</t>
  </si>
  <si>
    <t>Staphylococcus virus 69</t>
  </si>
  <si>
    <t>Staphylococcus virus 71</t>
  </si>
  <si>
    <t>Staphylococcus virus 80</t>
  </si>
  <si>
    <t>Staphylococcus virus 85</t>
  </si>
  <si>
    <t>Staphylococcus virus 88</t>
  </si>
  <si>
    <t>Staphylococcus virus 92</t>
  </si>
  <si>
    <t>Staphylococcus virus 96</t>
  </si>
  <si>
    <t>Staphylococcus virus 187</t>
  </si>
  <si>
    <t>Staphylococcus virus 52a</t>
  </si>
  <si>
    <t>Staphylococcus virus 80alpha</t>
  </si>
  <si>
    <t>Staphylococcus virus CNPH82</t>
  </si>
  <si>
    <t>Staphylococcus virus EW</t>
  </si>
  <si>
    <t>Staphylococcus virus IPLA5</t>
  </si>
  <si>
    <t>Staphylococcus virus IPLA7</t>
  </si>
  <si>
    <t>Staphylococcus virus IPLA88</t>
  </si>
  <si>
    <t>Staphylococcus virus PH15</t>
  </si>
  <si>
    <t>Staphylococcus virus phiETA</t>
  </si>
  <si>
    <t>Staphylococcus virus phiETA2</t>
  </si>
  <si>
    <t>Staphylococcus virus phiETA3</t>
  </si>
  <si>
    <t>Staphylococcus virus phiMR11</t>
  </si>
  <si>
    <t>Staphylococcus virus phiMR25</t>
  </si>
  <si>
    <t>Staphylococcus virus phiNM1</t>
  </si>
  <si>
    <t>Staphylococcus virus phiNM2</t>
  </si>
  <si>
    <t>Staphylococcus virus phiNM4</t>
  </si>
  <si>
    <t>Staphylococcus virus SAP26</t>
  </si>
  <si>
    <t>Staphylococcus virus X2</t>
  </si>
  <si>
    <t>Phifelvirus</t>
  </si>
  <si>
    <t>Enterococcus virus FL1</t>
  </si>
  <si>
    <t>Enterococcus virus FL2</t>
  </si>
  <si>
    <t>Enterococcus virus FL3</t>
  </si>
  <si>
    <t>Phijl1virus</t>
  </si>
  <si>
    <t>Lactobacillus virus ATCC8014</t>
  </si>
  <si>
    <t>Lactobacillus virus phiJL1</t>
  </si>
  <si>
    <t>Pediococcus virus cIP1</t>
  </si>
  <si>
    <t>Psavirus</t>
  </si>
  <si>
    <t>Listeria virus LP302</t>
  </si>
  <si>
    <t>Listeria phage LP-030-2</t>
  </si>
  <si>
    <t>Listeria virus PSA</t>
  </si>
  <si>
    <t>Listeria phage PSA</t>
  </si>
  <si>
    <t>Psimunavirus</t>
  </si>
  <si>
    <t>Methanobacterium virus psiM1</t>
  </si>
  <si>
    <t>Reyvirus</t>
  </si>
  <si>
    <t>Mycobacterium virus Bongo</t>
  </si>
  <si>
    <t>Mycobacterium virus Rey</t>
  </si>
  <si>
    <t>Sap6virus</t>
  </si>
  <si>
    <t>Enterococcus virus BC611</t>
  </si>
  <si>
    <t>Enterococcus virus IMEEF1</t>
  </si>
  <si>
    <t>Enterococcus virus SAP6</t>
  </si>
  <si>
    <t>Enterococcus virus VD13</t>
  </si>
  <si>
    <t>Streptococcus virus SPQS1</t>
  </si>
  <si>
    <t>Septima3virus</t>
  </si>
  <si>
    <t>Burkholderia virus KL1</t>
  </si>
  <si>
    <t>Burkholderia phage vB_BceS_KL1</t>
  </si>
  <si>
    <t>Pseudomonas virus 73</t>
  </si>
  <si>
    <t>Pseudomonas phage 73</t>
  </si>
  <si>
    <t>Pseudomonas virus Ab26</t>
  </si>
  <si>
    <t>Pseudomonas phage vB_PaeS_SCH_Ab26</t>
  </si>
  <si>
    <t>Pseudomonas virus Kakheti25</t>
  </si>
  <si>
    <t>Pseudomonas phage vB_Pae-Kakheti25</t>
  </si>
  <si>
    <t>Seuratvirus</t>
  </si>
  <si>
    <t>Escherichia virus Cajan</t>
  </si>
  <si>
    <t>Escherichia phage CAjan</t>
  </si>
  <si>
    <t>Escherichia virus Seurat</t>
  </si>
  <si>
    <t>Escherichia phage Seurat</t>
  </si>
  <si>
    <t>Sextaecvirus</t>
  </si>
  <si>
    <t>Staphylococcus virus SEP9</t>
  </si>
  <si>
    <t>Staphylococcus phage vB_SepS_SEP9</t>
  </si>
  <si>
    <t>Staphylococcus virus Sextaec</t>
  </si>
  <si>
    <t>Staphylococcus phage 6ec</t>
  </si>
  <si>
    <t>Sfi11virus</t>
  </si>
  <si>
    <t>Streptococcus virus 858</t>
  </si>
  <si>
    <t>Streptococcus virus 2972</t>
  </si>
  <si>
    <t>Streptococcus virus ALQ132</t>
  </si>
  <si>
    <t>Streptococcus virus O1205</t>
  </si>
  <si>
    <t>Streptococcus virus Sfi11</t>
  </si>
  <si>
    <t>Sfi21dt1virus</t>
  </si>
  <si>
    <t>Streptococcus virus 7201</t>
  </si>
  <si>
    <t>Streptococcus virus DT1</t>
  </si>
  <si>
    <t>Streptococcus virus phiAbc2</t>
  </si>
  <si>
    <t>Streptococcus virus Sfi19</t>
  </si>
  <si>
    <t>Streptococcus virus Sfi21</t>
  </si>
  <si>
    <t>Sitaravirus</t>
  </si>
  <si>
    <t>Paenibacillus virus Diva</t>
  </si>
  <si>
    <t>Paenibacillus phage Diva</t>
  </si>
  <si>
    <t>Paenibacillus virus Hb10c2</t>
  </si>
  <si>
    <t>Paenibacillus phage HB10c2</t>
  </si>
  <si>
    <t>Paenibacillus virus Rani</t>
  </si>
  <si>
    <t>Paenibacillus phage Rani</t>
  </si>
  <si>
    <t>Paenibacillus virus Shelly</t>
  </si>
  <si>
    <t>Paenibacillus phage Shelly</t>
  </si>
  <si>
    <t>Paenibacillus virus Sitara</t>
  </si>
  <si>
    <t>Paenibacillus phage Sitara</t>
  </si>
  <si>
    <t>Sk1virus</t>
  </si>
  <si>
    <t>Lactococcus virus 712</t>
  </si>
  <si>
    <t>Lactococcus virus ASCC191</t>
  </si>
  <si>
    <t>Lactococcus virus ASCC273</t>
  </si>
  <si>
    <t>Lactococcus virus ASCC281</t>
  </si>
  <si>
    <t>Lactococcus virus ASCC465</t>
  </si>
  <si>
    <t>Lactococcus virus ASCC532</t>
  </si>
  <si>
    <t>Lactococcus virus Bibb29</t>
  </si>
  <si>
    <t>Lactococcus virus bIL170</t>
  </si>
  <si>
    <t>Lactococcus virus CB13</t>
  </si>
  <si>
    <t>Lactococcus virus CB14</t>
  </si>
  <si>
    <t>Lactococcus virus CB19</t>
  </si>
  <si>
    <t>Lactococcus virus CB20</t>
  </si>
  <si>
    <t>Lactococcus virus jj50</t>
  </si>
  <si>
    <t>Lactococcus virus P2</t>
  </si>
  <si>
    <t>Lactococcus virus P008</t>
  </si>
  <si>
    <t>Lactococcus virus sk1</t>
  </si>
  <si>
    <t>Lactococcus virus Sl4</t>
  </si>
  <si>
    <t>Slashvirus</t>
  </si>
  <si>
    <t>Bacillus virus Slash</t>
  </si>
  <si>
    <t>Bacillus phage Slash</t>
  </si>
  <si>
    <t>Bacillus virus Stahl</t>
  </si>
  <si>
    <t>Bacillus phage Stahl</t>
  </si>
  <si>
    <t>Bacillus virus Staley</t>
  </si>
  <si>
    <t>Bacillus phage Staley</t>
  </si>
  <si>
    <t>Bacillus virus Stills</t>
  </si>
  <si>
    <t>Bacillus phage Stills</t>
  </si>
  <si>
    <t>Spbetavirus</t>
  </si>
  <si>
    <t>Bacillus virus SPbeta</t>
  </si>
  <si>
    <t>Ssp2virus</t>
  </si>
  <si>
    <t>Vibrio virus MAR10</t>
  </si>
  <si>
    <t>Vibrio phage vB_VpaS_ MAR10</t>
  </si>
  <si>
    <t>Vibrio virus SSP002</t>
  </si>
  <si>
    <t>Vibrio phage SSP002</t>
  </si>
  <si>
    <t>T5virus</t>
  </si>
  <si>
    <t>Escherichia virus AKFV33</t>
  </si>
  <si>
    <t>Escherichia virus BF23</t>
  </si>
  <si>
    <t>Escherichia virus DT57C</t>
  </si>
  <si>
    <t>Escherichia phage DT57C</t>
  </si>
  <si>
    <t>2015.021a,bB.A.v2.T5virus_4sp1rem</t>
  </si>
  <si>
    <t>Escherichia virus EPS7</t>
  </si>
  <si>
    <t>Escherichia virus FFH1</t>
  </si>
  <si>
    <t>Escherichia phage vB_EcoS_FFH_1</t>
  </si>
  <si>
    <t>Escherichia virus H8</t>
  </si>
  <si>
    <t>Escherichia virus T5</t>
  </si>
  <si>
    <t>Salmonella virus Shivani</t>
  </si>
  <si>
    <t>Salmonella phage Shivani</t>
  </si>
  <si>
    <t>Salmonella virus SPC35</t>
  </si>
  <si>
    <t>Salmonella virus Stitch</t>
  </si>
  <si>
    <t>Salmonella phage Stitch</t>
  </si>
  <si>
    <t>Tm4virus</t>
  </si>
  <si>
    <t>Mycobacterium virus Anaya</t>
  </si>
  <si>
    <t>Mycobacterium virus Angelica</t>
  </si>
  <si>
    <t>Mycobacterium virus Crimd</t>
  </si>
  <si>
    <t>Mycobacterium virus Fionn</t>
  </si>
  <si>
    <t>Mycobacterium virus Jaws</t>
  </si>
  <si>
    <t>Mycobacterium virus Larva</t>
  </si>
  <si>
    <t>Mycobacterium virus Macncheese</t>
  </si>
  <si>
    <t>Mycobacterium virus Pixie</t>
  </si>
  <si>
    <t>Mycobacterium virus TM4</t>
  </si>
  <si>
    <t>Tp21virus</t>
  </si>
  <si>
    <t>Bacillus virus BMBtp2</t>
  </si>
  <si>
    <t>Bacillus virus TP21</t>
  </si>
  <si>
    <t>Triavirus</t>
  </si>
  <si>
    <t>Staphylococcus virus 47</t>
  </si>
  <si>
    <t>Staphylococcus virus 3a</t>
  </si>
  <si>
    <t>Staphylococcus virus 42e</t>
  </si>
  <si>
    <t>Staphylococcus virus IPLA35</t>
  </si>
  <si>
    <t>Staphylococcus virus phi12</t>
  </si>
  <si>
    <t>Staphylococcus virus phiSLT</t>
  </si>
  <si>
    <t>Wbetavirus</t>
  </si>
  <si>
    <t>Bacillus virus Wbeta</t>
  </si>
  <si>
    <t>Xp10virus</t>
  </si>
  <si>
    <t>Xanthomonas virus CP1</t>
  </si>
  <si>
    <t>Xanthomonas virus OP1</t>
  </si>
  <si>
    <t>Xanthomonas virus phil7</t>
  </si>
  <si>
    <t>Xanthomonas virus Xop411</t>
  </si>
  <si>
    <t>Xanthomonas virus Xp10</t>
  </si>
  <si>
    <t>Yuavirus</t>
  </si>
  <si>
    <t>Alphaproteobacteria virus phiJl001</t>
  </si>
  <si>
    <t>Pseudomonas virus M6</t>
  </si>
  <si>
    <t>Pseudomonas virus Yua</t>
  </si>
  <si>
    <t>Gallid alphaherpesvirus 1</t>
  </si>
  <si>
    <t>Psittacid alphaherpesvirus 1</t>
  </si>
  <si>
    <t>Anatid alphaherpesvirus 1</t>
  </si>
  <si>
    <t>Columbid alphaherpesvirus 1</t>
  </si>
  <si>
    <t>Gallid alphaherpesvirus 2</t>
  </si>
  <si>
    <t>Gallid alphaherpesvirus 3</t>
  </si>
  <si>
    <t>Meleagrid alphaherpesvirus 1</t>
  </si>
  <si>
    <t>Chelonid alphaherpesvirus 5</t>
  </si>
  <si>
    <t>Ateline alphaherpesvirus 1</t>
  </si>
  <si>
    <t>Bovine alphaherpesvirus 2</t>
  </si>
  <si>
    <t>Cercopithecine alphaherpesvirus 2</t>
  </si>
  <si>
    <t>Human alphaherpesvirus 1</t>
  </si>
  <si>
    <t>Human alphaherpesvirus 2</t>
  </si>
  <si>
    <t>Leporid alphaherpesvirus 4</t>
  </si>
  <si>
    <t>Macacine alphaherpesvirus 1</t>
  </si>
  <si>
    <t>Macropodid alphaherpesvirus 1</t>
  </si>
  <si>
    <t>Macropodid alphaherpesvirus 2</t>
  </si>
  <si>
    <t>Panine alphaherpesvirus 3</t>
  </si>
  <si>
    <t>Chimpanzee herpesvirus strain 105640</t>
  </si>
  <si>
    <t>Papiine alphaherpesvirus 2</t>
  </si>
  <si>
    <t>Saimiriine alphaherpesvirus 1</t>
  </si>
  <si>
    <t>Chelonid alphaherpesvirus 6</t>
  </si>
  <si>
    <t>Bovine alphaherpesvirus 1</t>
  </si>
  <si>
    <t>Bovine alphaherpesvirus 5</t>
  </si>
  <si>
    <t>Bubaline alphaherpesvirus 1</t>
  </si>
  <si>
    <t>Canid alphaherpesvirus 1</t>
  </si>
  <si>
    <t>Caprine alphaherpesvirus 1</t>
  </si>
  <si>
    <t>Cercopithecine alphaherpesvirus 9</t>
  </si>
  <si>
    <t>Cervid alphaherpesvirus 1</t>
  </si>
  <si>
    <t>Cervid alphaherpesvirus 2</t>
  </si>
  <si>
    <t>Equid alphaherpesvirus 1</t>
  </si>
  <si>
    <t>Equid alphaherpesvirus 3</t>
  </si>
  <si>
    <t>Equid alphaherpesvirus 4</t>
  </si>
  <si>
    <t>Equid alphaherpesvirus 8</t>
  </si>
  <si>
    <t>Equid alphaherpesvirus 9</t>
  </si>
  <si>
    <t>Felid alphaherpesvirus 1</t>
  </si>
  <si>
    <t>Human alphaherpesvirus 3</t>
  </si>
  <si>
    <t>Phocid alphaherpesvirus 1</t>
  </si>
  <si>
    <t>Suid alphaherpesvirus 1</t>
  </si>
  <si>
    <t>Aotine betaherpesvirus 1</t>
  </si>
  <si>
    <t>Cebine betaherpesvirus 1</t>
  </si>
  <si>
    <t>Cercopithecine betaherpesvirus 5</t>
  </si>
  <si>
    <t>Human betaherpesvirus 5</t>
  </si>
  <si>
    <t>Macacine betaherpesvirus 3</t>
  </si>
  <si>
    <t>Panine betaherpesvirus 2</t>
  </si>
  <si>
    <t>Papiine betaherpesvirus 3</t>
  </si>
  <si>
    <t>Saimiriine betaherpesvirus 4</t>
  </si>
  <si>
    <t>Murid betaherpesvirus 1</t>
  </si>
  <si>
    <t>Murid betaherpesvirus 2</t>
  </si>
  <si>
    <t>Murid betaherpesvirus 8</t>
  </si>
  <si>
    <t>Elephantid betaherpesvirus 1</t>
  </si>
  <si>
    <t>Human betaherpesvirus 7</t>
  </si>
  <si>
    <t>Human betaherpesvirus 6A</t>
  </si>
  <si>
    <t>Human betaherpesvirus 6B</t>
  </si>
  <si>
    <t>Caviid betaherpesvirus 2</t>
  </si>
  <si>
    <t>Suid betaherpesvirus 2</t>
  </si>
  <si>
    <t>Tupaiid betaherpesvirus 1</t>
  </si>
  <si>
    <t>Callitrichine gammaherpesvirus 3</t>
  </si>
  <si>
    <t>Cercopithecine gammaherpesvirus 14</t>
  </si>
  <si>
    <t>Gorilline gammaherpesvirus 1</t>
  </si>
  <si>
    <t>Human gammaherpesvirus 4</t>
  </si>
  <si>
    <t>Macacine gammaherpesvirus 4</t>
  </si>
  <si>
    <t>Panine gammaherpesvirus 1</t>
  </si>
  <si>
    <t>Papiine gammaherpesvirus 1</t>
  </si>
  <si>
    <t>Pongine gammaherpesvirus 2</t>
  </si>
  <si>
    <t>Alcelaphine gammaherpesvirus 1</t>
  </si>
  <si>
    <t>Alcelaphine gammaherpesvirus 2</t>
  </si>
  <si>
    <t>Bovine gammaherpesvirus 6</t>
  </si>
  <si>
    <t>Caprine gammaherpesvirus 2</t>
  </si>
  <si>
    <t>Hippotragine gammaherpesvirus 1</t>
  </si>
  <si>
    <t>Ovine gammaherpesvirus 2</t>
  </si>
  <si>
    <t>Suid gammaherpesvirus 3</t>
  </si>
  <si>
    <t>Suid gammaherpesvirus 4</t>
  </si>
  <si>
    <t>Suid gammaherpesvirus 5</t>
  </si>
  <si>
    <t>Equid gammaherpesvirus 2</t>
  </si>
  <si>
    <t>Equid gammaherpesvirus 5</t>
  </si>
  <si>
    <t>Mustelid gammaherpesvirus 1</t>
  </si>
  <si>
    <t>Ateline gammaherpesvirus 2</t>
  </si>
  <si>
    <t>Ateline gammaherpesvirus 3</t>
  </si>
  <si>
    <t>Bovine gammaherpesvirus 4</t>
  </si>
  <si>
    <t>Cricetid gammaherpesvirus 2</t>
  </si>
  <si>
    <t>Human gammaherpesvirus 8</t>
  </si>
  <si>
    <t>Macacine gammaherpesvirus 5</t>
  </si>
  <si>
    <t>Murid gammaherpesvirus 4</t>
  </si>
  <si>
    <t>Murid gammaherpesvirus 7</t>
  </si>
  <si>
    <t>Saimiriine gammaherpesvirus 2</t>
  </si>
  <si>
    <t>Equid gammaherpesvirus 7</t>
  </si>
  <si>
    <t>Phocid gammaherpesvirus 2</t>
  </si>
  <si>
    <t>Saguinine gammaherpesvirus 1</t>
  </si>
  <si>
    <t>X14855</t>
  </si>
  <si>
    <t>AM087120</t>
  </si>
  <si>
    <t>AM087121</t>
  </si>
  <si>
    <t>AM087122</t>
  </si>
  <si>
    <t>AM087123</t>
  </si>
  <si>
    <t>EU545650</t>
  </si>
  <si>
    <t>AF440571</t>
  </si>
  <si>
    <t>AJ854042</t>
  </si>
  <si>
    <t>AJ567472</t>
  </si>
  <si>
    <t>AJ875026</t>
  </si>
  <si>
    <t>AJ414696</t>
  </si>
  <si>
    <t>AJ344259</t>
  </si>
  <si>
    <t>Elapid 1 bornavirus</t>
  </si>
  <si>
    <t>Loveridge's garter snake virus 1 [ex RBV-1]</t>
  </si>
  <si>
    <t>Psittaciform 2 bornavirus</t>
  </si>
  <si>
    <t>Parrot bornavirus 5</t>
  </si>
  <si>
    <t>Mymonaviridae</t>
  </si>
  <si>
    <t>Sclerotimonavirus</t>
  </si>
  <si>
    <t>Sclerotinia sclerotimonavirus</t>
  </si>
  <si>
    <t>Sclerotinia sclerotiorum negative-stranded RNA virus 1 AH-98</t>
  </si>
  <si>
    <t>Socyvirus</t>
  </si>
  <si>
    <t>Soybean cyst nematode socyvirus</t>
  </si>
  <si>
    <t>Avian paramyxovirus 10</t>
  </si>
  <si>
    <t>avian paramyxovirus 10/Rockhopper Penguin/Falkland Islands/324/2007</t>
  </si>
  <si>
    <t>Avian paramyxovirus 11</t>
  </si>
  <si>
    <t>avian paramyxovirus 11/Common snipe/France/100212/2010</t>
  </si>
  <si>
    <t>Avian paramyxovirus 12</t>
  </si>
  <si>
    <t>avian paramyxovirus 12/Wigeon/Italy/3920-1/2005</t>
  </si>
  <si>
    <t>Cedar henipavirus</t>
  </si>
  <si>
    <t>Cedar virus</t>
  </si>
  <si>
    <t>Ghanaian bat henipavirus</t>
  </si>
  <si>
    <t>Kumasi virus</t>
  </si>
  <si>
    <t>Mojiang henipavirus</t>
  </si>
  <si>
    <t>Feline morbillivirus</t>
  </si>
  <si>
    <t>feline morbillivirus 761U</t>
  </si>
  <si>
    <t>Porcine parainfluenza virus 1</t>
  </si>
  <si>
    <t>porcine parainfluenza virus 1 strain S206N</t>
  </si>
  <si>
    <t>Pneumoviridae</t>
  </si>
  <si>
    <t>Orthopneumovirus</t>
  </si>
  <si>
    <t>Alfalfa dwarf cytorhabdovirus</t>
  </si>
  <si>
    <t>alfalfa dwarf virus</t>
  </si>
  <si>
    <t>Barley yellow striate mosaic cytorhabdovirus</t>
  </si>
  <si>
    <t xml:space="preserve">barley yellow striate mosaic virus </t>
  </si>
  <si>
    <t>Broccoli necrotic yellows cytorhabdovirus</t>
  </si>
  <si>
    <t xml:space="preserve">broccoli necrotic yellows virus </t>
  </si>
  <si>
    <t>Festuca leaf streak cytorhabdovirus</t>
  </si>
  <si>
    <t xml:space="preserve">Festuca leaf streak virus </t>
  </si>
  <si>
    <t>Lettuce necrotic yellows cytorhabdovirus</t>
  </si>
  <si>
    <t>AJ867584</t>
  </si>
  <si>
    <t xml:space="preserve">lettuce necrotic yellows virus </t>
  </si>
  <si>
    <t>Lettuce yellow mottle cytorhabdovirus</t>
  </si>
  <si>
    <t>EF687738</t>
  </si>
  <si>
    <t xml:space="preserve">lettuce yellow mottle virus </t>
  </si>
  <si>
    <t>Northern cereal mosaic cytorhabdovirus</t>
  </si>
  <si>
    <t xml:space="preserve">northern cereal mosaic virus </t>
  </si>
  <si>
    <t>Sonchus cytorhabdovirus 1</t>
  </si>
  <si>
    <t xml:space="preserve">sonchus virus </t>
  </si>
  <si>
    <t>Strawberry crinkle cytorhabdovirus</t>
  </si>
  <si>
    <t xml:space="preserve">strawberry crinkle virus </t>
  </si>
  <si>
    <t>Wheat American striate mosaic cytorhabdovirus</t>
  </si>
  <si>
    <t xml:space="preserve">wheat American striate mosaic virus </t>
  </si>
  <si>
    <t>Dichorhavirus</t>
  </si>
  <si>
    <t>Coffee ringspot dichorhavirus</t>
  </si>
  <si>
    <t>coffee ringspot virus isolate Lavras</t>
  </si>
  <si>
    <t>Orchid fleck dichorhavirus</t>
  </si>
  <si>
    <t>orchid fleck virus isolate So</t>
  </si>
  <si>
    <t>Adelaide River ephemerovirus</t>
  </si>
  <si>
    <t xml:space="preserve">Adelaide River virus </t>
  </si>
  <si>
    <t>Berrimah ephemerovirus</t>
  </si>
  <si>
    <t xml:space="preserve">Berrimah virus </t>
  </si>
  <si>
    <t>Bovine fever ephemerovirus</t>
  </si>
  <si>
    <t xml:space="preserve">bovine ephemeral fever virus </t>
  </si>
  <si>
    <t xml:space="preserve">kotonkan virus </t>
  </si>
  <si>
    <t>Obodhiang ephemerovirus</t>
  </si>
  <si>
    <t xml:space="preserve">Obodhiang virus </t>
  </si>
  <si>
    <t>Aravan lyssavirus</t>
  </si>
  <si>
    <t xml:space="preserve">Aravan virus </t>
  </si>
  <si>
    <t>Duvenhage lyssavirus</t>
  </si>
  <si>
    <t xml:space="preserve">Duvenhage virus </t>
  </si>
  <si>
    <t>European bat 1 lyssavirus</t>
  </si>
  <si>
    <t>European bat 2 lyssavirus</t>
  </si>
  <si>
    <t>Irkut lyssavirus</t>
  </si>
  <si>
    <t xml:space="preserve">Irkut virus </t>
  </si>
  <si>
    <t>Khujand lyssavirus</t>
  </si>
  <si>
    <t xml:space="preserve">Khujand virus </t>
  </si>
  <si>
    <t>Lagos bat lyssavirus</t>
  </si>
  <si>
    <t xml:space="preserve">Lagos bat virus </t>
  </si>
  <si>
    <t>Mokola lyssavirus</t>
  </si>
  <si>
    <t xml:space="preserve">Mokola virus </t>
  </si>
  <si>
    <t>Rabies lyssavirus</t>
  </si>
  <si>
    <t xml:space="preserve">rabies virus </t>
  </si>
  <si>
    <t>Shimoni bat lyssavirus</t>
  </si>
  <si>
    <t xml:space="preserve">Shimoni bat virus </t>
  </si>
  <si>
    <t>West Caucasian bat lyssavirus</t>
  </si>
  <si>
    <t xml:space="preserve">West Caucasian bat virus </t>
  </si>
  <si>
    <t>Hirame novirhabdovirus</t>
  </si>
  <si>
    <t xml:space="preserve">Hirame rhabdovirus </t>
  </si>
  <si>
    <t>Oncorhynchus 1 novirhabdovirus</t>
  </si>
  <si>
    <t xml:space="preserve">infectious hematopoietic necrosis virus </t>
  </si>
  <si>
    <t>Oncorhynchus 2 novirhabdovirus</t>
  </si>
  <si>
    <t xml:space="preserve">viral hemorrhagic septicemia virus </t>
  </si>
  <si>
    <t>Snakehead novirhabdovirus</t>
  </si>
  <si>
    <t xml:space="preserve">snakehead rhabdovirus </t>
  </si>
  <si>
    <t>Datura yellow vein nucleorhabdovirus</t>
  </si>
  <si>
    <t xml:space="preserve">datura yellow vein virus </t>
  </si>
  <si>
    <t>Eggplant mottled dwarf nucleorhabdovirus</t>
  </si>
  <si>
    <t xml:space="preserve">eggplant mottled dwarf virus </t>
  </si>
  <si>
    <t>Maize fine streak nucleorhabdovirus</t>
  </si>
  <si>
    <t>AY618417</t>
  </si>
  <si>
    <t xml:space="preserve">maize fine streak virus </t>
  </si>
  <si>
    <t>Maize Iranian mosaic nucleorhabdovirus</t>
  </si>
  <si>
    <t>DQ186554</t>
  </si>
  <si>
    <t xml:space="preserve">maize Iranian mosaic virus </t>
  </si>
  <si>
    <t>Maize mosaic nucleorhabdovirus</t>
  </si>
  <si>
    <t>AY618418</t>
  </si>
  <si>
    <t xml:space="preserve">maize mosaic virus </t>
  </si>
  <si>
    <t>Potato yellow dwarf nucleorhabdovirus</t>
  </si>
  <si>
    <t>GU734660</t>
  </si>
  <si>
    <t xml:space="preserve">potato yellow dwarf virus </t>
  </si>
  <si>
    <t>Rice yellow stunt nucleorhabdovirus</t>
  </si>
  <si>
    <t xml:space="preserve">rice yellow stunt virus, rice transitory yellowing virus </t>
  </si>
  <si>
    <t>Sonchus yellow net nucleorhabdovirus</t>
  </si>
  <si>
    <t>L32603</t>
  </si>
  <si>
    <t xml:space="preserve">sonchus yellow net virus </t>
  </si>
  <si>
    <t>Sowthistle yellow vein nucleorhabdovirus</t>
  </si>
  <si>
    <t xml:space="preserve">sowthistle yellow vein virus </t>
  </si>
  <si>
    <t>Taro vein chlorosis nucleorhabdovirus</t>
  </si>
  <si>
    <t>AY674964</t>
  </si>
  <si>
    <t xml:space="preserve">taro vein chlorosis virus </t>
  </si>
  <si>
    <t>Anguillid perhabdovirus</t>
  </si>
  <si>
    <t xml:space="preserve">eel virus European X, eel virus American </t>
  </si>
  <si>
    <t>Perch perhabdovirus</t>
  </si>
  <si>
    <t xml:space="preserve">perch rhabdovirus </t>
  </si>
  <si>
    <t>Sea trout perhabdovirus</t>
  </si>
  <si>
    <t xml:space="preserve">lake trout rhabdovirus </t>
  </si>
  <si>
    <t>Carp sprivivirus</t>
  </si>
  <si>
    <t xml:space="preserve">spring viremia of carp virus </t>
  </si>
  <si>
    <t>Pike fry sprivivirus</t>
  </si>
  <si>
    <t xml:space="preserve">pike fry rhabdovirus, grass carp virus, Tench rhabdovirus </t>
  </si>
  <si>
    <t>Coastal Plains tibrovirus</t>
  </si>
  <si>
    <t xml:space="preserve">Coastal Plains virus </t>
  </si>
  <si>
    <t>Tibrogargan tibrovirus</t>
  </si>
  <si>
    <t xml:space="preserve">Bivens Arm virus , Tibrogargan virus </t>
  </si>
  <si>
    <t>Durham tupavirus</t>
  </si>
  <si>
    <t xml:space="preserve">Durham virus </t>
  </si>
  <si>
    <t>Tupaia tupavirus</t>
  </si>
  <si>
    <t xml:space="preserve">Tupaia virus </t>
  </si>
  <si>
    <t>Lettuce big-vein associated varicosavirus</t>
  </si>
  <si>
    <t>lettuce big vein-associated virus (LBVaV)</t>
  </si>
  <si>
    <t>Alagoas vesiculovirus</t>
  </si>
  <si>
    <t xml:space="preserve">vesicular stomatitis Alagoas virus </t>
  </si>
  <si>
    <t>Carajas vesiculovirus</t>
  </si>
  <si>
    <t xml:space="preserve">Carajas virus </t>
  </si>
  <si>
    <t>Chandipura vesiculovirus</t>
  </si>
  <si>
    <t xml:space="preserve">Chandipura virus </t>
  </si>
  <si>
    <t>Cocal vesiculovirus</t>
  </si>
  <si>
    <t xml:space="preserve">Cocal virus </t>
  </si>
  <si>
    <t>Indiana vesiculovirus</t>
  </si>
  <si>
    <t xml:space="preserve">vesicular stomatitis Indiana virus </t>
  </si>
  <si>
    <t>Isfahan vesiculovirus</t>
  </si>
  <si>
    <t xml:space="preserve">Isfahan virus </t>
  </si>
  <si>
    <t>Maraba vesiculovirus</t>
  </si>
  <si>
    <t xml:space="preserve">Maraba virus </t>
  </si>
  <si>
    <t>New Jersey vesiculovirus</t>
  </si>
  <si>
    <t xml:space="preserve">vesicular stomatitis New Jersey virus </t>
  </si>
  <si>
    <t>Piry vesiculovirus</t>
  </si>
  <si>
    <t xml:space="preserve">Piry virus </t>
  </si>
  <si>
    <t>Sunviridae</t>
  </si>
  <si>
    <t>Sunshinevirus</t>
  </si>
  <si>
    <t>Reptile sunshinevirus 1</t>
  </si>
  <si>
    <t>Sunshine Coast virus (formerly Sunshine virus)</t>
  </si>
  <si>
    <t>Anphevirus</t>
  </si>
  <si>
    <t>Xincheng anphevirus</t>
  </si>
  <si>
    <t>Arlivirus</t>
  </si>
  <si>
    <t>Lishi arlivirus</t>
  </si>
  <si>
    <t>Chengtivirus</t>
  </si>
  <si>
    <t>Tacheng chengtivirus</t>
  </si>
  <si>
    <t>Crustavirus</t>
  </si>
  <si>
    <t>Wenzhou crustavirus</t>
  </si>
  <si>
    <t>Wastrivirus</t>
  </si>
  <si>
    <t>Sanxia wastrivirus</t>
  </si>
  <si>
    <t>Forest pouched giant rat arterivirus</t>
  </si>
  <si>
    <t>Kibale red colobus virus 1</t>
  </si>
  <si>
    <t>Kibale red colobus virus 2</t>
  </si>
  <si>
    <t>Kibale red-tailed guenon virus 1</t>
  </si>
  <si>
    <t>Mikumi yellow baboon virus 1</t>
  </si>
  <si>
    <t>Pebjah virus</t>
  </si>
  <si>
    <t>Porcine reproductive and respiratory syndrome virus 1</t>
  </si>
  <si>
    <t>Porcine reproductive and respiratory syndrome virus 2</t>
  </si>
  <si>
    <t>Porcine reproductive and respiratory syndrome virus (American)</t>
  </si>
  <si>
    <t>Simian hemorrhagic encephalitis virus</t>
  </si>
  <si>
    <t>Wobbly possum disease virus</t>
  </si>
  <si>
    <t>Bat coronavirus CDPHE15</t>
  </si>
  <si>
    <t>Bat coronavirus CDPHE15/USA/2006</t>
  </si>
  <si>
    <t>Bat coronavirus HKU10</t>
  </si>
  <si>
    <t>Rousettus bat coronavirus HKU10</t>
  </si>
  <si>
    <t>Mink coronavirus 1</t>
  </si>
  <si>
    <t>Mink coronavirus strain WD1127</t>
  </si>
  <si>
    <t>Hedgehog coronavirus 1</t>
  </si>
  <si>
    <t>Betacoronavirus Erinaceus/VMC/DEU/2012</t>
  </si>
  <si>
    <t>Middle East respiratory syndrome-related coronavirus</t>
  </si>
  <si>
    <t>MERS coronavirus EMC/2012</t>
  </si>
  <si>
    <t>Common moorhen coronavirus HKU21</t>
  </si>
  <si>
    <t>Coronavirus HKU15</t>
  </si>
  <si>
    <t>Porcine coronavirus HKU15</t>
  </si>
  <si>
    <t>Night heron coronavirus HKU19</t>
  </si>
  <si>
    <t>White-eye coronavirus HKU16</t>
  </si>
  <si>
    <t>Wigeon coronavirus HKU20</t>
  </si>
  <si>
    <t>Fathead minnow nidovirus 1</t>
  </si>
  <si>
    <t>Fathead minnow nidovirus</t>
  </si>
  <si>
    <t>Ball python nidovirus 1</t>
  </si>
  <si>
    <t>Ball python nidovirus strain 07-53</t>
  </si>
  <si>
    <t>Alphamesonivirus 2</t>
  </si>
  <si>
    <t>Karang Sari virus</t>
  </si>
  <si>
    <t>2015.004a,bS.A.v2.Mesoniviridae_6sp</t>
  </si>
  <si>
    <t>Alphamesonivirus 3</t>
  </si>
  <si>
    <t>Dak Nong virus</t>
  </si>
  <si>
    <t>Alphamesonivirus 4</t>
  </si>
  <si>
    <t>Casuarina virus</t>
  </si>
  <si>
    <t>Alphamesonivirus 5</t>
  </si>
  <si>
    <t>Hana virus</t>
  </si>
  <si>
    <t>Mesonivirus 1</t>
  </si>
  <si>
    <t>Mesonivirus 2</t>
  </si>
  <si>
    <t>Triatovirus</t>
  </si>
  <si>
    <t>Antheraea pernyi iflavirus</t>
  </si>
  <si>
    <t>LnApIV-02</t>
  </si>
  <si>
    <t>Dinocampus coccinellae paralysis virus</t>
  </si>
  <si>
    <t>From Dinocampus coccinellae, Canada</t>
  </si>
  <si>
    <t>Lymantria dispar iflavirus 1</t>
  </si>
  <si>
    <t>Lymantria dispar iflavirus 1-Ames</t>
  </si>
  <si>
    <t>Spodoptera exigua iflavirus 1</t>
  </si>
  <si>
    <t>SeIV-1 Spanish isolate</t>
  </si>
  <si>
    <t>Spodoptera exigua iflavirus 2</t>
  </si>
  <si>
    <t>SeIV-2 Spanish isolate</t>
  </si>
  <si>
    <t>AY337486</t>
  </si>
  <si>
    <t>HaRNAV-SOG263</t>
  </si>
  <si>
    <t>Limnipivirus</t>
  </si>
  <si>
    <t>Limnipivirus A</t>
  </si>
  <si>
    <t>bluegill/USA/04-032/2003 (bluegill picornavirus 1)</t>
  </si>
  <si>
    <t>Limnipivirus B</t>
  </si>
  <si>
    <t>F37/06 (carp picornavirus 1)</t>
  </si>
  <si>
    <t>Limnipivirus C</t>
  </si>
  <si>
    <t>fhm/1/MN/USA/2010 (fathead minnow picornavirus 1)</t>
  </si>
  <si>
    <t>Potamipivirus</t>
  </si>
  <si>
    <t>Potamipivirus A</t>
  </si>
  <si>
    <t>F15/05 (eel picornavirus 1)</t>
  </si>
  <si>
    <t>RNA2: L16239</t>
  </si>
  <si>
    <t>C</t>
  </si>
  <si>
    <t>K-Hancock1</t>
  </si>
  <si>
    <t>RNA2: FJ028650</t>
  </si>
  <si>
    <t xml:space="preserve">EV-11 </t>
  </si>
  <si>
    <t>van Wezenbeek</t>
  </si>
  <si>
    <t>Chen</t>
  </si>
  <si>
    <t>Japan</t>
  </si>
  <si>
    <t>Shanks</t>
  </si>
  <si>
    <t xml:space="preserve">CH 99/211 </t>
  </si>
  <si>
    <t>ATCC PV132</t>
  </si>
  <si>
    <t>ME</t>
  </si>
  <si>
    <t>N-1</t>
  </si>
  <si>
    <t xml:space="preserve">DSMZ PV-0454 </t>
  </si>
  <si>
    <t>Aeonium ringspot virus</t>
  </si>
  <si>
    <t>Scafati-2011</t>
  </si>
  <si>
    <t>NW</t>
  </si>
  <si>
    <t>Tomato black ring -S</t>
  </si>
  <si>
    <t>Latvala</t>
  </si>
  <si>
    <t xml:space="preserve">Japan:Iwate, Takizawa-mura </t>
  </si>
  <si>
    <t xml:space="preserve">E395 </t>
  </si>
  <si>
    <t>Iwanami</t>
  </si>
  <si>
    <t xml:space="preserve">A34 </t>
  </si>
  <si>
    <t xml:space="preserve">Serb1 </t>
  </si>
  <si>
    <t>Brault</t>
  </si>
  <si>
    <t xml:space="preserve">N66 </t>
  </si>
  <si>
    <t>F13</t>
  </si>
  <si>
    <t xml:space="preserve">Japan:Tottori </t>
  </si>
  <si>
    <t>Mulberry mosaic leaf roll associated virus</t>
  </si>
  <si>
    <t>zj</t>
  </si>
  <si>
    <t>RNA2: AJ277435</t>
  </si>
  <si>
    <t>Italy</t>
  </si>
  <si>
    <t>RNA1: AF016626</t>
  </si>
  <si>
    <t>Michigan grapevine</t>
  </si>
  <si>
    <t xml:space="preserve">PRI-Ec </t>
  </si>
  <si>
    <t>cherry</t>
  </si>
  <si>
    <t xml:space="preserve">SK </t>
  </si>
  <si>
    <t>MJ</t>
  </si>
  <si>
    <t>Raspberry</t>
  </si>
  <si>
    <t>Yoshikawa</t>
  </si>
  <si>
    <t xml:space="preserve">Peru </t>
  </si>
  <si>
    <t>USA</t>
  </si>
  <si>
    <t>S-58</t>
  </si>
  <si>
    <t>EU980442</t>
  </si>
  <si>
    <t xml:space="preserve">Anthriscus </t>
  </si>
  <si>
    <t>D14066</t>
  </si>
  <si>
    <t>P121</t>
  </si>
  <si>
    <t>Carrot torradovirus 1</t>
  </si>
  <si>
    <t>H6</t>
  </si>
  <si>
    <t>Motherwort yellow mottle virus</t>
  </si>
  <si>
    <t>AD01</t>
  </si>
  <si>
    <t xml:space="preserve">PRI-TMarV0601 </t>
  </si>
  <si>
    <t xml:space="preserve">PRI-ToTV0301 </t>
  </si>
  <si>
    <t xml:space="preserve">BRDaV-1 </t>
  </si>
  <si>
    <t>Thompson</t>
  </si>
  <si>
    <t>U67839</t>
  </si>
  <si>
    <t>TN</t>
  </si>
  <si>
    <t>M95497</t>
  </si>
  <si>
    <t>Shen</t>
  </si>
  <si>
    <t>AB469874</t>
  </si>
  <si>
    <t>Hiroshima Bay</t>
  </si>
  <si>
    <t>AB375474</t>
  </si>
  <si>
    <t xml:space="preserve">CtenRNAV01 </t>
  </si>
  <si>
    <t>AB243297</t>
  </si>
  <si>
    <t>RsRNAV06</t>
  </si>
  <si>
    <t>AB193726</t>
  </si>
  <si>
    <t>Japan:Hyogo,Kobe, Kobe Harbor</t>
  </si>
  <si>
    <t>AB010300</t>
  </si>
  <si>
    <t>Sumi</t>
  </si>
  <si>
    <t>KM379144</t>
  </si>
  <si>
    <t xml:space="preserve">Mesi 13 </t>
  </si>
  <si>
    <t>AB010302</t>
  </si>
  <si>
    <t>KF555653</t>
  </si>
  <si>
    <t xml:space="preserve">SW10 </t>
  </si>
  <si>
    <t>AJ292230</t>
  </si>
  <si>
    <t>YH</t>
  </si>
  <si>
    <t>U89243</t>
  </si>
  <si>
    <t>Korea</t>
  </si>
  <si>
    <t>M97264</t>
  </si>
  <si>
    <t>Kanyuka</t>
  </si>
  <si>
    <t>AY055762</t>
  </si>
  <si>
    <t>Howitt</t>
  </si>
  <si>
    <t>EU489641</t>
  </si>
  <si>
    <t xml:space="preserve">US1 </t>
  </si>
  <si>
    <t>JX040635</t>
  </si>
  <si>
    <t xml:space="preserve">Y1 </t>
  </si>
  <si>
    <t>AF406744</t>
  </si>
  <si>
    <t>K1</t>
  </si>
  <si>
    <t>Platypuvirus</t>
  </si>
  <si>
    <t>Donkey orchid symptomless virus</t>
  </si>
  <si>
    <t>Mariginiup11</t>
  </si>
  <si>
    <t>FJ670570</t>
  </si>
  <si>
    <t>Netherlands</t>
  </si>
  <si>
    <t>AB206396</t>
  </si>
  <si>
    <t xml:space="preserve">Japan </t>
  </si>
  <si>
    <t>AY863024</t>
  </si>
  <si>
    <t>Pennsylavania</t>
  </si>
  <si>
    <t>AB304848</t>
  </si>
  <si>
    <t xml:space="preserve">J </t>
  </si>
  <si>
    <t>D26017</t>
  </si>
  <si>
    <t>O</t>
  </si>
  <si>
    <t>AF308158</t>
  </si>
  <si>
    <t>Taiwan</t>
  </si>
  <si>
    <t>U23414</t>
  </si>
  <si>
    <t>Brazil</t>
  </si>
  <si>
    <t>D29630</t>
  </si>
  <si>
    <t>Sit</t>
  </si>
  <si>
    <t>U62963</t>
  </si>
  <si>
    <t>Singapore</t>
  </si>
  <si>
    <t>M62730</t>
  </si>
  <si>
    <t>Bancroft</t>
  </si>
  <si>
    <t>AJ620114</t>
  </si>
  <si>
    <t>Kr</t>
  </si>
  <si>
    <t>AY707100</t>
  </si>
  <si>
    <t>PD 109</t>
  </si>
  <si>
    <t>AM745758</t>
  </si>
  <si>
    <t>Karaj</t>
  </si>
  <si>
    <t>AJ633822</t>
  </si>
  <si>
    <t>DQ660333</t>
  </si>
  <si>
    <t>Cote</t>
  </si>
  <si>
    <t>AY789138</t>
  </si>
  <si>
    <t>NCGR MEN 454</t>
  </si>
  <si>
    <t>D13747</t>
  </si>
  <si>
    <t>Zuidema</t>
  </si>
  <si>
    <t>AB219105</t>
  </si>
  <si>
    <t>J</t>
  </si>
  <si>
    <t>AY366209</t>
  </si>
  <si>
    <t>CC10</t>
  </si>
  <si>
    <t>D13957</t>
  </si>
  <si>
    <t>AF484251</t>
  </si>
  <si>
    <t>Sp-13</t>
  </si>
  <si>
    <t>AB353071</t>
  </si>
  <si>
    <t>Z21647</t>
  </si>
  <si>
    <t>Solovyev</t>
  </si>
  <si>
    <t>S73580</t>
  </si>
  <si>
    <t>Xu</t>
  </si>
  <si>
    <t>D00344</t>
  </si>
  <si>
    <t>X3</t>
  </si>
  <si>
    <t>AY366207</t>
  </si>
  <si>
    <t xml:space="preserve">K11 </t>
  </si>
  <si>
    <t>D12517</t>
  </si>
  <si>
    <t>MY-18</t>
  </si>
  <si>
    <t>JN389521</t>
  </si>
  <si>
    <t xml:space="preserve">IT </t>
  </si>
  <si>
    <t>AB066288</t>
  </si>
  <si>
    <t>X06728</t>
  </si>
  <si>
    <t>Forster</t>
  </si>
  <si>
    <t>Yam virus X</t>
  </si>
  <si>
    <t>T551</t>
  </si>
  <si>
    <t>AY366208</t>
  </si>
  <si>
    <t>B1</t>
  </si>
  <si>
    <t>AY147260</t>
  </si>
  <si>
    <t>China</t>
  </si>
  <si>
    <t>JN053266</t>
  </si>
  <si>
    <t xml:space="preserve">BB_Ellis-1 </t>
  </si>
  <si>
    <t>Quinvirinae</t>
  </si>
  <si>
    <t>AB051848</t>
  </si>
  <si>
    <t>D</t>
  </si>
  <si>
    <t>JQ245696</t>
  </si>
  <si>
    <t xml:space="preserve">Bittergold </t>
  </si>
  <si>
    <t>L25658</t>
  </si>
  <si>
    <t>NJ-2</t>
  </si>
  <si>
    <t>AM493895</t>
  </si>
  <si>
    <t xml:space="preserve">Punjab </t>
  </si>
  <si>
    <t>EF527260</t>
  </si>
  <si>
    <t>HQ184471</t>
  </si>
  <si>
    <t xml:space="preserve">Ghana </t>
  </si>
  <si>
    <t>AJ620300</t>
  </si>
  <si>
    <t>type strain: K</t>
  </si>
  <si>
    <t>Gaillardia latent virus</t>
  </si>
  <si>
    <t>5/18-05-2010</t>
  </si>
  <si>
    <t>JF320810</t>
  </si>
  <si>
    <t xml:space="preserve">WA-1 </t>
  </si>
  <si>
    <t>FJ196835</t>
  </si>
  <si>
    <t xml:space="preserve">G5 </t>
  </si>
  <si>
    <t>DQ098905</t>
  </si>
  <si>
    <t>AB032469</t>
  </si>
  <si>
    <t>EU527979</t>
  </si>
  <si>
    <t>Australia</t>
  </si>
  <si>
    <t>EU754720</t>
  </si>
  <si>
    <t xml:space="preserve">NZ </t>
  </si>
  <si>
    <t>EU074853</t>
  </si>
  <si>
    <t>AJ516059</t>
  </si>
  <si>
    <t>South Korea</t>
  </si>
  <si>
    <t>JN039374</t>
  </si>
  <si>
    <t>AM158439</t>
  </si>
  <si>
    <t xml:space="preserve">Zhangzhou </t>
  </si>
  <si>
    <t>AM182569</t>
  </si>
  <si>
    <t>Hangzhou</t>
  </si>
  <si>
    <t>DQ455582</t>
  </si>
  <si>
    <t>Israel</t>
  </si>
  <si>
    <t>KP784454</t>
  </si>
  <si>
    <t xml:space="preserve">ATCC PV-264 </t>
  </si>
  <si>
    <t>EU162589</t>
  </si>
  <si>
    <t xml:space="preserve">WP </t>
  </si>
  <si>
    <t>EF492068</t>
  </si>
  <si>
    <t xml:space="preserve">BR </t>
  </si>
  <si>
    <t>AY505475</t>
  </si>
  <si>
    <t>PV-0341</t>
  </si>
  <si>
    <t>EU433397</t>
  </si>
  <si>
    <t>Canada</t>
  </si>
  <si>
    <t>Potato virus H</t>
  </si>
  <si>
    <t>Huhhot</t>
  </si>
  <si>
    <t>D14449</t>
  </si>
  <si>
    <t>Russian wild type</t>
  </si>
  <si>
    <t>EU020009</t>
  </si>
  <si>
    <t xml:space="preserve">Arg </t>
  </si>
  <si>
    <t>AJ863509</t>
  </si>
  <si>
    <t>Leona</t>
  </si>
  <si>
    <t>FJ685618</t>
  </si>
  <si>
    <t xml:space="preserve">Washington </t>
  </si>
  <si>
    <t>AJ292226</t>
  </si>
  <si>
    <t>YH1</t>
  </si>
  <si>
    <t>JX212747</t>
  </si>
  <si>
    <t xml:space="preserve">Sosa 29 </t>
  </si>
  <si>
    <t>AY461421</t>
  </si>
  <si>
    <t>Uganda</t>
  </si>
  <si>
    <t>D21829</t>
  </si>
  <si>
    <t>PA66</t>
  </si>
  <si>
    <t>HQ339956</t>
  </si>
  <si>
    <t xml:space="preserve">A18 </t>
  </si>
  <si>
    <t>FJ824737</t>
  </si>
  <si>
    <t xml:space="preserve">tatao5 </t>
  </si>
  <si>
    <t>AF057136</t>
  </si>
  <si>
    <t>Meng</t>
  </si>
  <si>
    <t>EF693898</t>
  </si>
  <si>
    <t xml:space="preserve">Agua-4N6 </t>
  </si>
  <si>
    <t>JX277553</t>
  </si>
  <si>
    <t xml:space="preserve">BM-01 </t>
  </si>
  <si>
    <t>Robigovirus</t>
  </si>
  <si>
    <t>AY072921</t>
  </si>
  <si>
    <t>Morales</t>
  </si>
  <si>
    <t>AF017780</t>
  </si>
  <si>
    <t>Zhang</t>
  </si>
  <si>
    <t>AF237816</t>
  </si>
  <si>
    <t>Rott</t>
  </si>
  <si>
    <t>Cherry rusty mottle associated virus</t>
  </si>
  <si>
    <t>95CI192R3</t>
  </si>
  <si>
    <t>Cherry twisted leaf associated virus</t>
  </si>
  <si>
    <t>95CI205R1 (s1)</t>
  </si>
  <si>
    <t>AF314662</t>
  </si>
  <si>
    <t>Gambley</t>
  </si>
  <si>
    <t>AF315308</t>
  </si>
  <si>
    <t>Trivirinae</t>
  </si>
  <si>
    <t>AB004063</t>
  </si>
  <si>
    <t>Li-23</t>
  </si>
  <si>
    <t>X82547</t>
  </si>
  <si>
    <t>Germany</t>
  </si>
  <si>
    <t>Chordovirus</t>
  </si>
  <si>
    <t>Carrot Ch virus 1</t>
  </si>
  <si>
    <t>CBV-1_S20</t>
  </si>
  <si>
    <t>Carrot Ch virus 2</t>
  </si>
  <si>
    <t>CBV-2_S15</t>
  </si>
  <si>
    <t>AJ318061</t>
  </si>
  <si>
    <t>SRA-153</t>
  </si>
  <si>
    <t>Divavirus</t>
  </si>
  <si>
    <t>JX173276</t>
  </si>
  <si>
    <t>JX173277</t>
  </si>
  <si>
    <t>HQ241409</t>
  </si>
  <si>
    <t xml:space="preserve">HarVA-57 </t>
  </si>
  <si>
    <t>Prunevirus</t>
  </si>
  <si>
    <t>Apricot vein clearing associated virus</t>
  </si>
  <si>
    <t>VC</t>
  </si>
  <si>
    <t>Caucasus prunus virus</t>
  </si>
  <si>
    <t>Aze204</t>
  </si>
  <si>
    <t>EU835937</t>
  </si>
  <si>
    <t>Peru</t>
  </si>
  <si>
    <t>Prunus virus T</t>
  </si>
  <si>
    <t>C21</t>
  </si>
  <si>
    <t>M58152</t>
  </si>
  <si>
    <t>P863</t>
  </si>
  <si>
    <t>AY713379</t>
  </si>
  <si>
    <t>Sus2</t>
  </si>
  <si>
    <t>AF170028</t>
  </si>
  <si>
    <t>SA1162-21</t>
  </si>
  <si>
    <t>D88448</t>
  </si>
  <si>
    <t>FR877530</t>
  </si>
  <si>
    <t>DQ117579</t>
  </si>
  <si>
    <t xml:space="preserve">2022-01 (CA-1) </t>
  </si>
  <si>
    <t>JN427015</t>
  </si>
  <si>
    <t xml:space="preserve">TP7-93B </t>
  </si>
  <si>
    <t>X75433</t>
  </si>
  <si>
    <t>Is 151</t>
  </si>
  <si>
    <t>X75448</t>
  </si>
  <si>
    <t>Saldarelli</t>
  </si>
  <si>
    <t>AB432910</t>
  </si>
  <si>
    <t xml:space="preserve">TvAQ7 </t>
  </si>
  <si>
    <t>JX105428</t>
  </si>
  <si>
    <t xml:space="preserve">AUD46129 </t>
  </si>
  <si>
    <t>AF238884</t>
  </si>
  <si>
    <t>FJ915122</t>
  </si>
  <si>
    <t xml:space="preserve">GSM-8 </t>
  </si>
  <si>
    <t>AY884005</t>
  </si>
  <si>
    <t>Maccheroni</t>
  </si>
  <si>
    <t>FJ436028</t>
  </si>
  <si>
    <t>AF265566</t>
  </si>
  <si>
    <t>Costa Rica</t>
  </si>
  <si>
    <t>U87832</t>
  </si>
  <si>
    <t>Edwards</t>
  </si>
  <si>
    <t>FJ444852</t>
  </si>
  <si>
    <t xml:space="preserve">CN1/1 </t>
  </si>
  <si>
    <t>AY751780</t>
  </si>
  <si>
    <t>Koenig</t>
  </si>
  <si>
    <t>JX508291</t>
  </si>
  <si>
    <t xml:space="preserve">Col </t>
  </si>
  <si>
    <t>JX508290</t>
  </si>
  <si>
    <t xml:space="preserve">Hu </t>
  </si>
  <si>
    <t>AF195000</t>
  </si>
  <si>
    <t>Bernal</t>
  </si>
  <si>
    <t>FN563123</t>
  </si>
  <si>
    <t>AY789137</t>
  </si>
  <si>
    <t>Tzanetakis</t>
  </si>
  <si>
    <t>J04374</t>
  </si>
  <si>
    <t>Osorio-Keese</t>
  </si>
  <si>
    <t>AF098523</t>
  </si>
  <si>
    <t>Srifah</t>
  </si>
  <si>
    <t>D00637</t>
  </si>
  <si>
    <t>Jervis Bay</t>
  </si>
  <si>
    <t>AY751778</t>
  </si>
  <si>
    <t>Nemisia</t>
  </si>
  <si>
    <t>EF554577</t>
  </si>
  <si>
    <t xml:space="preserve">PV-0264 </t>
  </si>
  <si>
    <t>J04375</t>
  </si>
  <si>
    <t>Ding</t>
  </si>
  <si>
    <t>Y16104</t>
  </si>
  <si>
    <t>Ranjith-Kumar</t>
  </si>
  <si>
    <t>AY751779</t>
  </si>
  <si>
    <t>AY751777</t>
  </si>
  <si>
    <t>X07441</t>
  </si>
  <si>
    <t>Morch</t>
  </si>
  <si>
    <t>AJ271595</t>
  </si>
  <si>
    <t>Bradel</t>
  </si>
  <si>
    <t>AJ309022</t>
  </si>
  <si>
    <t>MT48</t>
  </si>
  <si>
    <t>Duck aviadenovirus B</t>
  </si>
  <si>
    <t>duck adenovirus 2 strain GR</t>
  </si>
  <si>
    <t>Pigeon aviadenovirus A</t>
  </si>
  <si>
    <t>pigeon adenovirus 1 strain IDA4</t>
  </si>
  <si>
    <t>Turkey aviadenovirus C</t>
  </si>
  <si>
    <t>turkey adenovirus 4 strain TNI1</t>
  </si>
  <si>
    <t>Turkey aviadenovirus D</t>
  </si>
  <si>
    <t>turkey adenovirus 5 strain 1277BT</t>
  </si>
  <si>
    <t>Simian mastadenovirus B</t>
  </si>
  <si>
    <t>simian adenovirus 49</t>
  </si>
  <si>
    <t>Simian mastadenovirus C</t>
  </si>
  <si>
    <t>baboon adenovirus 3</t>
  </si>
  <si>
    <t>AB218608</t>
  </si>
  <si>
    <t>HcRNAV34</t>
  </si>
  <si>
    <t>HM029246</t>
  </si>
  <si>
    <t xml:space="preserve">MI-1 </t>
  </si>
  <si>
    <t xml:space="preserve">GSMNP-Sugld-1 </t>
  </si>
  <si>
    <t xml:space="preserve">Mexico-1 </t>
  </si>
  <si>
    <t xml:space="preserve">M </t>
  </si>
  <si>
    <t>EF432053</t>
  </si>
  <si>
    <t>ssDNA(-)</t>
  </si>
  <si>
    <t>2014.006f,gD.A.v3.Gyrovirus_move</t>
  </si>
  <si>
    <t>Torque teno sus virus k2a</t>
  </si>
  <si>
    <t>2015.003a,bD.A.v1.Kappatorquevirus_sp,ren</t>
  </si>
  <si>
    <t>Torque teno sus virus k2b</t>
  </si>
  <si>
    <t>ssRNA(+/-)</t>
  </si>
  <si>
    <t>Gairo mammarenavirus</t>
  </si>
  <si>
    <t>Gairo virus isolate TZ-27421</t>
  </si>
  <si>
    <t>Mariental mammarenavirus</t>
  </si>
  <si>
    <t>Mariental virus isolate N27</t>
  </si>
  <si>
    <t>Okahandja mammarenavirus</t>
  </si>
  <si>
    <t>Okahandja virus isolate N73</t>
  </si>
  <si>
    <t>Wenzhou mammarenavirus</t>
  </si>
  <si>
    <t>Toursvirus</t>
  </si>
  <si>
    <t>J02020</t>
  </si>
  <si>
    <t>Symons</t>
  </si>
  <si>
    <t>AJ536612</t>
  </si>
  <si>
    <t>Y14700</t>
  </si>
  <si>
    <t>Horst</t>
  </si>
  <si>
    <t>M83545</t>
  </si>
  <si>
    <t>Hernandez</t>
  </si>
  <si>
    <t>Agrotis segetum nucleopolyhedrovirus A</t>
  </si>
  <si>
    <t>2015.002a,bD.A.v2.Alphabaculovirus_sp,ren</t>
  </si>
  <si>
    <t>Agrotis segetum nucleopolyhedrovirus B</t>
  </si>
  <si>
    <t>Chrysodeixis includens nucleopolyhedrovirus</t>
  </si>
  <si>
    <t>Pseudoplusia includens single nucleopolyhedrovirus-IE</t>
  </si>
  <si>
    <t>Sucra jujuba nucleopolyhedrovirus</t>
  </si>
  <si>
    <t>Sucra jujuba nucleopolyhedrovirus isolate 473</t>
  </si>
  <si>
    <t>Agrotis segetum granulovirus</t>
  </si>
  <si>
    <t>Agrotis segetum granulovirus DA</t>
  </si>
  <si>
    <t>Erinnyis ello granulovirus</t>
  </si>
  <si>
    <t>Erinnyis ello granulovirus isolate S86</t>
  </si>
  <si>
    <t>Spodoptera frugiperda granulovirus</t>
  </si>
  <si>
    <t>Spodoptera frugiperda granulovirus VG008</t>
  </si>
  <si>
    <t>U07551</t>
  </si>
  <si>
    <t>LF-1</t>
  </si>
  <si>
    <t>S</t>
  </si>
  <si>
    <t>EA</t>
  </si>
  <si>
    <t xml:space="preserve">S </t>
  </si>
  <si>
    <t>Colombia</t>
  </si>
  <si>
    <t>AJ888457</t>
  </si>
  <si>
    <t>Apulia</t>
  </si>
  <si>
    <t>Dzianott</t>
  </si>
  <si>
    <t>KU1 (ATCC66)</t>
  </si>
  <si>
    <t>KU1</t>
  </si>
  <si>
    <t>Allison</t>
  </si>
  <si>
    <t>Fny</t>
  </si>
  <si>
    <t>Lithuania</t>
  </si>
  <si>
    <t>ER</t>
  </si>
  <si>
    <t>V</t>
  </si>
  <si>
    <t>Scott</t>
  </si>
  <si>
    <t>Shiel</t>
  </si>
  <si>
    <t>UK</t>
  </si>
  <si>
    <t xml:space="preserve">Berkely </t>
  </si>
  <si>
    <t>Li</t>
  </si>
  <si>
    <t>CFRA 9087</t>
  </si>
  <si>
    <t>Varga</t>
  </si>
  <si>
    <t>Ge</t>
  </si>
  <si>
    <t>ch 137</t>
  </si>
  <si>
    <t xml:space="preserve">Chr3 </t>
  </si>
  <si>
    <t>Maryland</t>
  </si>
  <si>
    <t>WC</t>
  </si>
  <si>
    <t>Grieco</t>
  </si>
  <si>
    <t>Andes hantavirus</t>
  </si>
  <si>
    <t>Bayou hantavirus</t>
  </si>
  <si>
    <t>Bayou virus (BAYV)</t>
  </si>
  <si>
    <t>Black Creek Canal hantavirus</t>
  </si>
  <si>
    <t>Black Creek Canal virus (BCCV)</t>
  </si>
  <si>
    <t>Cano Delgadito hantavirus</t>
  </si>
  <si>
    <t>Dobrava-Belgrade hantavirus</t>
  </si>
  <si>
    <t>Dobrava-Belgrade virus (DOBV)</t>
  </si>
  <si>
    <t>El Moro Canyon hantavirus</t>
  </si>
  <si>
    <t>El Moro Canyon virus (ELMCV)</t>
  </si>
  <si>
    <t>Hantaan hantavirus</t>
  </si>
  <si>
    <t>Hantaan virus (HTNV)</t>
  </si>
  <si>
    <t>Isla Vista hantavirus</t>
  </si>
  <si>
    <t>Isla Vista virus (ISLAV)</t>
  </si>
  <si>
    <t>Khabarovsk hantavirus</t>
  </si>
  <si>
    <t>Khabarovsk virus (KHAV)</t>
  </si>
  <si>
    <t>Laguna Negra hantavirus</t>
  </si>
  <si>
    <t>Laguna Negra virus (LANV)</t>
  </si>
  <si>
    <t>Muleshoe hantavirus</t>
  </si>
  <si>
    <t>Muleshoe virus (MULV)</t>
  </si>
  <si>
    <t>New York hantavirus</t>
  </si>
  <si>
    <t>New York virus (NYV)</t>
  </si>
  <si>
    <t>Prospect Hill hantavirus</t>
  </si>
  <si>
    <t>Bloodland Lake virus (BLLV), Prospect Hill virus (PHV)</t>
  </si>
  <si>
    <t>Puumala hantavirus</t>
  </si>
  <si>
    <t>Puumala virus (PUUV)</t>
  </si>
  <si>
    <t>Rio Mamore hantavirus</t>
  </si>
  <si>
    <t>Rio Segundo hantavirus</t>
  </si>
  <si>
    <t>Saaremaa hantavirus</t>
  </si>
  <si>
    <t>Kurkino virus, Saaremaa virus (SAAV)</t>
  </si>
  <si>
    <t>Sangassou hantavirus</t>
  </si>
  <si>
    <t>Sangassou virus (SANGV)</t>
  </si>
  <si>
    <t>Seoul hantavirus</t>
  </si>
  <si>
    <t>Seoul virus (SEOV)</t>
  </si>
  <si>
    <t>Sin Nombre hantavirus</t>
  </si>
  <si>
    <t>Blue River virus (BRV), Monongahela virus (MGLV), Sin Nombre virus (SNV)</t>
  </si>
  <si>
    <t>Thailand hantavirus</t>
  </si>
  <si>
    <t>Anjozorobe virus, Thailand virus (THAIV)</t>
  </si>
  <si>
    <t>Thottapalayam hantavirus</t>
  </si>
  <si>
    <t>Thottapalayam virus (TPMV)</t>
  </si>
  <si>
    <t>Topografov hantavirus</t>
  </si>
  <si>
    <t>Topografov virus (TOPV)</t>
  </si>
  <si>
    <t>Tula hantavirus</t>
  </si>
  <si>
    <t>Tula virus (TULV)</t>
  </si>
  <si>
    <t>Crimean-Congo hemorrhagic fever nairovirus</t>
  </si>
  <si>
    <t>Crimean-Congo hemorrhagic fever virus (CCHFV), Hazara virus (HAZV)</t>
  </si>
  <si>
    <t>Dera Ghazi Khan nairovirus</t>
  </si>
  <si>
    <t>Abu Hammad virus (AHV), Abu Mina virus (AMV), Dera Ghazi Khan virus (DGKV), Kao Shuan virus (KSV), Pathum Thani virus (PTHV), Pretoria virus (PREV)</t>
  </si>
  <si>
    <t>Dugbe nairovirus</t>
  </si>
  <si>
    <t>Dugbe virus (DUGV), Ganjam virus (GANV), Kupe virus (KUPEV), Nairobi sheep disease virus (NSDV)</t>
  </si>
  <si>
    <t>Hughes nairovirus</t>
  </si>
  <si>
    <t>Caspiy virus (CASV), Farallon virus (FARV), Fraser Point virus (FPV), Great Saltee virus (GRSV), Hughes virus (HUGV), Puffin Island virus (PIV), Punta Salinas virus (PSV), Raza virus (RAZAV), Sapphire II virus (SAPV), Soldado virus (SOLV), Zirqa virus (ZIRV)</t>
  </si>
  <si>
    <t>Qalyub nairovirus</t>
  </si>
  <si>
    <t>Bakel virus (BAKV), Bandia virus (BDAV), Chim virus (CHIMV), Geran virus (GERV), Omo virus (OMOV), Qalyub virus (QYBV)</t>
  </si>
  <si>
    <t>Sakhalin nairovirus</t>
  </si>
  <si>
    <t>Avalon virus (AVAV), = Paramushir virus (PRMV), Clo Mor virus (CLMV), Finch Creek virus (FINCV), Kachemak Bay virus (KBV), Sakhalin virus (SAKV), Taggert virus (TAGB), Tillamook virus (TILLV)</t>
  </si>
  <si>
    <t>Thiafora nairovirus</t>
  </si>
  <si>
    <t>Erve virus (ERVEV), Thiafora virus (TFAV)</t>
  </si>
  <si>
    <t>Acara orthobunyavirus</t>
  </si>
  <si>
    <t>Acara virus (ACAV), Moriche virus (MORV)</t>
  </si>
  <si>
    <t>Akabane orthobunyavirus</t>
  </si>
  <si>
    <t>Akabane virus (AKAV), Sabo virus (SABOV), Tinaroo virus (TINV), Yaba-7 virus (Y7V)</t>
  </si>
  <si>
    <t>Alajuela orthobunyavirus</t>
  </si>
  <si>
    <t>Alajuela virus (ALJV), San Juan virus (SJV)</t>
  </si>
  <si>
    <t>Anopheles A orthobunyavirus</t>
  </si>
  <si>
    <t>Anopheles B orthobunyavirus</t>
  </si>
  <si>
    <t>Bakau orthobunyavirus</t>
  </si>
  <si>
    <t>Bakau virus (BAKV), Ketapang virus (KETV), Nola virus (NOLAV), Tanjong Rabok virus (TRV), Telok Forest virus (TFV)</t>
  </si>
  <si>
    <t>Batama orthobunyavirus</t>
  </si>
  <si>
    <t>Batama virus (BMAV)</t>
  </si>
  <si>
    <t>Benevides orthobunyavirus</t>
  </si>
  <si>
    <t>Benevides virus (BVSV)</t>
  </si>
  <si>
    <t>Bertioga orthobunyavirus</t>
  </si>
  <si>
    <t>Bertioga virus (BERV), Cananeia virus (CNAV), Guaratuba virus (GTBV), Itimirim virus (ITIV), Mirim virus (MIRV)</t>
  </si>
  <si>
    <t>Bimiti orthobunyavirus</t>
  </si>
  <si>
    <t>Bimiti virus (BIMV)</t>
  </si>
  <si>
    <t>Botambi orthobunyavirus</t>
  </si>
  <si>
    <t>Botambi virus (BOTV)</t>
  </si>
  <si>
    <t>Bunyamwera orthobunyavirus</t>
  </si>
  <si>
    <t>Anadyr virus (ANADV), Batai virus (BATV), Birao virus (BIRV), Bozo virus (BOZOV), Bunyamwera virus (BUNV), Cache Valley virus (CVV), Fort Sherman virus (FSV), Germiston virus (GERV), Iaco virus (IACOV), Ilesha virus (ILEV), Lokern virus (LOKV), Maguari virus (MAGV), Mboke virus (MBOV), Ngari virus (NRIV), Northway virus (NORV), Playas virus (PLAV), Potosi virus (POTV), Santa Rosa virus (SARV), Shokwe virus (SHOV), Stanfield virus, Tensaw virus (TENV), Tlacotalpan virus (TLAV), Xingu virus (XINV)</t>
  </si>
  <si>
    <t>Bushbush orthobunyavirus</t>
  </si>
  <si>
    <t>Benfica virus (BENV), Bushbush virus (BSBV), Juan Diaz virus (JDV)</t>
  </si>
  <si>
    <t>Bwamba orthobunyavirus</t>
  </si>
  <si>
    <t>Bwamba virus (BWAV), Pongola virus (PGAV)</t>
  </si>
  <si>
    <t>California encephalitis orthobunyavirus</t>
  </si>
  <si>
    <t>Capim orthobunyavirus</t>
  </si>
  <si>
    <t>Capim virus (CAPV)</t>
  </si>
  <si>
    <t>Caraparu orthobunyavirus</t>
  </si>
  <si>
    <t>Catu orthobunyavirus</t>
  </si>
  <si>
    <t>Estero Real orthobunyavirus</t>
  </si>
  <si>
    <t>Estero Real virus (ERV)</t>
  </si>
  <si>
    <t>Gamboa orthobunyavirus</t>
  </si>
  <si>
    <t>Gamboa virus (GAMV), Pueblo Viejo virus (PVV)</t>
  </si>
  <si>
    <t>Guajara orthobunyavirus</t>
  </si>
  <si>
    <t>Guama orthobunyavirus</t>
  </si>
  <si>
    <t>Guaroa orthobunyavirus</t>
  </si>
  <si>
    <t>Guaroa virus (GROV)</t>
  </si>
  <si>
    <t>Kaeng Khoi orthobunyavirus</t>
  </si>
  <si>
    <t>Kaeng Khoi virus (KKV)</t>
  </si>
  <si>
    <t>Kairi orthobunyavirus</t>
  </si>
  <si>
    <t>Kairi virus (KRIV)</t>
  </si>
  <si>
    <t>Koongol orthobunyavirus</t>
  </si>
  <si>
    <t>Koongol virus (KOOV), Wongal virus (WONV)</t>
  </si>
  <si>
    <t>Madrid orthobunyavirus</t>
  </si>
  <si>
    <t>Madrid virus (MADV)</t>
  </si>
  <si>
    <t>Main Drain orthobunyavirus</t>
  </si>
  <si>
    <t>Main Drain virus (MDV)</t>
  </si>
  <si>
    <t>Manzanilla orthobunyavirus</t>
  </si>
  <si>
    <t>Buttonwillow virus (BUTV), Cat Que virus, Ingwavuma virus (INGV), Inini virus (INIV), Manzanilla virus (MANV), Mermet virus (MERV)</t>
  </si>
  <si>
    <t>Marituba orthobunyavirus</t>
  </si>
  <si>
    <t>Minatitlan orthobunyavirus</t>
  </si>
  <si>
    <t>Minatitlan virus (MNTV), Palestina virus (PLSV)</t>
  </si>
  <si>
    <t>MPoko orthobunyavirus</t>
  </si>
  <si>
    <t>Nyando orthobunyavirus</t>
  </si>
  <si>
    <t>Nyando virus (NDV), Eret(mapodites), virus (ERETV)</t>
  </si>
  <si>
    <t>Olifantsvlei orthobunyavirus</t>
  </si>
  <si>
    <t>Bobia virus (BIAV), Dabakala virus (DABV), Olifantsvlei virus (OLIV), Oubi virus (OUBIV)</t>
  </si>
  <si>
    <t>Oriboca orthobunyavirus</t>
  </si>
  <si>
    <t>Oropouche orthobunyavirus</t>
  </si>
  <si>
    <t>Patois orthobunyavirus</t>
  </si>
  <si>
    <t>Abras virus (ABRV), Babahoya virus (BABV), Pahayokee virus (PAHV), Patois virus (PATV), Shark River virus (SRV)</t>
  </si>
  <si>
    <t>Sathuperi orthobunyavirus</t>
  </si>
  <si>
    <t>Douglas virus (DOUV), Sathuperi virus (SATV), Schmallenberg virus (SBV)</t>
  </si>
  <si>
    <t>Shamonda orthobunyavirus</t>
  </si>
  <si>
    <t>Peaton virus (PEAV), Sango virus (SANV), Shamonda virus (SHAV)</t>
  </si>
  <si>
    <t>Shuni orthobunyavirus</t>
  </si>
  <si>
    <t>Aino virus (AINOV), Kaikalur virus (KAIV), Shuni virus (SHUV)</t>
  </si>
  <si>
    <t>Simbu orthobunyavirus</t>
  </si>
  <si>
    <t>Simbu virus (SIMV)</t>
  </si>
  <si>
    <t>Tacaiuma orthobunyavirus</t>
  </si>
  <si>
    <t>CoAr 1071 virus (CA1071V), CoAr 3627 virus (CA3627V), Tacaiuma virus (TCMV), Virgin River virus (VRV)</t>
  </si>
  <si>
    <t>Tete orthobunyavirus</t>
  </si>
  <si>
    <t>Bahig virus (BAHV), Matruh virus (MTRV), Tete virus (TETEV), Tsuruse virus (TSUV), Weldona virus (WELV)</t>
  </si>
  <si>
    <t>Thimiri orthobunyavirus</t>
  </si>
  <si>
    <t>Thimiri virus (THIV)</t>
  </si>
  <si>
    <t>Timboteua orthobunyavirus</t>
  </si>
  <si>
    <t>Timboteua virus (TBTV)</t>
  </si>
  <si>
    <t>Turlock orthobunyavirus</t>
  </si>
  <si>
    <t>Lednice virus (LEDV), Turlock virus (TURV), Umbre virus (UMBV)</t>
  </si>
  <si>
    <t>Wyeomyia orthobunyavirus</t>
  </si>
  <si>
    <t>Anhembi virus (AMBV), BeAr 328208 virus (BAV), Cachoeira Porteira virus (CPOV), Iaco virus (IACOV), Macaua virus (MCAV), Rio Pracupi virus, Sororoca virus (SORV), Taiassui virus (TAIAV), Tucunduba virus (TUCV), Wyeomyia virus (WYOV)</t>
  </si>
  <si>
    <t>Zegla orthobunyavirus</t>
  </si>
  <si>
    <t>Zegla virus (ZEGV)</t>
  </si>
  <si>
    <t>Bujaru phlebovirus</t>
  </si>
  <si>
    <t>Bujaru virus (BUJV), Munguba virus (MUNV)</t>
  </si>
  <si>
    <t>Candiru phlebovirus</t>
  </si>
  <si>
    <t>Chilibre phlebovirus</t>
  </si>
  <si>
    <t>Cacao virus (CACV), Chilibre (CHIV)</t>
  </si>
  <si>
    <t>Frijoles phlebovirus</t>
  </si>
  <si>
    <t>Frijoles virus (FRIV), Joa virus (JOAV)</t>
  </si>
  <si>
    <t>Punta Toro phlebovirus</t>
  </si>
  <si>
    <t>Buenaventura virus (BUEV), Capira virus (CAPIV), Cocle virus (CCLV), Leticia virus (LTCV), Punta Toro virus (PTV)</t>
  </si>
  <si>
    <t>Rift Valley fever phlebovirus</t>
  </si>
  <si>
    <t>Rift Valley fever virus (RVFV)</t>
  </si>
  <si>
    <t>Salehabad phlebovirus</t>
  </si>
  <si>
    <t>Adana virus, Adria virus (ADRV), Arbia virus (ARBV), Arumowot virus (AMTV), Medjerda Valley virus, Odrenisrou virus (ODRV), Olbia virus (OLBV), Salehabad virus (SALV)</t>
  </si>
  <si>
    <t>Sandfly fever Naples phlebovirus</t>
  </si>
  <si>
    <t>Fermo virus, Gordil virus (GORV), Granada virus (GR(A), V), Massil(i), a virus (MASLV), Punique virus (PUNV), Saddaguia virus (SADV), Saint-Floris virus (SAFV), sandfly fever Naples virus (SFNV), Tehran virus (TEHV), Toscana virus (TOSV), Zerdali virus</t>
  </si>
  <si>
    <t>SFTS phlebovirus</t>
  </si>
  <si>
    <t>severe fever with thrombocytopenia virus (SFTSV)</t>
  </si>
  <si>
    <t>Uukuniemi phlebovirus</t>
  </si>
  <si>
    <t>Groundnut bud necrosis tospovirus</t>
  </si>
  <si>
    <t>groundnut bud necrosis virus (GBNV)</t>
  </si>
  <si>
    <t>Groundnut ringspot tospovirus</t>
  </si>
  <si>
    <t>groundnut ringspot virus (GRSV)</t>
  </si>
  <si>
    <t>Groundnut yellow spot tospovirus</t>
  </si>
  <si>
    <t>groundnut yellow spot virus (GYSV</t>
  </si>
  <si>
    <t>Impatiens necrotic spot tospovirus</t>
  </si>
  <si>
    <t>impatiens necrotic spot virus (INSV)</t>
  </si>
  <si>
    <t>Iris yellow spot tospovirus</t>
  </si>
  <si>
    <t>iris yellow spot virus (IYSV)</t>
  </si>
  <si>
    <t>Polygonum ringspot tospovirus</t>
  </si>
  <si>
    <t>polygonum ringspot virus (PolRSV)</t>
  </si>
  <si>
    <t>Tomato chlorotic spot tospovirus</t>
  </si>
  <si>
    <t>L: HQ700667</t>
  </si>
  <si>
    <t>tomato chlorotic spot virus (TCSV)</t>
  </si>
  <si>
    <t>Tomato spotted wilt tospovirus</t>
  </si>
  <si>
    <t>tomato spotted wilt virus (TSWV)</t>
  </si>
  <si>
    <t>Watermelon bud necrosis tospovirus</t>
  </si>
  <si>
    <t>watermelon bud necrosis virus (WBNV)</t>
  </si>
  <si>
    <t>Watermelon silver mottle tospovirus</t>
  </si>
  <si>
    <t>watermelon silver mottle virus (WSMoV)</t>
  </si>
  <si>
    <t>Zucchini lethal chlorosis tospovirus</t>
  </si>
  <si>
    <t>zucchini lethal chlorosis virus (ZLCV)</t>
  </si>
  <si>
    <t>dsDNA-RT</t>
  </si>
  <si>
    <t>HQ593112</t>
  </si>
  <si>
    <t>Kenya</t>
  </si>
  <si>
    <t>AY750155</t>
  </si>
  <si>
    <t>Acuminata Vietnam</t>
  </si>
  <si>
    <t>EU034539</t>
  </si>
  <si>
    <t>Cacao swollen shoot CD virus</t>
  </si>
  <si>
    <t>CSSV-CI152</t>
  </si>
  <si>
    <t>Cacao swollen shoot Togo A virus</t>
  </si>
  <si>
    <t>CSSV-Wobe12</t>
  </si>
  <si>
    <t>L14546</t>
  </si>
  <si>
    <t>Hagen</t>
  </si>
  <si>
    <t>AF347695</t>
  </si>
  <si>
    <t>Huang</t>
  </si>
  <si>
    <t>X52938</t>
  </si>
  <si>
    <t>Olszewski</t>
  </si>
  <si>
    <t>DQ822073</t>
  </si>
  <si>
    <t>Benin</t>
  </si>
  <si>
    <t xml:space="preserve">Arkansas 1 </t>
  </si>
  <si>
    <t>JQ316114</t>
  </si>
  <si>
    <t xml:space="preserve">RC HC </t>
  </si>
  <si>
    <t>Grapevine Roditis leaf discoloration-associated virus</t>
  </si>
  <si>
    <t>GRLDaV-w4</t>
  </si>
  <si>
    <t>JF301669</t>
  </si>
  <si>
    <t xml:space="preserve">LBC0903 </t>
  </si>
  <si>
    <t xml:space="preserve">pymav-01 </t>
  </si>
  <si>
    <t>GU121676</t>
  </si>
  <si>
    <t>KC808712</t>
  </si>
  <si>
    <t xml:space="preserve">ISH-1 </t>
  </si>
  <si>
    <t>KM078034</t>
  </si>
  <si>
    <t xml:space="preserve">Baumforth's Seedling A </t>
  </si>
  <si>
    <t>Sugarcane bacilliform Guadeloupe A virus</t>
  </si>
  <si>
    <t>SCBV-R570</t>
  </si>
  <si>
    <t>Sugarcane bacilliform Guadeloupe D virus</t>
  </si>
  <si>
    <t>SCBV-Ba3</t>
  </si>
  <si>
    <t>FJ560943</t>
  </si>
  <si>
    <t xml:space="preserve">Huachano1 </t>
  </si>
  <si>
    <t>AF357836</t>
  </si>
  <si>
    <t>Papua New Guinea</t>
  </si>
  <si>
    <t>X04658</t>
  </si>
  <si>
    <t>Hull</t>
  </si>
  <si>
    <t>V00141</t>
  </si>
  <si>
    <t>Franck</t>
  </si>
  <si>
    <t>JX272320</t>
  </si>
  <si>
    <t>Portland</t>
  </si>
  <si>
    <t>X06166</t>
  </si>
  <si>
    <t>clone pFMV Sc3</t>
  </si>
  <si>
    <t>JX429923</t>
  </si>
  <si>
    <t xml:space="preserve">ID1 </t>
  </si>
  <si>
    <t>EU554423</t>
  </si>
  <si>
    <t>AF454635</t>
  </si>
  <si>
    <t>Dey</t>
  </si>
  <si>
    <t>X97304</t>
  </si>
  <si>
    <t>clone pSVBV-E3</t>
  </si>
  <si>
    <t>U59751</t>
  </si>
  <si>
    <t>de Kochko</t>
  </si>
  <si>
    <t>HQ694978</t>
  </si>
  <si>
    <t xml:space="preserve">Mad1 </t>
  </si>
  <si>
    <t>U95208</t>
  </si>
  <si>
    <t>Richert-Poggeler</t>
  </si>
  <si>
    <t xml:space="preserve">RYVV-MN1 </t>
  </si>
  <si>
    <t>HQ694979</t>
  </si>
  <si>
    <t xml:space="preserve">Dom1 </t>
  </si>
  <si>
    <t>AF190123</t>
  </si>
  <si>
    <t>Lockhart</t>
  </si>
  <si>
    <t>AF404509</t>
  </si>
  <si>
    <t>Glasheen</t>
  </si>
  <si>
    <t>AF364175</t>
  </si>
  <si>
    <t>Stavolone</t>
  </si>
  <si>
    <t>U13988</t>
  </si>
  <si>
    <t>X15828</t>
  </si>
  <si>
    <t>Hibi</t>
  </si>
  <si>
    <t>X57924</t>
  </si>
  <si>
    <t>Philippines</t>
  </si>
  <si>
    <t>Turkey</t>
  </si>
  <si>
    <t xml:space="preserve">A-56 </t>
  </si>
  <si>
    <t>Soldevila</t>
  </si>
  <si>
    <t>ATTC 9480</t>
  </si>
  <si>
    <t xml:space="preserve">China </t>
  </si>
  <si>
    <t>Barbel circovirus</t>
  </si>
  <si>
    <t>barbel circovirus</t>
  </si>
  <si>
    <t>2014.006a,hD.A.v6.Circovirus_11sp</t>
  </si>
  <si>
    <t>Bat circovirus 1</t>
  </si>
  <si>
    <t>bat circovirus 1 isolate XOR</t>
  </si>
  <si>
    <t>Bat circovirus 2</t>
  </si>
  <si>
    <t>bat circovirus 2 isolate XOR7</t>
  </si>
  <si>
    <t>Bat circovirus 3</t>
  </si>
  <si>
    <t>bat circovirus 3 (Rhinolophus ferrumequinum circovirus 1)</t>
  </si>
  <si>
    <t>ssDNA(+/-)</t>
  </si>
  <si>
    <t>Canine circovirus</t>
  </si>
  <si>
    <t>canine circovirus isolate UCD1-1698</t>
  </si>
  <si>
    <t>Chimpanzee faeces associated circovirus</t>
  </si>
  <si>
    <t>chimpanzee faeces associated circovirus</t>
  </si>
  <si>
    <t>European catfish circovirus</t>
  </si>
  <si>
    <t>European catfish circovirus isolate H5 (Silurus glanis circovirus)</t>
  </si>
  <si>
    <t>Human faeces associated circovirus</t>
  </si>
  <si>
    <t>human faeces associated circovirus</t>
  </si>
  <si>
    <t>Mink circovirus</t>
  </si>
  <si>
    <t>mink circovirus</t>
  </si>
  <si>
    <t>Porcine circovirus 1</t>
  </si>
  <si>
    <t>Porcine circovirus 2</t>
  </si>
  <si>
    <t>Raven circovirus</t>
  </si>
  <si>
    <t>raven circovirus</t>
  </si>
  <si>
    <t>Zebra finch circovirus</t>
  </si>
  <si>
    <t>zebra finch circovirus</t>
  </si>
  <si>
    <t>Cyclovirus</t>
  </si>
  <si>
    <t>Bat cyclovirus</t>
  </si>
  <si>
    <t>bat cyclovirus</t>
  </si>
  <si>
    <t>Bat faeces associated cyclovirus 1</t>
  </si>
  <si>
    <t>bat faeces associated cyclovirus 1</t>
  </si>
  <si>
    <t>Bat faeces associated cyclovirus 2</t>
  </si>
  <si>
    <t>bat faeces associated cyclovirus 2</t>
  </si>
  <si>
    <t>Bat faeces associated cyclovirus 3</t>
  </si>
  <si>
    <t>bat faeces associated cyclovirus 3</t>
  </si>
  <si>
    <t>Bat faeces associated cyclovirus 4</t>
  </si>
  <si>
    <t>bat faeces associated cyclovirus 4</t>
  </si>
  <si>
    <t>Bovine cyclovirus</t>
  </si>
  <si>
    <t>bovine cyclovirus</t>
  </si>
  <si>
    <t>Chimpanzee faeces associated cyclovirus</t>
  </si>
  <si>
    <t>chimpanzee faeces associated cyclovirus</t>
  </si>
  <si>
    <t>Dragonfly cyclovirus 1</t>
  </si>
  <si>
    <t>dragonfly cyclovirus 1</t>
  </si>
  <si>
    <t>Dragonfly cyclovirus 2</t>
  </si>
  <si>
    <t>dragonfly cyclovirus 2</t>
  </si>
  <si>
    <t>Dragonfly cyclovirus 3</t>
  </si>
  <si>
    <t>dragonfly cyclovirus 3</t>
  </si>
  <si>
    <t>Dragonfly cyclovirus 4</t>
  </si>
  <si>
    <t>dragonfly cyclovirus 4</t>
  </si>
  <si>
    <t>Dragonfly cyclovirus 5</t>
  </si>
  <si>
    <t>dragonfly cyclovirus 5</t>
  </si>
  <si>
    <t>Dragonfly cyclovirus 6</t>
  </si>
  <si>
    <t>dragonfly cyclovirus 6</t>
  </si>
  <si>
    <t>Dragonfly cyclovirus 7</t>
  </si>
  <si>
    <t>dragonfly cyclovirus 7</t>
  </si>
  <si>
    <t>Dragonfly cyclovirus 8</t>
  </si>
  <si>
    <t>dragonfly cyclovirus 8</t>
  </si>
  <si>
    <t>Florida wood cockroach cyclovirus</t>
  </si>
  <si>
    <t>Gallus cyclovirus</t>
  </si>
  <si>
    <t>gallus cyclovirus</t>
  </si>
  <si>
    <t>Goat cyclovirus</t>
  </si>
  <si>
    <t>goat cyclovirus</t>
  </si>
  <si>
    <t>Human cyclovirus 1</t>
  </si>
  <si>
    <t>human cyclovirus 1</t>
  </si>
  <si>
    <t>Human cyclovirus 2</t>
  </si>
  <si>
    <t>human cyclovirus 2</t>
  </si>
  <si>
    <t>Human cyclovirus 3</t>
  </si>
  <si>
    <t>human cyclovirus 3</t>
  </si>
  <si>
    <t>Human faeces associated cyclovirus 1</t>
  </si>
  <si>
    <t>human faeces associated cyclovirus 1</t>
  </si>
  <si>
    <t>Human faeces associated cyclovirus 2</t>
  </si>
  <si>
    <t>human faeces associated cyclovirus 2</t>
  </si>
  <si>
    <t>Human faeces associated cyclovirus 3</t>
  </si>
  <si>
    <t>human faeces associated cyclovirus 3</t>
  </si>
  <si>
    <t>Human faeces associated cyclovirus 4</t>
  </si>
  <si>
    <t>human faeces associated cyclovirus 4</t>
  </si>
  <si>
    <t>Human faeces associated cyclovirus 5</t>
  </si>
  <si>
    <t>human faeces associated cyclovirus 5</t>
  </si>
  <si>
    <t>Human faeces associated cyclovirus 6</t>
  </si>
  <si>
    <t>human faeces associated cyclovirus 6</t>
  </si>
  <si>
    <t>Human faeces associated cyclovirus 8</t>
  </si>
  <si>
    <t>human faeces associated cyclovirus 8</t>
  </si>
  <si>
    <t>AB537968</t>
  </si>
  <si>
    <t>Blackberry vein banding-associated virus</t>
  </si>
  <si>
    <t>Mississippi1</t>
  </si>
  <si>
    <t>JQ023131</t>
  </si>
  <si>
    <t>AF037268</t>
  </si>
  <si>
    <t>NY1</t>
  </si>
  <si>
    <t>FJ467503</t>
  </si>
  <si>
    <t xml:space="preserve">LR106 </t>
  </si>
  <si>
    <t>AF531505</t>
  </si>
  <si>
    <t>USA6b</t>
  </si>
  <si>
    <t>AF414119</t>
  </si>
  <si>
    <t>Melzer</t>
  </si>
  <si>
    <t>EF546442</t>
  </si>
  <si>
    <t xml:space="preserve">USA </t>
  </si>
  <si>
    <t>X73476</t>
  </si>
  <si>
    <t>U</t>
  </si>
  <si>
    <t>FJ869862</t>
  </si>
  <si>
    <t xml:space="preserve">Germany </t>
  </si>
  <si>
    <t>U16304</t>
  </si>
  <si>
    <t>T36 quick decline</t>
  </si>
  <si>
    <t>AY881628</t>
  </si>
  <si>
    <t>93/955</t>
  </si>
  <si>
    <t>AY792620</t>
  </si>
  <si>
    <t>DQ357218</t>
  </si>
  <si>
    <t xml:space="preserve">HCRL Glen Clova </t>
  </si>
  <si>
    <t>DQ860839</t>
  </si>
  <si>
    <t xml:space="preserve">Bn-03 </t>
  </si>
  <si>
    <t>USA, strawberry pallidosis</t>
  </si>
  <si>
    <t>South Carolina</t>
  </si>
  <si>
    <t>AlLM</t>
  </si>
  <si>
    <t xml:space="preserve">Fayetteville </t>
  </si>
  <si>
    <t xml:space="preserve">California </t>
  </si>
  <si>
    <t>Peru:Cajamarca</t>
  </si>
  <si>
    <t>M1</t>
  </si>
  <si>
    <t>Uganda EA</t>
  </si>
  <si>
    <t>Florida</t>
  </si>
  <si>
    <t xml:space="preserve">Orange County, CA </t>
  </si>
  <si>
    <t>Blueberry virus A</t>
  </si>
  <si>
    <t>Iwate-2012</t>
  </si>
  <si>
    <t>KJ572575</t>
  </si>
  <si>
    <t xml:space="preserve">NCGR MEN 454 </t>
  </si>
  <si>
    <t>HM588723</t>
  </si>
  <si>
    <t xml:space="preserve">Kahaluu-1 </t>
  </si>
  <si>
    <t>Cordyline virus 2</t>
  </si>
  <si>
    <t>SJ1</t>
  </si>
  <si>
    <t>Cordyline virus 3</t>
  </si>
  <si>
    <t>Cordyline virus 4</t>
  </si>
  <si>
    <t>HE588185</t>
  </si>
  <si>
    <t xml:space="preserve">AA42 </t>
  </si>
  <si>
    <t>Y10237</t>
  </si>
  <si>
    <t>UW2</t>
  </si>
  <si>
    <t>Pseudoalteromonas virus PM2</t>
  </si>
  <si>
    <t>Pseudomonas virus phi6</t>
  </si>
  <si>
    <t>Basella alba endornavirus 1</t>
  </si>
  <si>
    <t>Rubra</t>
  </si>
  <si>
    <t>JN019858</t>
  </si>
  <si>
    <t xml:space="preserve">BPEV-YW </t>
  </si>
  <si>
    <t>AB218287</t>
  </si>
  <si>
    <t>1-670</t>
  </si>
  <si>
    <t>AB014344</t>
  </si>
  <si>
    <t>W-1714</t>
  </si>
  <si>
    <t>D32136</t>
  </si>
  <si>
    <t>Fukuhara</t>
  </si>
  <si>
    <t>Persea americana endornavirus 1</t>
  </si>
  <si>
    <t>Fuerte</t>
  </si>
  <si>
    <t>AB719397</t>
  </si>
  <si>
    <t xml:space="preserve">Brazil </t>
  </si>
  <si>
    <t>AB719398</t>
  </si>
  <si>
    <t>AJ877914</t>
  </si>
  <si>
    <t>USA:Oregon</t>
  </si>
  <si>
    <t>Sclerotinia sclerotiorum endornavirus 1</t>
  </si>
  <si>
    <t>AJ000929</t>
  </si>
  <si>
    <t>Yerba mate endornavirus 1</t>
  </si>
  <si>
    <t>INTA</t>
  </si>
  <si>
    <t>X07234</t>
  </si>
  <si>
    <t>AY370762</t>
  </si>
  <si>
    <t>EU030938</t>
  </si>
  <si>
    <t>EU030939</t>
  </si>
  <si>
    <t>FJ870916</t>
  </si>
  <si>
    <t>AY388628</t>
  </si>
  <si>
    <t>AY423772</t>
  </si>
  <si>
    <t>FJ870917</t>
  </si>
  <si>
    <t>FJ870915</t>
  </si>
  <si>
    <t>Abutilon golden mosaic virus</t>
  </si>
  <si>
    <t>2015.015a,bP.A.v3.Begomovirus_sprem</t>
  </si>
  <si>
    <t>Capraria yellow spot virus</t>
  </si>
  <si>
    <t>Cassava mosaic Madagascar virus</t>
  </si>
  <si>
    <t>Catharanthus yellow mosaic virus</t>
  </si>
  <si>
    <t>Chenopodium leaf curl virus</t>
  </si>
  <si>
    <t>Chilli leaf curl India virus</t>
  </si>
  <si>
    <t>Chilli leaf curl Kanpur virus</t>
  </si>
  <si>
    <t>Chilli leaf curl Vellanad virus</t>
  </si>
  <si>
    <t>Clerodendron yellow mosaic virus</t>
  </si>
  <si>
    <t>Clerodendrum golden mosaic China virus</t>
  </si>
  <si>
    <t>Clerodendrum golden mosaic Jiangsu virus</t>
  </si>
  <si>
    <t>Corchorus yellow vein mosaic virus</t>
  </si>
  <si>
    <t>Cotton chlorotic spot virus</t>
  </si>
  <si>
    <t>Crassocephalum yellow vein virus</t>
  </si>
  <si>
    <t>Emilia yellow vein virus</t>
  </si>
  <si>
    <t>French bean leaf curl virus</t>
  </si>
  <si>
    <t>Hedyotis uncinella yellow mosaic virus</t>
  </si>
  <si>
    <t>Hemidesmus yellow mosaic virus</t>
  </si>
  <si>
    <t>Jatropha leaf curl virus</t>
  </si>
  <si>
    <t>Jatropha mosaic Nigeria virus</t>
  </si>
  <si>
    <t>Jatropha mosaic virus</t>
  </si>
  <si>
    <t>Jatropha yellow mosaic virus</t>
  </si>
  <si>
    <t>Malvastrum leaf curl Philippines virus</t>
  </si>
  <si>
    <t>Mesta yellow vein mosaic Bahraich virus</t>
  </si>
  <si>
    <t>Pepper yellow leaf curl virus</t>
  </si>
  <si>
    <t>Pouzolzia golden mosaic virus</t>
  </si>
  <si>
    <t>Pouzolzia mosaic Guangdong virus</t>
  </si>
  <si>
    <t>Premna leaf curl virus</t>
  </si>
  <si>
    <t>Rhynchosia yellow mosaic India virus</t>
  </si>
  <si>
    <t>Sauropus leaf curl virus</t>
  </si>
  <si>
    <t>Sida ciliaris golden mosaic virus</t>
  </si>
  <si>
    <t>Sida common mosaic virus</t>
  </si>
  <si>
    <t>Sida golden mosaic Brazil virus</t>
  </si>
  <si>
    <t>Sida golden mosaic Lara virus</t>
  </si>
  <si>
    <t>Sida yellow leaf curl virus</t>
  </si>
  <si>
    <t>Sidastrum golden leaf spot virus</t>
  </si>
  <si>
    <t>Soybean chlorotic blotch virus</t>
  </si>
  <si>
    <t>Spinach yellow vein virus</t>
  </si>
  <si>
    <t>Sunn hemp leaf distortion virus</t>
  </si>
  <si>
    <t>Sweet potato leaf curl Henan virus</t>
  </si>
  <si>
    <t>Sweet potato leaf curl Sichuan virus 1</t>
  </si>
  <si>
    <t>Sweet potato leaf curl Sichuan virus 2</t>
  </si>
  <si>
    <t>Tobacco leaf curl Comoros virus</t>
  </si>
  <si>
    <t>Tomato bright yellow mosaic virus</t>
  </si>
  <si>
    <t>Tomato bright yellow mottle virus</t>
  </si>
  <si>
    <t>Tomato golden leaf distortion virus</t>
  </si>
  <si>
    <t>Tomato interveinal chlorosis virus</t>
  </si>
  <si>
    <t>Tomato leaf curl Liwa virus</t>
  </si>
  <si>
    <t>Tomato leaf curl New Delhi virus 2</t>
  </si>
  <si>
    <t>Tomato leaf curl New Delhi virus 4</t>
  </si>
  <si>
    <t>Tomato leaf curl Palampur virus</t>
  </si>
  <si>
    <t>Tomato leaf curl Patna virus</t>
  </si>
  <si>
    <t>Tomato leaf curl Rajasthan virus</t>
  </si>
  <si>
    <t>Tomato leaf curl Sulawesi virus</t>
  </si>
  <si>
    <t>Velvet bean severe mosaic virus</t>
  </si>
  <si>
    <t>Vigna yellow mosaic virus</t>
  </si>
  <si>
    <t>Axonopus compressus streak virus</t>
  </si>
  <si>
    <t>ACSV [NG-g84-oba-2007]</t>
  </si>
  <si>
    <t>Sugarcane white streak virus</t>
  </si>
  <si>
    <t>SWSA-A [SD-VARX-2013]</t>
  </si>
  <si>
    <t>Switchgrass mosaic-associated virus</t>
  </si>
  <si>
    <t>SgMaV-1 [US-DB-2012]</t>
  </si>
  <si>
    <t>Genomoviridae</t>
  </si>
  <si>
    <t>Gemycircularvirus</t>
  </si>
  <si>
    <t>Sclerotinia gemycircularvirus 1</t>
  </si>
  <si>
    <t>GQ365709</t>
  </si>
  <si>
    <t>Sclerotinia sclerotiorum hypovirulence associated DNA virus 1</t>
  </si>
  <si>
    <t>AJ635161</t>
  </si>
  <si>
    <t>AY722806</t>
  </si>
  <si>
    <t>HE580237</t>
  </si>
  <si>
    <t>Long-fingered bat hepatitis B virus</t>
  </si>
  <si>
    <t>2015.009a,bD.A.v3.Orthohepadnavirus_2sp</t>
  </si>
  <si>
    <t>Roundleaf bat hepatitis B virus</t>
  </si>
  <si>
    <t>roundleaf bat hepatitis B virus</t>
  </si>
  <si>
    <t>Tent-making bat hepatitis B virus</t>
  </si>
  <si>
    <t>tent-making bat hepatitis B virus</t>
  </si>
  <si>
    <t>DQ861913</t>
  </si>
  <si>
    <t xml:space="preserve">EP721 </t>
  </si>
  <si>
    <t>L29010</t>
  </si>
  <si>
    <t>NB58</t>
  </si>
  <si>
    <t>AF188515</t>
  </si>
  <si>
    <t>Michigan WY</t>
  </si>
  <si>
    <t>AY307099</t>
  </si>
  <si>
    <t>SR2</t>
  </si>
  <si>
    <t>Escherichia virus AE2</t>
  </si>
  <si>
    <t>ssDNA(+)</t>
  </si>
  <si>
    <t>Escherichia virus DeltaA</t>
  </si>
  <si>
    <t>Escherichia virus Ec9</t>
  </si>
  <si>
    <t>Escherichia virus f1</t>
  </si>
  <si>
    <t>Escherichia virus fd</t>
  </si>
  <si>
    <t>Escherichia virus HR</t>
  </si>
  <si>
    <t>Escherichia virus I22</t>
  </si>
  <si>
    <t>Escherichia virus If1</t>
  </si>
  <si>
    <t>Escherichia virus M13</t>
  </si>
  <si>
    <t>Escherichia virus PR64FS</t>
  </si>
  <si>
    <t>Escherichia virus SF</t>
  </si>
  <si>
    <t>Escherichia virus tf1</t>
  </si>
  <si>
    <t>Escherichia virus X</t>
  </si>
  <si>
    <t>Escherichia virus X2</t>
  </si>
  <si>
    <t>Escherichia virus ZJ2</t>
  </si>
  <si>
    <t>Pseudomonas virus Pf1</t>
  </si>
  <si>
    <t>Pseudomonas virus Pf2</t>
  </si>
  <si>
    <t>Pseudomonas virus Pf3</t>
  </si>
  <si>
    <t>Salmonella virus C2</t>
  </si>
  <si>
    <t>Salmonella virus IKe</t>
  </si>
  <si>
    <t>Vibrio virus 493</t>
  </si>
  <si>
    <t>Vibrio virus CTXphi</t>
  </si>
  <si>
    <t>Vibrio virus fs1</t>
  </si>
  <si>
    <t>Vibrio virus fs2</t>
  </si>
  <si>
    <t>Vibrio virus v6</t>
  </si>
  <si>
    <t>Vibrio virus Vf12</t>
  </si>
  <si>
    <t>Vibrio virus Vf33</t>
  </si>
  <si>
    <t>Vibrio virus VSK</t>
  </si>
  <si>
    <t>Xanthomonas virus Cf16</t>
  </si>
  <si>
    <t>Xanthomonas virus Cf1c</t>
  </si>
  <si>
    <t>Xanthomonas virus Cf1t</t>
  </si>
  <si>
    <t>Xanthomonas virus Cf1tv</t>
  </si>
  <si>
    <t>Xanthomonas virus Lf</t>
  </si>
  <si>
    <t>Xanthomonas virus Xf</t>
  </si>
  <si>
    <t>Xanthomonas virus Xfo</t>
  </si>
  <si>
    <t>Xanthomonas virus Xfv</t>
  </si>
  <si>
    <t>Acholeplasma virus MV-L51</t>
  </si>
  <si>
    <t>Spiroplasma virus 1aa</t>
  </si>
  <si>
    <t>Spiroplasma virus C74</t>
  </si>
  <si>
    <t>Spiroplasma virus KC3</t>
  </si>
  <si>
    <t>Spiroplasma virus R8A2B</t>
  </si>
  <si>
    <t>Spiroplasma virus S102</t>
  </si>
  <si>
    <t>Spiroplasma virus T78</t>
  </si>
  <si>
    <t>Lavidaviridae</t>
  </si>
  <si>
    <t>Mavirus</t>
  </si>
  <si>
    <t>Cafeteriavirus-dependent mavirus</t>
  </si>
  <si>
    <t>HQ712116</t>
  </si>
  <si>
    <t>Maverick-related virus (Mavirus), strain Spezl</t>
  </si>
  <si>
    <t>Sputnikvirus</t>
  </si>
  <si>
    <t>Mimivirus-dependent virus Sputnik</t>
  </si>
  <si>
    <t>EU606015</t>
  </si>
  <si>
    <t>Sputnik virus 1</t>
  </si>
  <si>
    <t>Mimivirus-dependent virus Zamilon</t>
  </si>
  <si>
    <t>HG531932</t>
  </si>
  <si>
    <t>Zamilon virus</t>
  </si>
  <si>
    <t>Escherichia virus FI</t>
  </si>
  <si>
    <t>Escherichia virus Qbeta</t>
  </si>
  <si>
    <t>Escherichia virus BZ13</t>
  </si>
  <si>
    <t>Escherichia virus MS2</t>
  </si>
  <si>
    <t>KC571999</t>
  </si>
  <si>
    <t xml:space="preserve">K439 </t>
  </si>
  <si>
    <t>AF218798</t>
  </si>
  <si>
    <t>129 (group b)</t>
  </si>
  <si>
    <t>AF441393</t>
  </si>
  <si>
    <t>Domier</t>
  </si>
  <si>
    <t>EU024678</t>
  </si>
  <si>
    <t>AB038147</t>
  </si>
  <si>
    <t>strain YS, isolate M93-1</t>
  </si>
  <si>
    <t>AF352024</t>
  </si>
  <si>
    <t>2a</t>
  </si>
  <si>
    <t>X83110</t>
  </si>
  <si>
    <t>2ITB</t>
  </si>
  <si>
    <t>AF473561</t>
  </si>
  <si>
    <t>AY695933</t>
  </si>
  <si>
    <t>UK-1</t>
  </si>
  <si>
    <t>AF235168</t>
  </si>
  <si>
    <t>Mex-1</t>
  </si>
  <si>
    <t>AY956384</t>
  </si>
  <si>
    <t xml:space="preserve">Et-fb-am1 </t>
  </si>
  <si>
    <t>GU167940</t>
  </si>
  <si>
    <t xml:space="preserve">ARG </t>
  </si>
  <si>
    <t>X76931</t>
  </si>
  <si>
    <t>NY</t>
  </si>
  <si>
    <t>EU000534</t>
  </si>
  <si>
    <t xml:space="preserve">China:Beijing </t>
  </si>
  <si>
    <t>AB594828</t>
  </si>
  <si>
    <t>D00530</t>
  </si>
  <si>
    <t>JQ700308</t>
  </si>
  <si>
    <t xml:space="preserve">SABYV-TW19 </t>
  </si>
  <si>
    <t>AF157029</t>
  </si>
  <si>
    <t>A</t>
  </si>
  <si>
    <t>EF529624</t>
  </si>
  <si>
    <t xml:space="preserve">Longlin </t>
  </si>
  <si>
    <t>X13063</t>
  </si>
  <si>
    <t>FL-1</t>
  </si>
  <si>
    <t>1/W779</t>
  </si>
  <si>
    <t>Z11866</t>
  </si>
  <si>
    <t>McHale</t>
  </si>
  <si>
    <t>X13886</t>
  </si>
  <si>
    <t>Smyth</t>
  </si>
  <si>
    <t>M34549</t>
  </si>
  <si>
    <t>AB950</t>
  </si>
  <si>
    <t>M38526</t>
  </si>
  <si>
    <t>Levin</t>
  </si>
  <si>
    <t>L10324</t>
  </si>
  <si>
    <t>Weaver</t>
  </si>
  <si>
    <t>Bullavirinae</t>
  </si>
  <si>
    <t>Alpha3microvirus</t>
  </si>
  <si>
    <t>Escherichia virus alpha3</t>
  </si>
  <si>
    <t>Escherichia virus ID21</t>
  </si>
  <si>
    <t>Escherichia phage ID21</t>
  </si>
  <si>
    <t>Escherichia virus ID32</t>
  </si>
  <si>
    <t>Escherichia phage ID32</t>
  </si>
  <si>
    <t>Escherichia virus ID62</t>
  </si>
  <si>
    <t>Escherichia phage ID62</t>
  </si>
  <si>
    <t>Escherichia virus NC28</t>
  </si>
  <si>
    <t>Escherichia phage NC28</t>
  </si>
  <si>
    <t>Escherichia virus NC29</t>
  </si>
  <si>
    <t>Escherichia phage NC29</t>
  </si>
  <si>
    <t>Escherichia virus NC35</t>
  </si>
  <si>
    <t>Escherichia phage NC35</t>
  </si>
  <si>
    <t>Escherichia virus phiK</t>
  </si>
  <si>
    <t>Escherichia virus St1</t>
  </si>
  <si>
    <t>Escherichia virus WA45</t>
  </si>
  <si>
    <t>Escherichia phage WA45</t>
  </si>
  <si>
    <t>G4microvirus</t>
  </si>
  <si>
    <t>Escherichia virus G4</t>
  </si>
  <si>
    <t>Escherichia virus ID52</t>
  </si>
  <si>
    <t>Escherichia phage ID52</t>
  </si>
  <si>
    <t>Escherichia virus Talmos</t>
  </si>
  <si>
    <t>Escherichia phage ID2 Moscow/ID/2001</t>
  </si>
  <si>
    <t>Phix174microvirus</t>
  </si>
  <si>
    <t>Escherichia virus phiX174</t>
  </si>
  <si>
    <t>Bdellovibrio virus MAC1</t>
  </si>
  <si>
    <t>Bdellovibrio virus MH2K</t>
  </si>
  <si>
    <t>Chlamydia virus Chp1</t>
  </si>
  <si>
    <t>Chlamydia virus Chp2</t>
  </si>
  <si>
    <t>Chlamydia virus CPAR39</t>
  </si>
  <si>
    <t>Chlamydia virus CPG1</t>
  </si>
  <si>
    <t>Spiroplasma virus SpV4</t>
  </si>
  <si>
    <t xml:space="preserve">Q767 </t>
  </si>
  <si>
    <t xml:space="preserve">India:Kalimpong </t>
  </si>
  <si>
    <t>Black medic leaf roll virus</t>
  </si>
  <si>
    <t>BMLRV - [AZ,47]</t>
  </si>
  <si>
    <t xml:space="preserve">JKI-2000 </t>
  </si>
  <si>
    <t>EV1-93</t>
  </si>
  <si>
    <t xml:space="preserve">Eth-231 </t>
  </si>
  <si>
    <t xml:space="preserve">N </t>
  </si>
  <si>
    <t xml:space="preserve">Drohndorf-15 </t>
  </si>
  <si>
    <t>Pea yellow stunt virus</t>
  </si>
  <si>
    <t>PYSV- [AT,15]</t>
  </si>
  <si>
    <t>F</t>
  </si>
  <si>
    <t>L31849</t>
  </si>
  <si>
    <t>CpNB631</t>
  </si>
  <si>
    <t>AJ004930</t>
  </si>
  <si>
    <t>OnuLd</t>
  </si>
  <si>
    <t>AJ132754</t>
  </si>
  <si>
    <t>AJ132755</t>
  </si>
  <si>
    <t>AJ132756</t>
  </si>
  <si>
    <t>AF039063</t>
  </si>
  <si>
    <t>37-4C</t>
  </si>
  <si>
    <t>U90136</t>
  </si>
  <si>
    <t>Blueberry mosaic associated virus</t>
  </si>
  <si>
    <t>Arkansas-5</t>
  </si>
  <si>
    <t>P-121</t>
  </si>
  <si>
    <t>RNA3: DQ885455</t>
  </si>
  <si>
    <t xml:space="preserve">Fr220205/9 </t>
  </si>
  <si>
    <t>Belg-2</t>
  </si>
  <si>
    <t>LS301-O</t>
  </si>
  <si>
    <t>Dyochipapillomavirus</t>
  </si>
  <si>
    <t>Dyochipapillomavirus 1</t>
  </si>
  <si>
    <t>Equus asinus papillomavirus 1</t>
  </si>
  <si>
    <t>Dyokappapapillomavirus 2</t>
  </si>
  <si>
    <t>Rupicapra rupicapra papillomavirus 1</t>
  </si>
  <si>
    <t>Dyoomegapapillomavirus 1</t>
  </si>
  <si>
    <t>Eptesicus serotinus papillomavirus 2</t>
  </si>
  <si>
    <t>Dyophipapillomavirus</t>
  </si>
  <si>
    <t>Dyophipapillomavirus 1</t>
  </si>
  <si>
    <t>Talpa europaea papillomavirus 1</t>
  </si>
  <si>
    <t>Dyopsipapillomavirus</t>
  </si>
  <si>
    <t>Dyopsipapillomavirus 1</t>
  </si>
  <si>
    <t>Eptesicus serotinus papillomavirus 1</t>
  </si>
  <si>
    <t>Dyotaupapillomavirus</t>
  </si>
  <si>
    <t>Dyotaupapillomavirus 1</t>
  </si>
  <si>
    <t>Miniopterus schreibersii papillomavirus 1</t>
  </si>
  <si>
    <t>Dyoupsilonpapillomavirus</t>
  </si>
  <si>
    <t>Dyoupsilonpapillomavirus 1</t>
  </si>
  <si>
    <t>Eidolon helvum papillomavirus 1</t>
  </si>
  <si>
    <t>Gammapapillomavirus 21</t>
  </si>
  <si>
    <t>Human papillomavirus 167</t>
  </si>
  <si>
    <t>Gammapapillomavirus 22</t>
  </si>
  <si>
    <t>Human papillomavirus 172</t>
  </si>
  <si>
    <t>Gammapapillomavirus 23</t>
  </si>
  <si>
    <t>Human papillomavirus 175</t>
  </si>
  <si>
    <t>Gammapapillomavirus 24</t>
  </si>
  <si>
    <t>Human papillomavirus 178</t>
  </si>
  <si>
    <t>Gammapapillomavirus 25</t>
  </si>
  <si>
    <t>Human papillomavirus 184</t>
  </si>
  <si>
    <t>Gammapapillomavirus 26</t>
  </si>
  <si>
    <t>Human papillomavirus 187</t>
  </si>
  <si>
    <t>Mupapillomavirus 3</t>
  </si>
  <si>
    <t>Human papillomavirus 204</t>
  </si>
  <si>
    <t>Rhopapillomavirus 2</t>
  </si>
  <si>
    <t>Trichechus manatus papillomavirus 3</t>
  </si>
  <si>
    <t>Taupapillomavirus 3</t>
  </si>
  <si>
    <t>Felis catus papillomavirus 3</t>
  </si>
  <si>
    <t>Treisdeltapapillomavirus</t>
  </si>
  <si>
    <t>Treisdeltapapillomavirus 1</t>
  </si>
  <si>
    <t>Rhinolophus ferrumequinum papillomavirus 1</t>
  </si>
  <si>
    <t>Treisepsilonpapillomavirus</t>
  </si>
  <si>
    <t>Treisepsilonpapillomavirus 1</t>
  </si>
  <si>
    <t>Treisetapapillomavirus</t>
  </si>
  <si>
    <t>Treisetapapillomavirus 1</t>
  </si>
  <si>
    <t>Vulpes vulpes papillomavirus 1</t>
  </si>
  <si>
    <t>Treiszetapapillomavirus</t>
  </si>
  <si>
    <t>Treiszetapapillomavirus 1</t>
  </si>
  <si>
    <t>Fulmarus glacialis papillomavirus 1</t>
  </si>
  <si>
    <t>Xipapillomavirus 3</t>
  </si>
  <si>
    <t>Rangifer tarandus papillomavirus 2</t>
  </si>
  <si>
    <t xml:space="preserve">Hungary </t>
  </si>
  <si>
    <t xml:space="preserve">Canada:British Columbia:Mesachie Lake </t>
  </si>
  <si>
    <t>Magae</t>
  </si>
  <si>
    <t>RNA1: AB025903</t>
  </si>
  <si>
    <t>Osaki</t>
  </si>
  <si>
    <t xml:space="preserve">HetRV1-ab1 </t>
  </si>
  <si>
    <t>Heterobasidion partitivirus 12</t>
  </si>
  <si>
    <t>HetPV12-an1</t>
  </si>
  <si>
    <t>2015.003a,bF.A.v3.Partitiviridae_4sp</t>
  </si>
  <si>
    <t>Heterobasidion partitivirus 13</t>
  </si>
  <si>
    <t>HetPV13-an1</t>
  </si>
  <si>
    <t>Heterobasidion partitivirus 15</t>
  </si>
  <si>
    <t>HetPV15-pa1</t>
  </si>
  <si>
    <t xml:space="preserve">W57 </t>
  </si>
  <si>
    <t>Boccardo</t>
  </si>
  <si>
    <t>2H</t>
  </si>
  <si>
    <t xml:space="preserve">Fedora17 </t>
  </si>
  <si>
    <t>Deng</t>
  </si>
  <si>
    <t xml:space="preserve">IPP_IncarnatSK </t>
  </si>
  <si>
    <t xml:space="preserve">IPP_hortorum </t>
  </si>
  <si>
    <t>A11</t>
  </si>
  <si>
    <t xml:space="preserve">HetRV2-pa1 </t>
  </si>
  <si>
    <t>Heterobasidion partitivirus 7</t>
  </si>
  <si>
    <t>HetPV7-pa1</t>
  </si>
  <si>
    <t xml:space="preserve">HetRV8-pa1 </t>
  </si>
  <si>
    <t>RNA1: AF473549</t>
  </si>
  <si>
    <t>Ihrmark</t>
  </si>
  <si>
    <t xml:space="preserve">IPP_GelbSK </t>
  </si>
  <si>
    <t xml:space="preserve">IPP_Nemaro </t>
  </si>
  <si>
    <t>Japan:ayama</t>
  </si>
  <si>
    <t>KSU-1</t>
  </si>
  <si>
    <t>RNA2: S63913</t>
  </si>
  <si>
    <t>Xie</t>
  </si>
  <si>
    <t xml:space="preserve">BN13 </t>
  </si>
  <si>
    <t>RNA1: JN117276</t>
  </si>
  <si>
    <t xml:space="preserve">Jal-01 </t>
  </si>
  <si>
    <t xml:space="preserve">HW-01 </t>
  </si>
  <si>
    <t xml:space="preserve">FA0611 </t>
  </si>
  <si>
    <t>USA: 331</t>
  </si>
  <si>
    <t>Shimosaka</t>
  </si>
  <si>
    <t>Finland</t>
  </si>
  <si>
    <t xml:space="preserve">India </t>
  </si>
  <si>
    <t>Kim</t>
  </si>
  <si>
    <t>Acholeplasma virus L2</t>
  </si>
  <si>
    <t>Pleolipoviridae</t>
  </si>
  <si>
    <t>Alphapleolipovirus</t>
  </si>
  <si>
    <t>Haloarcula virus HHPV-1</t>
  </si>
  <si>
    <t>GU321093</t>
  </si>
  <si>
    <t>Haloarcula hispanica pleomorphic virus 1</t>
  </si>
  <si>
    <t>Haloarcula virus HHPV-2</t>
  </si>
  <si>
    <t>KF056323</t>
  </si>
  <si>
    <t>Haloarcula hispanica pleomorphic virus 2</t>
  </si>
  <si>
    <t>Halorubrum virus HRPV-1</t>
  </si>
  <si>
    <t>FJ685651</t>
  </si>
  <si>
    <t>Halorubrum pleomorphic virus 1</t>
  </si>
  <si>
    <t>Halorubrum virus HRPV-2</t>
  </si>
  <si>
    <t>JN882264</t>
  </si>
  <si>
    <t>Halorubrum pleomorphic virus 2</t>
  </si>
  <si>
    <t>Halorubrum virus HRPV-6</t>
  </si>
  <si>
    <t>JN882266</t>
  </si>
  <si>
    <t>Halorubrum pleomorphic virus 6</t>
  </si>
  <si>
    <t>Betapleolipovirus</t>
  </si>
  <si>
    <t>Halogeometricum virus HGPV-1</t>
  </si>
  <si>
    <t>JN882267</t>
  </si>
  <si>
    <t>Halogeometricum pleomorphic virus 1</t>
  </si>
  <si>
    <t>Halorubrum virus HRPV-3</t>
  </si>
  <si>
    <t>JN882265</t>
  </si>
  <si>
    <t>Halorubrum pleomorphic virus 3</t>
  </si>
  <si>
    <t>Gammapleolipovirus</t>
  </si>
  <si>
    <t>Haloarcula virus His2</t>
  </si>
  <si>
    <t>AF191797</t>
  </si>
  <si>
    <t>His2 virus</t>
  </si>
  <si>
    <t>Alphapolyomavirus</t>
  </si>
  <si>
    <t>Acerodon celebensis polyomavirus 1</t>
  </si>
  <si>
    <t>BatPyV5b-2</t>
  </si>
  <si>
    <t>Artibeus planirostris polyomavirus 2</t>
  </si>
  <si>
    <t>BatPyV-3a</t>
  </si>
  <si>
    <t>Artibeus planirostris polyomavirus 3</t>
  </si>
  <si>
    <t>BatPyV-4a</t>
  </si>
  <si>
    <t>Ateles paniscus polyomavirus 1</t>
  </si>
  <si>
    <t>ApanPyV1 isolate #1961</t>
  </si>
  <si>
    <t>Cardioderma cor polyomavirus 1</t>
  </si>
  <si>
    <t>CardiodermaPyV-KY336</t>
  </si>
  <si>
    <t>Carollia perspicillata polyomavirus 1</t>
  </si>
  <si>
    <t>BatPyV-4b</t>
  </si>
  <si>
    <t>Chlorocebus pygerythrus polyomavirus 1</t>
  </si>
  <si>
    <t>VmPyV1</t>
  </si>
  <si>
    <t>Chlorocebus pygerythrus polyomavirus 3</t>
  </si>
  <si>
    <t>VmPyV3</t>
  </si>
  <si>
    <t>Dobsonia moluccensis polyomavirus 1</t>
  </si>
  <si>
    <t>BatPyV5a</t>
  </si>
  <si>
    <t>Eidolon helvum polyomavirus 1</t>
  </si>
  <si>
    <t>EidolonPyV-KY270</t>
  </si>
  <si>
    <t>Gorilla gorilla polyomavirus 1</t>
  </si>
  <si>
    <t>GgorgPyV1 isolate #5766</t>
  </si>
  <si>
    <t>Human polyomavirus 5</t>
  </si>
  <si>
    <t>MCPyV isolate R17b</t>
  </si>
  <si>
    <t>Human polyomavirus 8</t>
  </si>
  <si>
    <t>TSPyV</t>
  </si>
  <si>
    <t>Human polyomavirus 9</t>
  </si>
  <si>
    <t>HPyV9 isolate #hu2540</t>
  </si>
  <si>
    <t>Human polyomavirus 12</t>
  </si>
  <si>
    <t>HPyV12 isolate #hu1403</t>
  </si>
  <si>
    <t>Human polyomavirus 13</t>
  </si>
  <si>
    <t>NJPyV isolate NJ-PyV-2013</t>
  </si>
  <si>
    <t>Macaca fascicularis polyomavirus 1</t>
  </si>
  <si>
    <t>MfasPyV1 isolate #2085</t>
  </si>
  <si>
    <t>Mesocricetus auratus polyomavirus 1</t>
  </si>
  <si>
    <t>Molossus molossus polyomavirus 1</t>
  </si>
  <si>
    <t>BatPyV-3b</t>
  </si>
  <si>
    <t>Mus musculus polyomavirus 1</t>
  </si>
  <si>
    <t>Otomops martiensseni polyomavirus 1</t>
  </si>
  <si>
    <t>OtomopsPyV-KY156</t>
  </si>
  <si>
    <t>Otomops martiensseni polyomavirus 2</t>
  </si>
  <si>
    <t>OtomopsPyV-KY157</t>
  </si>
  <si>
    <t>Pan troglodytes polyomavirus 1</t>
  </si>
  <si>
    <t>ChPyV-Bob</t>
  </si>
  <si>
    <t>Pan troglodytes polyomavirus 2</t>
  </si>
  <si>
    <t>PtrovPyV1a isolate #6444</t>
  </si>
  <si>
    <t>Pan troglodytes polyomavirus 3</t>
  </si>
  <si>
    <t>PtrovPyV2a isolate #6512</t>
  </si>
  <si>
    <t>Pan troglodytes polyomavirus 4</t>
  </si>
  <si>
    <t>PtrovPyV3 isolate #3161</t>
  </si>
  <si>
    <t>Pan troglodytes polyomavirus 5</t>
  </si>
  <si>
    <t>PtrovPyV4 isolate #3147</t>
  </si>
  <si>
    <t>Pan troglodytes polyomavirus 6</t>
  </si>
  <si>
    <t>PtrovPyV5 isolate #5743</t>
  </si>
  <si>
    <t>Pan troglodytes polyomavirus 7</t>
  </si>
  <si>
    <t>PtrosPyV2 isolate #6350</t>
  </si>
  <si>
    <t>Papio cynocephalus polyomavirus 1</t>
  </si>
  <si>
    <t>YbPyV1</t>
  </si>
  <si>
    <t>Piliocolobus rufomitratus polyomavirus 1</t>
  </si>
  <si>
    <t>PrufPyV1 isolate #4601</t>
  </si>
  <si>
    <t>Pongo abelii polyomavirus 1</t>
  </si>
  <si>
    <t>OraPyV-Pi</t>
  </si>
  <si>
    <t>Pongo pygmaeus polyomavirus 1</t>
  </si>
  <si>
    <t>OraPyV-Bo</t>
  </si>
  <si>
    <t>Procyon lotor polyomavirus 1</t>
  </si>
  <si>
    <t>RacPyV</t>
  </si>
  <si>
    <t>Pteropus vampyrus polyomavirus 1</t>
  </si>
  <si>
    <t>BatPyV5b-1</t>
  </si>
  <si>
    <t>Sturnira lilium polyomavirus 1</t>
  </si>
  <si>
    <t>BatPyV-B0454</t>
  </si>
  <si>
    <t>Betapolyomavirus</t>
  </si>
  <si>
    <t>Acerodon celebensis polyomavirus 2</t>
  </si>
  <si>
    <t>BatPyV6a</t>
  </si>
  <si>
    <t>Artibeus planirostris polyomavirus 1</t>
  </si>
  <si>
    <t>BatPyV-2c</t>
  </si>
  <si>
    <t>Cebus albifrons polyomavirus 1</t>
  </si>
  <si>
    <t>CalbPyV1 isolate #2141</t>
  </si>
  <si>
    <t>Cercopithecus erythrotis polyomavirus 1</t>
  </si>
  <si>
    <t>CeryPyV1 isolate #4077</t>
  </si>
  <si>
    <t>Chlorocebus pygerythrus polyomavirus 2</t>
  </si>
  <si>
    <t>VmPyV2</t>
  </si>
  <si>
    <t>Desmodus rotundus polyomavirus 1</t>
  </si>
  <si>
    <t>BatPyV2a</t>
  </si>
  <si>
    <t>Dobsonia moluccensis polyomavirus 2</t>
  </si>
  <si>
    <t>BatPyV6b</t>
  </si>
  <si>
    <t>Dobsonia moluccensis polyomavirus 3</t>
  </si>
  <si>
    <t>BatPyV6c</t>
  </si>
  <si>
    <t>Equus caballus polyomavirus 1</t>
  </si>
  <si>
    <t>EPyV isolate CU03</t>
  </si>
  <si>
    <t>Human polyomavirus 1</t>
  </si>
  <si>
    <t>Human polyomavirus 2</t>
  </si>
  <si>
    <t>Human polyomavirus 3</t>
  </si>
  <si>
    <t>KIPyV strain Stockholm 60</t>
  </si>
  <si>
    <t>Human polyomavirus 4</t>
  </si>
  <si>
    <t>WUPyV</t>
  </si>
  <si>
    <t>Loxodonta africana polyomavirus 1</t>
  </si>
  <si>
    <t>AelPyV1</t>
  </si>
  <si>
    <t>Macaca mulatta polyomavirus 1</t>
  </si>
  <si>
    <t>Mastomys natalensis polyomavirus 1</t>
  </si>
  <si>
    <t>MasPyV</t>
  </si>
  <si>
    <t>Meles meles polyomavirus 1</t>
  </si>
  <si>
    <t>MmelPyV1-FR</t>
  </si>
  <si>
    <t>Miniopterus africanus polyomavirus 1</t>
  </si>
  <si>
    <t>MiniopterusPyV-KY369</t>
  </si>
  <si>
    <t>Mus musculus polyomavirus 2</t>
  </si>
  <si>
    <t>Myotis lucifugus polyomavirus 1</t>
  </si>
  <si>
    <t>MyoPyV isolate VM2008_14</t>
  </si>
  <si>
    <t>Papio cynocephalus polyomavirus 2</t>
  </si>
  <si>
    <t>YbPyV2</t>
  </si>
  <si>
    <t>Pteronotus davyi polyomavirus 1</t>
  </si>
  <si>
    <t>PteronotusPyV-GTM203</t>
  </si>
  <si>
    <t>Pteronotus parnellii polyomavirus 1</t>
  </si>
  <si>
    <t>BatPyV-2b</t>
  </si>
  <si>
    <t>Saimiri boliviensis polyomavirus 1</t>
  </si>
  <si>
    <t>SqPyV isolate Squi0106</t>
  </si>
  <si>
    <t>Saimiri sciureus polyomavirus 1</t>
  </si>
  <si>
    <t>SsciPyV1 isolate #2033</t>
  </si>
  <si>
    <t>Zalophus californianus polyomavirus 1</t>
  </si>
  <si>
    <t>SLPyV, CSLPyV</t>
  </si>
  <si>
    <t>Deltapolyomavirus</t>
  </si>
  <si>
    <t>Human polyomavirus 6</t>
  </si>
  <si>
    <t>HPyV6 strain 607a</t>
  </si>
  <si>
    <t>Human polyomavirus 7</t>
  </si>
  <si>
    <t>HPyV7 strain 713a</t>
  </si>
  <si>
    <t>Human polyomavirus 10</t>
  </si>
  <si>
    <t>MWPyV strain MA095</t>
  </si>
  <si>
    <t>Human polyomavirus 11</t>
  </si>
  <si>
    <t>StLPyV strain MA138</t>
  </si>
  <si>
    <t>Gammapolyomavirus</t>
  </si>
  <si>
    <t>Anser anser polyomavirus 1</t>
  </si>
  <si>
    <t>GHPyV</t>
  </si>
  <si>
    <t>Aves polyomavirus 1</t>
  </si>
  <si>
    <t>Corvus monedula polyomavirus 1</t>
  </si>
  <si>
    <t>CPyV</t>
  </si>
  <si>
    <t>Cracticus torquatus polyomavirus 1</t>
  </si>
  <si>
    <t>Butcherbird PyV</t>
  </si>
  <si>
    <t>Pygoscelis adeliae polyomavirus 1</t>
  </si>
  <si>
    <t>AdPyV</t>
  </si>
  <si>
    <t>Pyrrhula pyrrhula polyomavirus 1</t>
  </si>
  <si>
    <t>FPyV</t>
  </si>
  <si>
    <t>Serinus canaria polyomavirus 1</t>
  </si>
  <si>
    <t>CaPyV</t>
  </si>
  <si>
    <t>Bos taurus polyomavirus 1</t>
  </si>
  <si>
    <t>Centropristis striata polyomavirus 1</t>
  </si>
  <si>
    <t>Black sea bass polyomavirus 1</t>
  </si>
  <si>
    <t>Delphinus delphis polyomavirus 1</t>
  </si>
  <si>
    <t>X99487</t>
  </si>
  <si>
    <t>Di Serio</t>
  </si>
  <si>
    <t>X17696</t>
  </si>
  <si>
    <t>X17101</t>
  </si>
  <si>
    <t>Rezaian</t>
  </si>
  <si>
    <t>U21125</t>
  </si>
  <si>
    <t>AF447788</t>
  </si>
  <si>
    <t>E21a</t>
  </si>
  <si>
    <t>EF617306</t>
  </si>
  <si>
    <t xml:space="preserve">Spain </t>
  </si>
  <si>
    <t>AB019508</t>
  </si>
  <si>
    <t>JCVd 1</t>
  </si>
  <si>
    <t>AF059712</t>
  </si>
  <si>
    <t>type 3</t>
  </si>
  <si>
    <t>J04348</t>
  </si>
  <si>
    <t>Koltunow</t>
  </si>
  <si>
    <t>D12823</t>
  </si>
  <si>
    <t>X14638</t>
  </si>
  <si>
    <t>Saenger</t>
  </si>
  <si>
    <t>J02049</t>
  </si>
  <si>
    <t>ccrna1-fast</t>
  </si>
  <si>
    <t>M20731</t>
  </si>
  <si>
    <t>Keese</t>
  </si>
  <si>
    <t>X07397</t>
  </si>
  <si>
    <t>X52960</t>
  </si>
  <si>
    <t>Spieker</t>
  </si>
  <si>
    <t>X95365</t>
  </si>
  <si>
    <t>RL</t>
  </si>
  <si>
    <t>X95290</t>
  </si>
  <si>
    <t>FR</t>
  </si>
  <si>
    <t>X06719</t>
  </si>
  <si>
    <t>citrus 2</t>
  </si>
  <si>
    <t>V01107</t>
  </si>
  <si>
    <t>Haseloff</t>
  </si>
  <si>
    <t>J02053</t>
  </si>
  <si>
    <t>Gross</t>
  </si>
  <si>
    <t>X15663</t>
  </si>
  <si>
    <t>X95734</t>
  </si>
  <si>
    <t>FJ409044</t>
  </si>
  <si>
    <t>Verhoeven</t>
  </si>
  <si>
    <t>V01465</t>
  </si>
  <si>
    <t>K00818</t>
  </si>
  <si>
    <t>Kiefer</t>
  </si>
  <si>
    <t>AF162131</t>
  </si>
  <si>
    <t>Singh</t>
  </si>
  <si>
    <t>K00817</t>
  </si>
  <si>
    <t>AY994084</t>
  </si>
  <si>
    <t>Arkansas 3</t>
  </si>
  <si>
    <t>UK-F</t>
  </si>
  <si>
    <t>China: Yancheng</t>
  </si>
  <si>
    <t>UK Cranbrook</t>
  </si>
  <si>
    <t>GQ329864</t>
  </si>
  <si>
    <t>Kiabakan</t>
  </si>
  <si>
    <t>AY578085</t>
  </si>
  <si>
    <t>ALM32</t>
  </si>
  <si>
    <t>EU259611</t>
  </si>
  <si>
    <t xml:space="preserve">Florida </t>
  </si>
  <si>
    <t>Z73124</t>
  </si>
  <si>
    <t>Colinet</t>
  </si>
  <si>
    <t>HE600072</t>
  </si>
  <si>
    <t xml:space="preserve">Ethiopia </t>
  </si>
  <si>
    <t>FJ039520</t>
  </si>
  <si>
    <t xml:space="preserve">MLB3 </t>
  </si>
  <si>
    <t>AB710145</t>
  </si>
  <si>
    <t xml:space="preserve">PES3 </t>
  </si>
  <si>
    <t>Caladenia virus A</t>
  </si>
  <si>
    <t>KP1</t>
  </si>
  <si>
    <t>GQ388116</t>
  </si>
  <si>
    <t xml:space="preserve">PAK </t>
  </si>
  <si>
    <t>FJ263671</t>
  </si>
  <si>
    <t xml:space="preserve">U06-123 </t>
  </si>
  <si>
    <t>EU410442</t>
  </si>
  <si>
    <t xml:space="preserve">H4 </t>
  </si>
  <si>
    <t>HM363516</t>
  </si>
  <si>
    <t xml:space="preserve">Ce </t>
  </si>
  <si>
    <t>DQ925486</t>
  </si>
  <si>
    <t xml:space="preserve">C-17 </t>
  </si>
  <si>
    <t>KJ830760</t>
  </si>
  <si>
    <t xml:space="preserve">DSMZ PV-0954 </t>
  </si>
  <si>
    <t>DQ851496</t>
  </si>
  <si>
    <t>DQ851494</t>
  </si>
  <si>
    <t>Vietnam Haiphong</t>
  </si>
  <si>
    <t>AY138897</t>
  </si>
  <si>
    <t>Washington</t>
  </si>
  <si>
    <t>U34972</t>
  </si>
  <si>
    <t>U47033</t>
  </si>
  <si>
    <t>AY206394</t>
  </si>
  <si>
    <t>Wa</t>
  </si>
  <si>
    <t xml:space="preserve">SP01 </t>
  </si>
  <si>
    <t>EU250210</t>
  </si>
  <si>
    <t xml:space="preserve">B12 </t>
  </si>
  <si>
    <t>JN052072</t>
  </si>
  <si>
    <t>JX867236</t>
  </si>
  <si>
    <t xml:space="preserve">Korea-DJ </t>
  </si>
  <si>
    <t>AB551370</t>
  </si>
  <si>
    <t>BR-Campinas</t>
  </si>
  <si>
    <t xml:space="preserve">m19 </t>
  </si>
  <si>
    <t>GQ421689</t>
  </si>
  <si>
    <t>JX156434</t>
  </si>
  <si>
    <t xml:space="preserve">CTLV-Cs </t>
  </si>
  <si>
    <t>Catharanthus mosaic virus</t>
  </si>
  <si>
    <t>Welwitchia</t>
  </si>
  <si>
    <t>HQ676607</t>
  </si>
  <si>
    <t>JN008909</t>
  </si>
  <si>
    <t xml:space="preserve">HN/14 </t>
  </si>
  <si>
    <t>AJ237843</t>
  </si>
  <si>
    <t>India pepper vein banding virus</t>
  </si>
  <si>
    <t>AB011819</t>
  </si>
  <si>
    <t>AF499738</t>
  </si>
  <si>
    <t>Goetz &amp; Maiss</t>
  </si>
  <si>
    <t>JQ801448</t>
  </si>
  <si>
    <t>AF348210</t>
  </si>
  <si>
    <t>Zimbabwe</t>
  </si>
  <si>
    <t xml:space="preserve">Marijiniup 7 </t>
  </si>
  <si>
    <t>DQ299908</t>
  </si>
  <si>
    <t>Czech Republic</t>
  </si>
  <si>
    <t>AJ298033</t>
  </si>
  <si>
    <t>China M13</t>
  </si>
  <si>
    <t>Donkey orchid virus A</t>
  </si>
  <si>
    <t>AB246773</t>
  </si>
  <si>
    <t xml:space="preserve">AO </t>
  </si>
  <si>
    <t>FM206346</t>
  </si>
  <si>
    <t>AM039800</t>
  </si>
  <si>
    <t>China Pan'an</t>
  </si>
  <si>
    <t>EF427894</t>
  </si>
  <si>
    <t xml:space="preserve">CB </t>
  </si>
  <si>
    <t xml:space="preserve">Ha-1 </t>
  </si>
  <si>
    <t>HQ161081</t>
  </si>
  <si>
    <t>JQ395040</t>
  </si>
  <si>
    <t xml:space="preserve">Marijiniup 1 </t>
  </si>
  <si>
    <t>AB016500</t>
  </si>
  <si>
    <t>Z26920</t>
  </si>
  <si>
    <t>Gough &amp; Shukla</t>
  </si>
  <si>
    <t xml:space="preserve">Cheongwon </t>
  </si>
  <si>
    <t>AB219545</t>
  </si>
  <si>
    <t xml:space="preserve">KoMV-F </t>
  </si>
  <si>
    <t>AJ307057</t>
  </si>
  <si>
    <t>China Yuhang</t>
  </si>
  <si>
    <t>X97704</t>
  </si>
  <si>
    <t>AJ564636</t>
  </si>
  <si>
    <t>Sorbonne</t>
  </si>
  <si>
    <t xml:space="preserve">LU2 </t>
  </si>
  <si>
    <t>AJ001691</t>
  </si>
  <si>
    <t>Bulgaria</t>
  </si>
  <si>
    <t>EF579955</t>
  </si>
  <si>
    <t xml:space="preserve">TN05-76 </t>
  </si>
  <si>
    <t>AM182028</t>
  </si>
  <si>
    <t>Zhangzhou</t>
  </si>
  <si>
    <t>JQ326210</t>
  </si>
  <si>
    <t xml:space="preserve">China:Fujian, Zhangzhou </t>
  </si>
  <si>
    <t>AM158908</t>
  </si>
  <si>
    <t>AJ510223</t>
  </si>
  <si>
    <t>JQ807995</t>
  </si>
  <si>
    <t>China 2</t>
  </si>
  <si>
    <t>AB088221</t>
  </si>
  <si>
    <t>P</t>
  </si>
  <si>
    <t>AY010722</t>
  </si>
  <si>
    <t>Thailand W</t>
  </si>
  <si>
    <t>HQ122652</t>
  </si>
  <si>
    <t xml:space="preserve">Australia MU2 </t>
  </si>
  <si>
    <t>D10930</t>
  </si>
  <si>
    <t>DPD1</t>
  </si>
  <si>
    <t>AF023848</t>
  </si>
  <si>
    <t>M</t>
  </si>
  <si>
    <t>AY642590</t>
  </si>
  <si>
    <t>China B</t>
  </si>
  <si>
    <t>AF501591</t>
  </si>
  <si>
    <t>AM181350</t>
  </si>
  <si>
    <t>DQ645484</t>
  </si>
  <si>
    <t>AB541985</t>
  </si>
  <si>
    <t>strain DF, isolate Pi-15</t>
  </si>
  <si>
    <t>AJ516010</t>
  </si>
  <si>
    <t>PPK11</t>
  </si>
  <si>
    <t>X16415</t>
  </si>
  <si>
    <t>JQ609095</t>
  </si>
  <si>
    <t xml:space="preserve">USA PA </t>
  </si>
  <si>
    <t>AF543212</t>
  </si>
  <si>
    <t>Ui</t>
  </si>
  <si>
    <t>AJ243766</t>
  </si>
  <si>
    <t>DV42</t>
  </si>
  <si>
    <t>X12456</t>
  </si>
  <si>
    <t>French N</t>
  </si>
  <si>
    <t>AJ316084</t>
  </si>
  <si>
    <t>China Hangzhou</t>
  </si>
  <si>
    <t>AJ865076</t>
  </si>
  <si>
    <t>China ZQ2</t>
  </si>
  <si>
    <t>AJ310197</t>
  </si>
  <si>
    <t>China XS</t>
  </si>
  <si>
    <t>D00507</t>
  </si>
  <si>
    <t>N</t>
  </si>
  <si>
    <t>AJ297628</t>
  </si>
  <si>
    <t>China HZ</t>
  </si>
  <si>
    <t>GU181199</t>
  </si>
  <si>
    <t xml:space="preserve">Common (C) </t>
  </si>
  <si>
    <t>Sunflower mild mosaic virus</t>
  </si>
  <si>
    <t>Entre Rios</t>
  </si>
  <si>
    <t>D86371</t>
  </si>
  <si>
    <t>KC443039</t>
  </si>
  <si>
    <t>JN613807</t>
  </si>
  <si>
    <t xml:space="preserve">GWB-2 </t>
  </si>
  <si>
    <t>AB509453</t>
  </si>
  <si>
    <t>Bungo</t>
  </si>
  <si>
    <t>JN613805</t>
  </si>
  <si>
    <t xml:space="preserve">GWB-G </t>
  </si>
  <si>
    <t>Tamarillo leaf malformation virus</t>
  </si>
  <si>
    <t>DQ851493</t>
  </si>
  <si>
    <t>Vietnam Hanoi</t>
  </si>
  <si>
    <t>AJ851866</t>
  </si>
  <si>
    <t>China Ningbo</t>
  </si>
  <si>
    <t>M11458</t>
  </si>
  <si>
    <t>HAT</t>
  </si>
  <si>
    <t>EF219408</t>
  </si>
  <si>
    <t xml:space="preserve">China YND </t>
  </si>
  <si>
    <t>X04083</t>
  </si>
  <si>
    <t xml:space="preserve">MX9354 </t>
  </si>
  <si>
    <t>AF169561</t>
  </si>
  <si>
    <t>UK1</t>
  </si>
  <si>
    <t>Vanilla distortion mosaic virus</t>
  </si>
  <si>
    <t>VDMV-Cor</t>
  </si>
  <si>
    <t xml:space="preserve">Michigan </t>
  </si>
  <si>
    <t>AY437609</t>
  </si>
  <si>
    <t>AJ437279</t>
  </si>
  <si>
    <t>DQ851495</t>
  </si>
  <si>
    <t>Vietnam Laichau</t>
  </si>
  <si>
    <t>AY656816</t>
  </si>
  <si>
    <t>China Beijing</t>
  </si>
  <si>
    <t>JX470965</t>
  </si>
  <si>
    <t>U42596</t>
  </si>
  <si>
    <t>Ivory Coast</t>
  </si>
  <si>
    <t>JN190431</t>
  </si>
  <si>
    <t>Peru SR</t>
  </si>
  <si>
    <t>AY626825</t>
  </si>
  <si>
    <t>TW</t>
  </si>
  <si>
    <t>JQ692088</t>
  </si>
  <si>
    <t xml:space="preserve">Shz </t>
  </si>
  <si>
    <t xml:space="preserve">Q10 </t>
  </si>
  <si>
    <t>AJ307036</t>
  </si>
  <si>
    <t>Hangzhou CU</t>
  </si>
  <si>
    <t>AY623626</t>
  </si>
  <si>
    <t>ND402</t>
  </si>
  <si>
    <t>AY623627</t>
  </si>
  <si>
    <t>ATCC PV81</t>
  </si>
  <si>
    <t>Y09854</t>
  </si>
  <si>
    <t>Z48506</t>
  </si>
  <si>
    <t>AY377938</t>
  </si>
  <si>
    <t>Type-NE</t>
  </si>
  <si>
    <t xml:space="preserve">Benesov </t>
  </si>
  <si>
    <t>EF608612</t>
  </si>
  <si>
    <t xml:space="preserve">Iran </t>
  </si>
  <si>
    <t>AF057533</t>
  </si>
  <si>
    <t>Sidney 81</t>
  </si>
  <si>
    <t>KF984546</t>
  </si>
  <si>
    <t xml:space="preserve">Sb </t>
  </si>
  <si>
    <t>JF280796</t>
  </si>
  <si>
    <t xml:space="preserve">Minnesota </t>
  </si>
  <si>
    <t>AF050215</t>
  </si>
  <si>
    <t>hOG759</t>
  </si>
  <si>
    <t>AF065434</t>
  </si>
  <si>
    <t>SC5314</t>
  </si>
  <si>
    <t>U19263</t>
  </si>
  <si>
    <t>Zou</t>
  </si>
  <si>
    <t>U90320</t>
  </si>
  <si>
    <t>UTEX 1885 (HK10)</t>
  </si>
  <si>
    <t>X69552</t>
  </si>
  <si>
    <t>Lindauer</t>
  </si>
  <si>
    <t>Y08010</t>
  </si>
  <si>
    <t>Herve</t>
  </si>
  <si>
    <t>AB021265</t>
  </si>
  <si>
    <t>Kuwahara</t>
  </si>
  <si>
    <t>AF039373</t>
  </si>
  <si>
    <t>Henikoff</t>
  </si>
  <si>
    <t>X13291</t>
  </si>
  <si>
    <t>Voytas</t>
  </si>
  <si>
    <t>Y12321</t>
  </si>
  <si>
    <t>Pastuglia</t>
  </si>
  <si>
    <t>U96748</t>
  </si>
  <si>
    <t>Bhattacharyya</t>
  </si>
  <si>
    <t>Z17327</t>
  </si>
  <si>
    <t>NK 1558</t>
  </si>
  <si>
    <t>X13777</t>
  </si>
  <si>
    <t>Rouze</t>
  </si>
  <si>
    <t>D83003</t>
  </si>
  <si>
    <t>Hirochika</t>
  </si>
  <si>
    <t>D85597</t>
  </si>
  <si>
    <t>Ohtsubo</t>
  </si>
  <si>
    <t>U72726</t>
  </si>
  <si>
    <t>IRBB21</t>
  </si>
  <si>
    <t>M18706</t>
  </si>
  <si>
    <t>Boeke</t>
  </si>
  <si>
    <t>X03840</t>
  </si>
  <si>
    <t>Warmington</t>
  </si>
  <si>
    <t>M94164</t>
  </si>
  <si>
    <t>C836</t>
  </si>
  <si>
    <t>X52387</t>
  </si>
  <si>
    <t>Brisson</t>
  </si>
  <si>
    <t>U12626</t>
  </si>
  <si>
    <t>White</t>
  </si>
  <si>
    <t>AF082133</t>
  </si>
  <si>
    <t>Marillonnet</t>
  </si>
  <si>
    <t>AY016208</t>
  </si>
  <si>
    <t>Peterson-Burch</t>
  </si>
  <si>
    <t>U68072</t>
  </si>
  <si>
    <t>Daraselia</t>
  </si>
  <si>
    <t>U68408</t>
  </si>
  <si>
    <t>SanMiguel</t>
  </si>
  <si>
    <t>U41000</t>
  </si>
  <si>
    <t>Turcich</t>
  </si>
  <si>
    <t>AJ005762</t>
  </si>
  <si>
    <t>Bachmair</t>
  </si>
  <si>
    <t xml:space="preserve">W1075 </t>
  </si>
  <si>
    <t xml:space="preserve">Netherlands </t>
  </si>
  <si>
    <t>Thailand</t>
  </si>
  <si>
    <t>Asamizu</t>
  </si>
  <si>
    <t>McQualter</t>
  </si>
  <si>
    <t>Argentina</t>
  </si>
  <si>
    <t>Izumo</t>
  </si>
  <si>
    <t>Uyeda</t>
  </si>
  <si>
    <t>China:Zhejiang</t>
  </si>
  <si>
    <t>Southern rice black-streaked dwarf virus</t>
  </si>
  <si>
    <t>SRBSDV/HN</t>
  </si>
  <si>
    <t>Suzuki</t>
  </si>
  <si>
    <t>Piscine orthoreovirus</t>
  </si>
  <si>
    <t>MH050607</t>
  </si>
  <si>
    <t>Sarthroviridae</t>
  </si>
  <si>
    <t>Macronovirus</t>
  </si>
  <si>
    <t>Macrobrachium satellite virus 1</t>
  </si>
  <si>
    <t>AY247793</t>
  </si>
  <si>
    <t>extra small virus</t>
  </si>
  <si>
    <t>Thermus virus IN93</t>
  </si>
  <si>
    <t>Thermus virus P23-77</t>
  </si>
  <si>
    <t>HE681887</t>
  </si>
  <si>
    <t>Bacillus virus AP50</t>
  </si>
  <si>
    <t>Bacillus virus Bam35</t>
  </si>
  <si>
    <t>Salmonella virus PRD1</t>
  </si>
  <si>
    <t>Thermus virus P37-14</t>
  </si>
  <si>
    <t>Alicyclobacillus virus NS11</t>
  </si>
  <si>
    <t>Alphacarmovirus</t>
  </si>
  <si>
    <t>DQ219415</t>
  </si>
  <si>
    <t>GQ244431</t>
  </si>
  <si>
    <t>AF192772</t>
  </si>
  <si>
    <t>Shanghai</t>
  </si>
  <si>
    <t>HQ677625</t>
  </si>
  <si>
    <t>EF207438</t>
  </si>
  <si>
    <t xml:space="preserve">Alaska </t>
  </si>
  <si>
    <t>AJ514833</t>
  </si>
  <si>
    <t>MZ10</t>
  </si>
  <si>
    <t>U72332</t>
  </si>
  <si>
    <t>Xiong</t>
  </si>
  <si>
    <t>X85989</t>
  </si>
  <si>
    <t>citrus</t>
  </si>
  <si>
    <t>AY616760</t>
  </si>
  <si>
    <t>GP</t>
  </si>
  <si>
    <t>M33002</t>
  </si>
  <si>
    <t>FM-1B</t>
  </si>
  <si>
    <t>DQ227315</t>
  </si>
  <si>
    <t xml:space="preserve">Israel </t>
  </si>
  <si>
    <t>AJ557804</t>
  </si>
  <si>
    <t>Iran</t>
  </si>
  <si>
    <t>EF589670</t>
  </si>
  <si>
    <t>AJ243370</t>
  </si>
  <si>
    <t>pigeonpea</t>
  </si>
  <si>
    <t>Yam spherical virus</t>
  </si>
  <si>
    <t>Nigerian isolate</t>
  </si>
  <si>
    <t>X83964</t>
  </si>
  <si>
    <t>Boonham</t>
  </si>
  <si>
    <t>Betacarmovirus</t>
  </si>
  <si>
    <t>L16015</t>
  </si>
  <si>
    <t>CL</t>
  </si>
  <si>
    <t>X86448</t>
  </si>
  <si>
    <t>D86123</t>
  </si>
  <si>
    <t>Takemoto</t>
  </si>
  <si>
    <t>M22445</t>
  </si>
  <si>
    <t>Carrington</t>
  </si>
  <si>
    <t>AF452884</t>
  </si>
  <si>
    <t>Cao</t>
  </si>
  <si>
    <t>X94560</t>
  </si>
  <si>
    <t>Lot</t>
  </si>
  <si>
    <t>U62546</t>
  </si>
  <si>
    <t>Kendall</t>
  </si>
  <si>
    <t>Y13463</t>
  </si>
  <si>
    <t>Ciuffreda</t>
  </si>
  <si>
    <t>Gammacarmovirus</t>
  </si>
  <si>
    <t>U20976</t>
  </si>
  <si>
    <t>You</t>
  </si>
  <si>
    <t>M29671</t>
  </si>
  <si>
    <t>Riviere</t>
  </si>
  <si>
    <t>AB086951</t>
  </si>
  <si>
    <t>FJ457015</t>
  </si>
  <si>
    <t xml:space="preserve">South Korea </t>
  </si>
  <si>
    <t>FJ768020</t>
  </si>
  <si>
    <t xml:space="preserve">Cauca </t>
  </si>
  <si>
    <t>X14736</t>
  </si>
  <si>
    <t>Nutter</t>
  </si>
  <si>
    <t>EU081018</t>
  </si>
  <si>
    <t xml:space="preserve">Scotland </t>
  </si>
  <si>
    <t>U55002</t>
  </si>
  <si>
    <t>USA:Kansas</t>
  </si>
  <si>
    <t xml:space="preserve">05TGP00369 </t>
  </si>
  <si>
    <t>Pelarspovirus</t>
  </si>
  <si>
    <t>ATCC:PV522</t>
  </si>
  <si>
    <t>GR57</t>
  </si>
  <si>
    <t>AY613852</t>
  </si>
  <si>
    <t>PV-0193</t>
  </si>
  <si>
    <t xml:space="preserve">DSMZ-PV0304 </t>
  </si>
  <si>
    <t xml:space="preserve">MN-3 </t>
  </si>
  <si>
    <t>X62493</t>
  </si>
  <si>
    <t>X85215</t>
  </si>
  <si>
    <t>Rubino</t>
  </si>
  <si>
    <t>AY163842</t>
  </si>
  <si>
    <t>M25270</t>
  </si>
  <si>
    <t>Rochon</t>
  </si>
  <si>
    <t>X15511</t>
  </si>
  <si>
    <t>JQ864181</t>
  </si>
  <si>
    <t xml:space="preserve">Israeli </t>
  </si>
  <si>
    <t>AY830918</t>
  </si>
  <si>
    <t>nipplefruit</t>
  </si>
  <si>
    <t>JX182425</t>
  </si>
  <si>
    <t xml:space="preserve">MPV-EM81 </t>
  </si>
  <si>
    <t>AJ607402</t>
  </si>
  <si>
    <t>Heinze</t>
  </si>
  <si>
    <t>M21958</t>
  </si>
  <si>
    <t>U57305</t>
  </si>
  <si>
    <t>FJ188473</t>
  </si>
  <si>
    <t xml:space="preserve">Weddel </t>
  </si>
  <si>
    <t>Z69910</t>
  </si>
  <si>
    <t>MC1</t>
  </si>
  <si>
    <t>AF402620</t>
  </si>
  <si>
    <t>Baoshan</t>
  </si>
  <si>
    <t>AF266518</t>
  </si>
  <si>
    <t>Louie</t>
  </si>
  <si>
    <t>L13218</t>
  </si>
  <si>
    <t>Wang</t>
  </si>
  <si>
    <t>M92355</t>
  </si>
  <si>
    <t>U32108</t>
  </si>
  <si>
    <t>J04692</t>
  </si>
  <si>
    <t>Icho</t>
  </si>
  <si>
    <t>U01060</t>
  </si>
  <si>
    <t>Bruenn</t>
  </si>
  <si>
    <t>KC610514</t>
  </si>
  <si>
    <t xml:space="preserve">NRRL Y-11571 </t>
  </si>
  <si>
    <t>HQ158596</t>
  </si>
  <si>
    <t xml:space="preserve">Buekk </t>
  </si>
  <si>
    <t>U01059</t>
  </si>
  <si>
    <t>P1H1</t>
  </si>
  <si>
    <t>JN997472</t>
  </si>
  <si>
    <t>Baeza</t>
  </si>
  <si>
    <t>JN997473</t>
  </si>
  <si>
    <t>U08999</t>
  </si>
  <si>
    <t>AF127178</t>
  </si>
  <si>
    <t>Bessarab</t>
  </si>
  <si>
    <t>AF325840</t>
  </si>
  <si>
    <t>HQ607520</t>
  </si>
  <si>
    <t xml:space="preserve">TVV4-OC3 </t>
  </si>
  <si>
    <t>HE588147</t>
  </si>
  <si>
    <t>Coutts</t>
  </si>
  <si>
    <t>HE572591</t>
  </si>
  <si>
    <t xml:space="preserve">Bb06/02 </t>
  </si>
  <si>
    <t>AY561500</t>
  </si>
  <si>
    <t>Park</t>
  </si>
  <si>
    <t>AF527633</t>
  </si>
  <si>
    <t>Cheng</t>
  </si>
  <si>
    <t>AM261427</t>
  </si>
  <si>
    <t xml:space="preserve">P23 </t>
  </si>
  <si>
    <t>AF337175</t>
  </si>
  <si>
    <t>type A, HR2</t>
  </si>
  <si>
    <t>AB085814</t>
  </si>
  <si>
    <t>U41345</t>
  </si>
  <si>
    <t>AB176964</t>
  </si>
  <si>
    <t>Yokoi</t>
  </si>
  <si>
    <t>AB300379</t>
  </si>
  <si>
    <t>Namba</t>
  </si>
  <si>
    <t>AB742454</t>
  </si>
  <si>
    <t xml:space="preserve">W1029 </t>
  </si>
  <si>
    <t>AF038665</t>
  </si>
  <si>
    <t>Preisig</t>
  </si>
  <si>
    <t>AF039080</t>
  </si>
  <si>
    <t>FR750562</t>
  </si>
  <si>
    <t xml:space="preserve">Spain:Castilla y Leon </t>
  </si>
  <si>
    <t>AY569307</t>
  </si>
  <si>
    <t>GU080336</t>
  </si>
  <si>
    <t>Albetovirus</t>
  </si>
  <si>
    <t>Tobacco albetovirus 1</t>
  </si>
  <si>
    <t>V01468</t>
  </si>
  <si>
    <t>satellite tobacco necrosis virus 1</t>
  </si>
  <si>
    <t>Tobacco albetovirus 2</t>
  </si>
  <si>
    <t>M64479</t>
  </si>
  <si>
    <t>satellite tobacco necrosis virus 2</t>
  </si>
  <si>
    <t>Tobacco albetovirus 3</t>
  </si>
  <si>
    <t>AJ000898</t>
  </si>
  <si>
    <t xml:space="preserve">satellite tobacco necrosis virus C </t>
  </si>
  <si>
    <t>Aumaivirus</t>
  </si>
  <si>
    <t>Maize aumaivirus 1</t>
  </si>
  <si>
    <t>M55012</t>
  </si>
  <si>
    <t>satellite maize white line mosaic virus</t>
  </si>
  <si>
    <t>Botybirnavirus</t>
  </si>
  <si>
    <t>Botrytis porri botybirnavirus 1</t>
  </si>
  <si>
    <t>JF716350, JF716351</t>
  </si>
  <si>
    <t>GarlicBc-72</t>
  </si>
  <si>
    <t xml:space="preserve">Cordeiropolis </t>
  </si>
  <si>
    <t>Mielke</t>
  </si>
  <si>
    <t xml:space="preserve">Gr10 </t>
  </si>
  <si>
    <t>High Plains wheat mosaic virus</t>
  </si>
  <si>
    <t>Wheat mosaic virus -Nebraska</t>
  </si>
  <si>
    <t xml:space="preserve">India:Patancheru, Andhra </t>
  </si>
  <si>
    <t xml:space="preserve">United Kingdom:Tayside </t>
  </si>
  <si>
    <t xml:space="preserve">USA:Arkansas </t>
  </si>
  <si>
    <t xml:space="preserve">WAI 1-1 </t>
  </si>
  <si>
    <t>R15</t>
  </si>
  <si>
    <t xml:space="preserve">IC </t>
  </si>
  <si>
    <t xml:space="preserve">VE450 </t>
  </si>
  <si>
    <t xml:space="preserve">VE9 </t>
  </si>
  <si>
    <t>Papanivirus</t>
  </si>
  <si>
    <t>Panicum papanivirus 1</t>
  </si>
  <si>
    <t>M17182</t>
  </si>
  <si>
    <t>satellite panicum mosaic virus</t>
  </si>
  <si>
    <t>AJ867490</t>
  </si>
  <si>
    <t>AF191796</t>
  </si>
  <si>
    <t>Sinaivirus</t>
  </si>
  <si>
    <t>Lake Sinai virus 1</t>
  </si>
  <si>
    <t>HQ871931</t>
  </si>
  <si>
    <t>Lake Sinai virus 2</t>
  </si>
  <si>
    <t>HQ888865</t>
  </si>
  <si>
    <t>Artemisia virus A</t>
  </si>
  <si>
    <t>Switzerland</t>
  </si>
  <si>
    <t>L40905</t>
  </si>
  <si>
    <t>Russia</t>
  </si>
  <si>
    <t>Cymbidium chlorotic mosaic virus</t>
  </si>
  <si>
    <t>Cym92-20</t>
  </si>
  <si>
    <t>AM990928</t>
  </si>
  <si>
    <t xml:space="preserve">Burkina Faso:South West Burkina Faso </t>
  </si>
  <si>
    <t>U31286</t>
  </si>
  <si>
    <t>New Zealand</t>
  </si>
  <si>
    <t>Papaya lethal yellowing virus</t>
  </si>
  <si>
    <t>L20893</t>
  </si>
  <si>
    <t>Rottboellia yellow mottle virus</t>
  </si>
  <si>
    <t>Nigeria</t>
  </si>
  <si>
    <t>AB040446</t>
  </si>
  <si>
    <t>AY004291</t>
  </si>
  <si>
    <t>Lokesh</t>
  </si>
  <si>
    <t>AF055887</t>
  </si>
  <si>
    <t>bean strain B</t>
  </si>
  <si>
    <t>M23021</t>
  </si>
  <si>
    <t>Wu</t>
  </si>
  <si>
    <t>AM940437</t>
  </si>
  <si>
    <t xml:space="preserve">United Kingdom:Scotland, Tayside </t>
  </si>
  <si>
    <t>Soybean yellow common mosaic virus</t>
  </si>
  <si>
    <t>AF208001</t>
  </si>
  <si>
    <t>p23</t>
  </si>
  <si>
    <t>AY177608</t>
  </si>
  <si>
    <t>Callaway</t>
  </si>
  <si>
    <t>HM754263</t>
  </si>
  <si>
    <t xml:space="preserve">K1 </t>
  </si>
  <si>
    <t>de Miranda</t>
  </si>
  <si>
    <t>Heydarnejad</t>
  </si>
  <si>
    <t>Huiet</t>
  </si>
  <si>
    <t>IRRI</t>
  </si>
  <si>
    <t>T</t>
  </si>
  <si>
    <t>Virtovirus</t>
  </si>
  <si>
    <t>Tobacco virtovirus 1</t>
  </si>
  <si>
    <t>M25782</t>
  </si>
  <si>
    <t>satellite tobacco mosaic virus</t>
  </si>
  <si>
    <t>China:Yantai</t>
  </si>
  <si>
    <t>JT</t>
  </si>
  <si>
    <t>United Kingdom</t>
  </si>
  <si>
    <t>France</t>
  </si>
  <si>
    <t>1988 wild-type</t>
  </si>
  <si>
    <t>Shirako</t>
  </si>
  <si>
    <t>Goravirus</t>
  </si>
  <si>
    <t>Drakaea virus A</t>
  </si>
  <si>
    <t>Canning Mills</t>
  </si>
  <si>
    <t>Gentian ovary ringspot virus</t>
  </si>
  <si>
    <t>Type</t>
  </si>
  <si>
    <t>RNA2: Z46351</t>
  </si>
  <si>
    <t>RNA2: M81486</t>
  </si>
  <si>
    <t>Agranovsky</t>
  </si>
  <si>
    <t>Hyderabad</t>
  </si>
  <si>
    <t>87/TGTA2</t>
  </si>
  <si>
    <t>Ahlum</t>
  </si>
  <si>
    <t>Sw</t>
  </si>
  <si>
    <t>DQ355023</t>
  </si>
  <si>
    <t>AM398436</t>
  </si>
  <si>
    <t>EU043335</t>
  </si>
  <si>
    <t xml:space="preserve">CMMoV-Kr </t>
  </si>
  <si>
    <t>JN566124</t>
  </si>
  <si>
    <t xml:space="preserve">Larrimah </t>
  </si>
  <si>
    <t>AF321057</t>
  </si>
  <si>
    <t>D12505</t>
  </si>
  <si>
    <t>SH</t>
  </si>
  <si>
    <t>AB261167</t>
  </si>
  <si>
    <t>Kubota</t>
  </si>
  <si>
    <t>HM026454</t>
  </si>
  <si>
    <t xml:space="preserve">P </t>
  </si>
  <si>
    <t>AB917427</t>
  </si>
  <si>
    <t>AF395898</t>
  </si>
  <si>
    <t xml:space="preserve">Singapore </t>
  </si>
  <si>
    <t>AJ295948</t>
  </si>
  <si>
    <t>DQ356949</t>
  </si>
  <si>
    <t>D13438</t>
  </si>
  <si>
    <t>TMV-Ob</t>
  </si>
  <si>
    <t>X82130</t>
  </si>
  <si>
    <t>ORSV</t>
  </si>
  <si>
    <t>AB089381</t>
  </si>
  <si>
    <t>HQ389540</t>
  </si>
  <si>
    <t>M81413</t>
  </si>
  <si>
    <t>JF729471</t>
  </si>
  <si>
    <t>EF375551</t>
  </si>
  <si>
    <t xml:space="preserve">Henan </t>
  </si>
  <si>
    <t>HQ667979</t>
  </si>
  <si>
    <t>AM040955</t>
  </si>
  <si>
    <t>Willingmann</t>
  </si>
  <si>
    <t>M34077</t>
  </si>
  <si>
    <t>Solis</t>
  </si>
  <si>
    <t>V01408</t>
  </si>
  <si>
    <t>variant 1</t>
  </si>
  <si>
    <t>AF332868</t>
  </si>
  <si>
    <t>Queensland</t>
  </si>
  <si>
    <t xml:space="preserve">MX5 </t>
  </si>
  <si>
    <t>U03387</t>
  </si>
  <si>
    <t>TuVCV-OSU</t>
  </si>
  <si>
    <t>AB017503</t>
  </si>
  <si>
    <t>Shizua</t>
  </si>
  <si>
    <t xml:space="preserve">Cervantes </t>
  </si>
  <si>
    <t>U30944</t>
  </si>
  <si>
    <t>OSRMV</t>
  </si>
  <si>
    <t>AJ295949</t>
  </si>
  <si>
    <t>Type strain K</t>
  </si>
  <si>
    <t>SP5</t>
  </si>
  <si>
    <t>CAM</t>
  </si>
  <si>
    <t>PpK20</t>
  </si>
  <si>
    <t>Taï Forest ebolavirus</t>
  </si>
  <si>
    <t>DeBrazza’s monkey arterivirus</t>
  </si>
  <si>
    <t>Nsé virus</t>
  </si>
  <si>
    <t>Méno virus</t>
  </si>
  <si>
    <t>5317015</t>
  </si>
  <si>
    <t>Kalanchoë latent virus</t>
  </si>
  <si>
    <t>38E23</t>
  </si>
  <si>
    <t>Amaparí mammarenavirus</t>
  </si>
  <si>
    <t>Junín mammarenavirus</t>
  </si>
  <si>
    <t>Paraná mammarenavirus</t>
  </si>
  <si>
    <t>Pichindé mammarenavirus</t>
  </si>
  <si>
    <t>Sabiá mammarenavirus</t>
  </si>
  <si>
    <t>1</t>
  </si>
  <si>
    <t>425</t>
  </si>
  <si>
    <t>Andes virus (ANDV), Bermejo virus (BMJV), Lechiguanas virus (LECV), Maciel virus (MCLV), Orán virus (ORNV), Pergamino virus (PRGV), Tunari virus (TUNV)</t>
  </si>
  <si>
    <t>Caño Delgadito virus (CADV)</t>
  </si>
  <si>
    <t>Maripa virus, Río Mamoré virus (RIOMV)</t>
  </si>
  <si>
    <t>Río Segundo virus (RIOSV)</t>
  </si>
  <si>
    <t>Anopheles A virus (ANAV), Arumateua virus (ARTV), Caraipé virus (CPEV), Las Maloyas virus (LMV), Lukuni virus (LUKV), Trombetas virus (TRMV), Tucuruí virus (TUC(R)V)</t>
  </si>
  <si>
    <t>Anopheles B virus (ANBV), Boracéia virus (BORV)</t>
  </si>
  <si>
    <t>California encephalitis virus (CEV), Inkoo virus (INKV), Jamestown Canyon virus (JCV), Jerry Slough virus (JSV), Keystone virus (KEYV), Khatanga virus (KHATV), La Crosse virus (LACV), Lumbo virus (LUMV), Melao virus (MELV), Morro Bay virus (MBV), San Angelo virus (SAV), Serra do Navio virus (SDNV), snowshoe hare virus (SSHV), South River virus (SORV), Tahyña virus (TAHV), Trivittatus virus (TVTV)</t>
  </si>
  <si>
    <t>Apeú virus (APEUV), Bruconha virus (BRUV), Caraparú virus (CARV), Itaya virus, Ossa virus (OSSAV), Vinces virus (VINV)</t>
  </si>
  <si>
    <t>Catú virus (CATUV)</t>
  </si>
  <si>
    <t>Guajará virus (GJAV)</t>
  </si>
  <si>
    <t>Ananindeua virus (ANUV), Guamá virus (GMAV), Mahogany Hammock virus (MHV), Moju virus (MOJUV)</t>
  </si>
  <si>
    <t>Gumbo Limbo virus (GLV), Marituba virus (MTBV), Murutucú virus (MURV), Nepuyo virus (NEPV), Restan virus (RESV), Zungarococha virus (ZUNV)</t>
  </si>
  <si>
    <t>M’Poko virus (MPOV), Yaba-1 virus (Y1V)</t>
  </si>
  <si>
    <t>Itaquí virus (ITQV), Oriboca virus (ORIV)</t>
  </si>
  <si>
    <t>Facey’s Paddock virus (FPV), Iquitos virus (IQTV), Madre de Dios virus (MDDV), Oropouche virus (OROV), Perdões virus, Pintupo virus, Utinga virus (UTIV), Utive virus (UVV/UTVEV)</t>
  </si>
  <si>
    <t>Alenquer virus (ALEV), Ariquemes virus (ARQV), Candiru virus (CDUV), Itaituba virus (ITAV), Jacunda virus (JCNV), Maldonado virus (MLOV), Morumbi virus (MR(M), BV), Mucura virus (MCRV/MRAV), Nique virus (NIQV), Oriximiná virus (ORXV), Serra Norte virus (SRNV), Turuna virus (TUAV)</t>
  </si>
  <si>
    <t>Kalanchoë top-spotting virus</t>
  </si>
  <si>
    <t>1050</t>
  </si>
  <si>
    <t>92</t>
  </si>
  <si>
    <t>11691</t>
  </si>
  <si>
    <t>5166</t>
  </si>
  <si>
    <t>717</t>
  </si>
  <si>
    <t>247</t>
  </si>
  <si>
    <t>225</t>
  </si>
  <si>
    <t>4706174</t>
  </si>
  <si>
    <t>30</t>
  </si>
  <si>
    <t>Kalanchoë mosaic virus</t>
  </si>
  <si>
    <t>59</t>
  </si>
  <si>
    <t>26</t>
  </si>
  <si>
    <t>2373</t>
  </si>
  <si>
    <t>2015.025aB.A.v4.phagesp_ren</t>
  </si>
  <si>
    <t>2015.005a-gB.A.v3.Kayvirus</t>
  </si>
  <si>
    <t>2015.012a-dB.A.v2.P100virus</t>
  </si>
  <si>
    <t>2015.018a-dB.A.v2.Silviavirus</t>
  </si>
  <si>
    <t>2009.009a-pB.A.v3.Spounavirinae</t>
  </si>
  <si>
    <t>2015.020a-aeB.A.v4.Tevenvirinae</t>
  </si>
  <si>
    <t>2015.052aB.A.v3.Schizot4virus_sp</t>
  </si>
  <si>
    <t>2015.023a-oB.A.v2.Vequintavirinae</t>
  </si>
  <si>
    <t>2015.032a-dB.A.v2.Agatevirus</t>
  </si>
  <si>
    <t>2015.043a-dB.A.v2.Ap22virus</t>
  </si>
  <si>
    <t>2015.033a-dB.A.v2.B4virus</t>
  </si>
  <si>
    <t>2015.034a-dB.A.v2.Bastillevirus</t>
  </si>
  <si>
    <t>2015.035a-dB.A.v2.Bc431virus</t>
  </si>
  <si>
    <t>2015.036a-dBA.v2.Cp51virus</t>
  </si>
  <si>
    <t>2015.049a-dB.A.v2.Cvm10virus</t>
  </si>
  <si>
    <t>2015.047aB.A.v3.Felixo1virus_7sp</t>
  </si>
  <si>
    <t>2015.028a-dB.A.v2.Kpp10virus</t>
  </si>
  <si>
    <t>2015.038a-dB.A.v3.Nit1virus</t>
  </si>
  <si>
    <t>2015.029a-dB.A.v2.Pakpunavirus</t>
  </si>
  <si>
    <t>2015.030aB.A.v3.Pbunalikevirus_5sp</t>
  </si>
  <si>
    <t>2015.045a-dB.A.v2.Rheph4virus</t>
  </si>
  <si>
    <t>2015.016a-dB.A.v3.Secunda5virus</t>
  </si>
  <si>
    <t>2015.022a-dB.A.v2.Tg1virus</t>
  </si>
  <si>
    <t>2015.024a-dB.A.v2.Vhmlvirus</t>
  </si>
  <si>
    <t>2015.027aB.A.v3.Viunalikevirus_7sp</t>
  </si>
  <si>
    <t>2015.041a-dB.A.v2.Wphvirus</t>
  </si>
  <si>
    <t>2015.007a-dB.A.v1.Kp34virus</t>
  </si>
  <si>
    <t>2015.001a-dB.A.v2.Cba41virus</t>
  </si>
  <si>
    <t>2013.040a-eB.A.v5.F116likevirus</t>
  </si>
  <si>
    <t>2015.050a-dB.A.v2.G7cvirus</t>
  </si>
  <si>
    <t>2015.008a-dB.A.v3.Lit1virus</t>
  </si>
  <si>
    <t>2015.009aB.A.v3.Luz24virus_5sp</t>
  </si>
  <si>
    <t>2015.010a-dB.A.v2.Nonanavirus</t>
  </si>
  <si>
    <t>2015.039a-dB.A.v2.Pagevirus</t>
  </si>
  <si>
    <t>2015.014aB.A.v3.Phieco32virus_4sp</t>
  </si>
  <si>
    <t>2015.031a-dB.A.v1.Vp5virus</t>
  </si>
  <si>
    <t>2015.044a-nB.A.v1.Guernseyvirinae</t>
  </si>
  <si>
    <t>2015.006aB.A.v2.Phage_Genera_ren</t>
  </si>
  <si>
    <t>2015.019a-abB.A.v3.Tunavirinae</t>
  </si>
  <si>
    <t>2015.002a-dB.A.v2.Cba181virus</t>
  </si>
  <si>
    <t>2015.003a-dB.A.v2.Cbastvirus</t>
  </si>
  <si>
    <t>2015.004a-dB.A.v2.Ff47virus</t>
  </si>
  <si>
    <t>2015.051a-dB.A.v2.Nonagvirus</t>
  </si>
  <si>
    <t>2015.011a-dB.A.v2.P70virus</t>
  </si>
  <si>
    <t>2015.015a-dB.A.v2.Psavirus</t>
  </si>
  <si>
    <t>2015.054a-dB.A.v3.Septima3virus</t>
  </si>
  <si>
    <t>2015.053a-dB.A.v2.Seuratvirus</t>
  </si>
  <si>
    <t>2015.017a-dB.A.v3.Sextaecvirus</t>
  </si>
  <si>
    <t>2015.037a-dB.A.v3.Sitaravirus</t>
  </si>
  <si>
    <t>2015.040a-dB.A.v2.Slashvirus</t>
  </si>
  <si>
    <t>2015.048a-dB.A.v2.Ssp2virus</t>
  </si>
  <si>
    <t>2008.018-022V.v1.Batrachovirus</t>
  </si>
  <si>
    <t>2010.015aV.A.v1.Cyprinivirus-sp</t>
  </si>
  <si>
    <t>2008.023-027V.v1.Cyprinivirus</t>
  </si>
  <si>
    <t>2009.016aV.v3.Ictalurivirus-2Sp</t>
  </si>
  <si>
    <t>2005.020-72.04.Herpes</t>
  </si>
  <si>
    <t>2008.028-032V.v2.Salmonivirus</t>
  </si>
  <si>
    <t>2015.010aD.A.v2.Herpesvirales_spren</t>
  </si>
  <si>
    <t>2015.006aD.A.v2.Simplexvirus_sp</t>
  </si>
  <si>
    <t>2011.022a-dV.A.v1.Aurivirus</t>
  </si>
  <si>
    <t>2011.008a-cB.A.v2.Ligamenvirales</t>
  </si>
  <si>
    <t>2015.002aM.A.v2.Bornavirus_2sp</t>
  </si>
  <si>
    <t>2014.010a,bV.A.v2.Bornaviridae_spren</t>
  </si>
  <si>
    <t>2012.005a-dV.A.v2.Cuevavirus</t>
  </si>
  <si>
    <t>2010.010aV.A.v1.Ebolavirus-sp</t>
  </si>
  <si>
    <t>2002.V034-039.Filoviridae</t>
  </si>
  <si>
    <t>2010.010bV.A.v3.Ebolavirus-ren-Sp</t>
  </si>
  <si>
    <t>2015.008a-gM.A.v3.Mymonaviridae</t>
  </si>
  <si>
    <t>2013.002a-hV.A.v1.Nyamiviridae</t>
  </si>
  <si>
    <t>2014.007aV.A.v2.Nyavirus_sp</t>
  </si>
  <si>
    <t>2015.004a-fM.A.v3.Socyvirus</t>
  </si>
  <si>
    <t>2015.011a-iM.A.v2.Pneumoviridae</t>
  </si>
  <si>
    <t>2015.012aM.A.v3.Avulavirus_3sp</t>
  </si>
  <si>
    <t>2015.013aM.A.v3.Henipavirus_3sp</t>
  </si>
  <si>
    <t>2015.014aM.A.v2.Morbillivirus_sp</t>
  </si>
  <si>
    <t>2015.017aM.A.v1.Respirovirus_sp</t>
  </si>
  <si>
    <t>Metapneumovirus</t>
  </si>
  <si>
    <t>2015.007aM.A.v1.Cytorhabdovirus_sp</t>
  </si>
  <si>
    <t>2015.006aM.A.v3.Rhabdoviridae_spren</t>
  </si>
  <si>
    <t>2014.003a-dV.A.v3.Dichorhavirus</t>
  </si>
  <si>
    <t>Kotonkan ephemerovirus</t>
  </si>
  <si>
    <t>2012.009bV.A.v2.Lyssavirus_sp</t>
  </si>
  <si>
    <t>2012.009aV.A.v4.Lyssavirus_sp</t>
  </si>
  <si>
    <t>2011.007a-dV.A.v2.Sigmavirus</t>
  </si>
  <si>
    <t>2009.012a,bV.v2.Rhabdoviridae_Flanders-Sp</t>
  </si>
  <si>
    <t>2010.009aV.A.v2.Rhabdoviridae-sp</t>
  </si>
  <si>
    <t>2009.017a,bV.v2.Rhabdoviridae_Ngaingan-Sp</t>
  </si>
  <si>
    <t>2009.018a,bV.v2.Rhabdoviridae_Wongabel-Sp</t>
  </si>
  <si>
    <t>2015.009a-gM.A.v4.Sunviridae</t>
  </si>
  <si>
    <t>2015.010a-tM.A.v3.Mononegavirales_5gen</t>
  </si>
  <si>
    <t>2015.014a-cS.A.v3.Arteriviridae_sprev</t>
  </si>
  <si>
    <t>2008.085-122V.v4.Coronaviridae</t>
  </si>
  <si>
    <t>2015.003a-eS.A.v2.Coronaviridae_12sp</t>
  </si>
  <si>
    <t>2010.023a-dV.A.v2.Deltacoronavirus</t>
  </si>
  <si>
    <t>2011.001a-gI.A.v2.Mesoniviridae</t>
  </si>
  <si>
    <t>2008.001-004,6I.A.v3.Aparavirus</t>
  </si>
  <si>
    <t>2011.004aI.A.v1.Aparavirus-Sp</t>
  </si>
  <si>
    <t>2005.200-2G.04.Picornavirales</t>
  </si>
  <si>
    <t>2015.006a-eS.A.v3.Triatovirus</t>
  </si>
  <si>
    <t>2015.009aS.A.v2.Iflavirus_sp</t>
  </si>
  <si>
    <t>2005.120I.04.Ifla</t>
  </si>
  <si>
    <t>2015.010aS.A.v2.Iflavirus_sp</t>
  </si>
  <si>
    <t>2006.029-31I.04.Iflaviridae</t>
  </si>
  <si>
    <t>2013.001aI.A.v2.Iflavirus_2sp</t>
  </si>
  <si>
    <t>2015.011aS.A.v2.Iflavirus_sp</t>
  </si>
  <si>
    <t>2011.005aI.A.v1.Iflavirus-Sp</t>
  </si>
  <si>
    <t>2015.012aS.A.v2.Iflavirus_sp</t>
  </si>
  <si>
    <t>2015.013aS.A.v2.Iflavirus_sp</t>
  </si>
  <si>
    <t>2011.016aV.A.v2.Aphthovirus-Sp</t>
  </si>
  <si>
    <t>2008.083V.BRBV-Sp</t>
  </si>
  <si>
    <t>2011.015a-dV.A.v1.Aquamavirus</t>
  </si>
  <si>
    <t>2014.016aV.A.v1.Picornaviridae_spren</t>
  </si>
  <si>
    <t>2013.009a-dV.A.v1.Avisivirus</t>
  </si>
  <si>
    <t>2014.014aV.A.v2.Cardiovirus_sp</t>
  </si>
  <si>
    <t>2011.017a-dV.A.v1.Cosavirus</t>
  </si>
  <si>
    <t>2012.013a-dV.A.v1.Dicipivirus</t>
  </si>
  <si>
    <t>2011.018a,bV.A.v2.Enterovirus-Sp,Ren</t>
  </si>
  <si>
    <t>2013.007a-dV.A.v1.Gallivirus</t>
  </si>
  <si>
    <t>2013.008a-dV.A.v2.Hunnivirus</t>
  </si>
  <si>
    <t>2012.014aV.A.v1.Kobuvirus-Sp,Ren</t>
  </si>
  <si>
    <t>2011.020aV.A.v2.Kobuvirus-Sp</t>
  </si>
  <si>
    <t>2014.015a-dV.A.v3.Kunsagivirus</t>
  </si>
  <si>
    <t>2015.007a-dS.A.v4.Limnipivirus</t>
  </si>
  <si>
    <t>2011.019a-dV.A.v2.Megrivirus</t>
  </si>
  <si>
    <t>2013.010a-dV.A.v1.Mischivirus</t>
  </si>
  <si>
    <t>2013.011a-dV.A.v1.Mosavirus</t>
  </si>
  <si>
    <t>2013.012a-dV.A.v2.Oscivirus</t>
  </si>
  <si>
    <t>2013.013a-dV.A.v1.Pasivirus</t>
  </si>
  <si>
    <t>2013.015a-dV.A.v2.Passerivirus</t>
  </si>
  <si>
    <t>2015.008a-dS.A.v4.Potamipivirus</t>
  </si>
  <si>
    <t>2013.014a-dV.A.v1.Rosavirus</t>
  </si>
  <si>
    <t>2014.017a-dV.A.v3.Sakobuvirus</t>
  </si>
  <si>
    <t>2011.021a-dV.A.v1.Salivirus</t>
  </si>
  <si>
    <t>2007.103-6V.v3.Sapelovirus</t>
  </si>
  <si>
    <t>2014.018a-dV.A.v3.Sicinivirus</t>
  </si>
  <si>
    <t>2007.060-2P.Comovirinae</t>
  </si>
  <si>
    <t>2012.006aP.A.v2.Fabavirus-sp</t>
  </si>
  <si>
    <t>2015.005aP.A.v3.Nepovirus_2sp</t>
  </si>
  <si>
    <t>2012.005aP.A.v1.Nepovirus-sp</t>
  </si>
  <si>
    <t>2011.003aP.A.v1.Nepovirus_1sp</t>
  </si>
  <si>
    <t>2007.057-9P.Secoviridae</t>
  </si>
  <si>
    <t>2013.004aP.A.v1.Cheravirus_sp</t>
  </si>
  <si>
    <t>2009.007a-hP.v2.Secoviridae_changes</t>
  </si>
  <si>
    <t>2015.006aP.A.v2.Torradovirus_2sp</t>
  </si>
  <si>
    <t>2014.004aP.A.v2.Torradovirus_sp</t>
  </si>
  <si>
    <t>2007.039-42P.v2.Torradovirus</t>
  </si>
  <si>
    <t>Chaetoceros socialis f. radians RNA virus 01</t>
  </si>
  <si>
    <t>2009.015a-kP.A.v6.Bacillarnavirus</t>
  </si>
  <si>
    <t>2009.012a-fP.A.v6.Labyrnavirus</t>
  </si>
  <si>
    <t>2007.018-20P.v2.Alphaflexiviridae</t>
  </si>
  <si>
    <t>2007.014-017P.Botrexvirus</t>
  </si>
  <si>
    <t>2008.008-011bP.v3.Lolavirus</t>
  </si>
  <si>
    <t>2013.003aP.A.v1.Mandarivirus_sp</t>
  </si>
  <si>
    <t>2015.012a-dP.A.v4.Platypuvirus</t>
  </si>
  <si>
    <t>2012.017a,bP.A.v2.Alphaflexiviridae-3sp</t>
  </si>
  <si>
    <t>2009.005a,bP.v1.Potexvirus-Sp</t>
  </si>
  <si>
    <t>2008.006P.v2.Potexvirus-2Sp</t>
  </si>
  <si>
    <t>2015.013aP.A.v3.Potexvirus_sp</t>
  </si>
  <si>
    <t>2007.010-013P.Sclerodarnavirus</t>
  </si>
  <si>
    <t>2015.011a-adP.A.v2.Betaflexiviridae_rev</t>
  </si>
  <si>
    <t>2007.006-009P.Mycoflexivirus</t>
  </si>
  <si>
    <t>2007.027a-fP.v2.Tymovirales</t>
  </si>
  <si>
    <t>2010.007aP.A.v1.Marafivirus-sp_BlVS</t>
  </si>
  <si>
    <t>2010.008aP.A.v1.Marafivirus-sp_GSyV-1</t>
  </si>
  <si>
    <t>2011.014aP.A.v1.Marafivirus_1sp</t>
  </si>
  <si>
    <t>2013.013aP.A.v2.Tymovirus_sp</t>
  </si>
  <si>
    <t>2010.019aP.A.v1.Tymovirus_1sp</t>
  </si>
  <si>
    <t>2010.006aP.A.v2.Tymoviridae-sp</t>
  </si>
  <si>
    <t>2010.012aP.A.v1.Tymoviridae-sp</t>
  </si>
  <si>
    <t>2013.003aV.A.v1.Adenoviridae_spren</t>
  </si>
  <si>
    <t>2015.005aD.A.v2.Aviadenovirus_4sp</t>
  </si>
  <si>
    <t>2015.012aD.A.v2.Mastadenovirus_2sp</t>
  </si>
  <si>
    <t>2010.001a-qI.A.v4.Tetraviridae</t>
  </si>
  <si>
    <t>2009.016a-iP.A.v7.Alvernaviridae</t>
  </si>
  <si>
    <t>2013.005a-gP.A.v2.Amalgaviridae</t>
  </si>
  <si>
    <t>2005.084B.04.Ampullavirus</t>
  </si>
  <si>
    <t>2007.075a-xxV.v4.Anelloviridae</t>
  </si>
  <si>
    <t>2010.007aV.A.v2.Betatorquevirus-3sp</t>
  </si>
  <si>
    <t>2010.006aV.A.v2.Etatorquevirus-sp</t>
  </si>
  <si>
    <t>2010.008aV.A.v2.Gammatorquevirus-13sp</t>
  </si>
  <si>
    <t>2011.002aV.A.v2.Anelloviridae_2Sp-ren</t>
  </si>
  <si>
    <t>2010.004a-dV.A.v2.Lambdatorquevirus</t>
  </si>
  <si>
    <t>2014.012aV.A.v3.Arenavirus_ren</t>
  </si>
  <si>
    <t>2015.001aM.A.v2.Mammarenavirus_4sp</t>
  </si>
  <si>
    <t>2014.013aV.A.v3.Mammarenavirus_2sp</t>
  </si>
  <si>
    <t>2014.011a-dV.A.v2.Reptarenavirus</t>
  </si>
  <si>
    <t>2015.004a-eD.A.v3.Toursvirus</t>
  </si>
  <si>
    <t>2010.017a-cV.A.v3.Avastrovirus</t>
  </si>
  <si>
    <t>2010.018a-cV.A.v4.Mamastrovirus</t>
  </si>
  <si>
    <t>2005.255-8P.04.Elaviroid</t>
  </si>
  <si>
    <t>2006.034-039I 04 Alphabaculovirus</t>
  </si>
  <si>
    <t>2012.001aI.A.v2.Alphabaculovirus-8sp</t>
  </si>
  <si>
    <t>2015.007aD.A.v2.Alphabaculovirus_sp</t>
  </si>
  <si>
    <t>2014.002aI.A.v1.Alphabaculovirus-sprem</t>
  </si>
  <si>
    <t>2015.016aD.A.v2.Alphabaculovirus_sp</t>
  </si>
  <si>
    <t>2006.033I 04 Betabaculovirus</t>
  </si>
  <si>
    <t>2015.001aD.A.v2.Betabaculovirus_sp</t>
  </si>
  <si>
    <t>2015.011aD.A.v2.Betabaculovirus_sp</t>
  </si>
  <si>
    <t>2015.013aD.A.v2.Betabaculovirus_sp</t>
  </si>
  <si>
    <t>2006.044-048I 04 Deltabaculovirus</t>
  </si>
  <si>
    <t>2006.040-043I 04 Gammabaculovirus</t>
  </si>
  <si>
    <t>2013.011a-dP.A.v1.Benyviridae</t>
  </si>
  <si>
    <t>2007.086-89B.Bicaudavirus</t>
  </si>
  <si>
    <t>2010.021a-gV.A.v1.Bidnaviridae</t>
  </si>
  <si>
    <t>2005.212-5V.04.Blosnavirus</t>
  </si>
  <si>
    <t>2013.009aP.A.v2.Anulavirus_sp</t>
  </si>
  <si>
    <t>2004.008-11P.04.Anula</t>
  </si>
  <si>
    <t>2010.004aP.A.v1.Cucumovirus-1sp</t>
  </si>
  <si>
    <t>2010.005aP.A.v1.Ilarvirus-2sp</t>
  </si>
  <si>
    <t>2010.016aP.A.v1.Ilarvirus_1sp</t>
  </si>
  <si>
    <t>2015.003aM.A.v5.Bunyaviridae_spren</t>
  </si>
  <si>
    <t>2008.123-126V.v2.Nebovirus</t>
  </si>
  <si>
    <t>2014.012aP.A.v2.Badnavirus_7sp</t>
  </si>
  <si>
    <t>2010.013a,bP.A.v1.Badnavirus_5sp_and_renames</t>
  </si>
  <si>
    <t>2015.026aP.A.v2.Badnavirus_4sp</t>
  </si>
  <si>
    <t>2015.025aP.A.v1.Badnavirus_sp</t>
  </si>
  <si>
    <t>2011.013aP.A.v1.Badnavirus_2sp</t>
  </si>
  <si>
    <t>2003.P106-108.Badnavirus</t>
  </si>
  <si>
    <t>2010.014aP.A.v1.Caulimovirus_1sp</t>
  </si>
  <si>
    <t>2014.011aP.A.v2.Caulimovirus_sp</t>
  </si>
  <si>
    <t>2002.P084-087.Caulimoviridae</t>
  </si>
  <si>
    <t>2011.001aP.A.v1.Cavemovirus_1sp</t>
  </si>
  <si>
    <t>2014.010a-dP.A.v2.Rosadnavirus</t>
  </si>
  <si>
    <t>2011.002aP.A.v1.Solendovirus_1sp</t>
  </si>
  <si>
    <t>2010.017a-eP.A.v2.Solendovirus</t>
  </si>
  <si>
    <t>2003.P111-112.Caulimo.Soy</t>
  </si>
  <si>
    <t>2010.018aP.A.v1.Soymovirus_1sp</t>
  </si>
  <si>
    <t>2012.004aF.A.v2.Chrysovirus-5sp</t>
  </si>
  <si>
    <t>2002.V022-025.Circoviridae</t>
  </si>
  <si>
    <t>2004.007V.04.Circo</t>
  </si>
  <si>
    <t>2007.081V.04.SpCircovirus</t>
  </si>
  <si>
    <t>2009.006a,bV.v1.Circovirus_Sp</t>
  </si>
  <si>
    <t>2014.006b-eD.A.v3.Cyclovirus</t>
  </si>
  <si>
    <t>2010.002a-gB.A.v2.Clavaviridae</t>
  </si>
  <si>
    <t>2015.024a-cP.A.v2.Closteroviridae_5sp</t>
  </si>
  <si>
    <t>2012.002abP.A.v2.Ampelovirus_rev-sp</t>
  </si>
  <si>
    <t>2009.001a,bP.v1.Ampelovirus-Sp</t>
  </si>
  <si>
    <t>2008.012P.Ampelovirus-Sp</t>
  </si>
  <si>
    <t>2006.002P.04.ClosteroMint</t>
  </si>
  <si>
    <t>2010.003aP.A.v1.Closterovirus-2sp</t>
  </si>
  <si>
    <t>2008.013P.Crinivirus-Sp</t>
  </si>
  <si>
    <t>2007.005P.04.CriniSpBYVaV</t>
  </si>
  <si>
    <t>2012.009aP.A.v1.Crinivirus-sp</t>
  </si>
  <si>
    <t>2007.004P.04.CriniSpPYVV</t>
  </si>
  <si>
    <t>2006.006P.04.CriniSPaV</t>
  </si>
  <si>
    <t>2012.003aP.A.v1.Closteroviridae-5spres</t>
  </si>
  <si>
    <t>2006.004P.04.ClosteroMVBaV</t>
  </si>
  <si>
    <t>2012.001a-fP.A.v7.Velarivirus</t>
  </si>
  <si>
    <t>2015.019aP.A.v2.Endornavirus_spa</t>
  </si>
  <si>
    <t>2012.014aP.A.v3.Endornavirus-sp</t>
  </si>
  <si>
    <t>2006.021P.v2.EndornaSp</t>
  </si>
  <si>
    <t>2006.019-20P.04.Endornaviridae</t>
  </si>
  <si>
    <t>2015.020aP.A.v1.Endornavirus_spb</t>
  </si>
  <si>
    <t>2013.008a,bP.A.v2.Endornavirus_sp,ren</t>
  </si>
  <si>
    <t>2015.022aP.A.v1.Endornavirus_spd</t>
  </si>
  <si>
    <t>2015.021aP.A.v1.Endornavirus_spc</t>
  </si>
  <si>
    <t>St. Louis encephalitis virus</t>
  </si>
  <si>
    <t>2012.011a-dV.A.v2.Pegivirus</t>
  </si>
  <si>
    <t>2011.001a-fB.A.v3.Betafusellovirus</t>
  </si>
  <si>
    <t>2012.018a-pP.A.v4.Geminiviridae</t>
  </si>
  <si>
    <t>2013.015a,bP.A.v2.Begomovirus_100sp</t>
  </si>
  <si>
    <t>2002.P108-109.Geminiviridae</t>
  </si>
  <si>
    <t>2005.002P.04.Begomo</t>
  </si>
  <si>
    <t>2007.001P.04.GeminiSp43</t>
  </si>
  <si>
    <t>2007.002P.04.Remove6GeminiSp</t>
  </si>
  <si>
    <t>2006.001P.04.GeminiSp revised 06.08</t>
  </si>
  <si>
    <t>2002.P110.Geminiviridae</t>
  </si>
  <si>
    <t>2011.006a,bP.A.v1_Begomo_rem,ren_Sp</t>
  </si>
  <si>
    <t>2003.P009-012.Begomovirus</t>
  </si>
  <si>
    <t>2003.P141.Begomovirus</t>
  </si>
  <si>
    <t>2003.P142.Begomovirus</t>
  </si>
  <si>
    <t>2015.016aP.A.v2.Mastrevirus_3sp</t>
  </si>
  <si>
    <t>2012.019abP.A.v3.Mastrevirus-17sp,rem-2sp</t>
  </si>
  <si>
    <t>2009.014c-fP.v2.Geminiviridae-4Sp</t>
  </si>
  <si>
    <t>2015.002a-gF.A.v2.Genomoviridae</t>
  </si>
  <si>
    <t>2005.077-80B.04.Globulovirus</t>
  </si>
  <si>
    <t>2007.085B.04.TTSV1</t>
  </si>
  <si>
    <t>2011.009a-eB.A.v2.Betaguttavirus</t>
  </si>
  <si>
    <t>2014.008a-hV.A.v6.Hepeviridae</t>
  </si>
  <si>
    <t>2009.001a-kI.A.v4.Hytrosaviridae</t>
  </si>
  <si>
    <t>2003.I054-057.Megalocytivirus</t>
  </si>
  <si>
    <t>2003.I044.Ranavirus</t>
  </si>
  <si>
    <t>2015.001a-kF.A.v1.Lavidaviridae</t>
  </si>
  <si>
    <t>2013.014aP.A.v2.Luteovirus_2sp</t>
  </si>
  <si>
    <t>2002.P081-083.Luteoviridae</t>
  </si>
  <si>
    <t>2003.P225.Luteovirus</t>
  </si>
  <si>
    <t>2008.030-032P.Luteoviridae-4Sp</t>
  </si>
  <si>
    <t>2005.014P.04.luteo.CRLV</t>
  </si>
  <si>
    <t>2013.017aP.A.v2.Polerovirus_3sp</t>
  </si>
  <si>
    <t>2013.016a-cP.A.v2.Luteoviridae_sprem</t>
  </si>
  <si>
    <t>2003.P226.Polerovirus</t>
  </si>
  <si>
    <t>2012.002a-hF.A.v5.Marseilleviridae</t>
  </si>
  <si>
    <t>2010.002a-gF.A.v1.Megabirnaviridae</t>
  </si>
  <si>
    <t>Drosophila melanogaster 17.6 virus</t>
  </si>
  <si>
    <t>2003.F187-190.Semotivirus</t>
  </si>
  <si>
    <t>2015.026a-rB.A.v4.Bullavirinae</t>
  </si>
  <si>
    <t>2011.001a-dF.A.v2.Cafeteriavirus</t>
  </si>
  <si>
    <t>2005.004F.04.Mimiviridae</t>
  </si>
  <si>
    <t>2008.028P.Abaca_btv-Sp</t>
  </si>
  <si>
    <t>2008.029P.Cardamom_bdv-Sp</t>
  </si>
  <si>
    <t>2015.010aP.A.v1.Nanovirus_2sp</t>
  </si>
  <si>
    <t>2010.009aP.A.v1.Nanovirus-2sp</t>
  </si>
  <si>
    <t>2012.008aP.A.v1.Nanovirus-sp</t>
  </si>
  <si>
    <t>2002.F114-121.Narnaviridae</t>
  </si>
  <si>
    <t>2007.084I.04NimaName</t>
  </si>
  <si>
    <t>2013.003a-kI.A.v1.Nudiviridae</t>
  </si>
  <si>
    <t>2015.023aP.A.v2.Ophiovirus_sp</t>
  </si>
  <si>
    <t>2005.233-5P.04.Ophioviridae</t>
  </si>
  <si>
    <t>2008.026P.Ophiovirus-Sp</t>
  </si>
  <si>
    <t>2011.012a-dV.A.v3.Quaranjavirus</t>
  </si>
  <si>
    <t>2010.001a-kkkV.A.v2.Papillomaviridae</t>
  </si>
  <si>
    <t>2012.008a-rrV.A.v3.Papillomaviridae_9gen</t>
  </si>
  <si>
    <t>2015.014a-atD.A.v2.Papillomaviridae_10gen</t>
  </si>
  <si>
    <t>Dyoomegapapillomavirus</t>
  </si>
  <si>
    <t>2013.001a-kkF.A.v3.Partitiviridae</t>
  </si>
  <si>
    <t>2008.002-006F.v3.Cryspovirus</t>
  </si>
  <si>
    <t>2013.001a-aaaV.A.v4.Parvoviridae</t>
  </si>
  <si>
    <t>2010.004aF.A.v2.Chlorovirus-Sp</t>
  </si>
  <si>
    <t>2003.F080-083.Coccolithovirus</t>
  </si>
  <si>
    <t>2003.F195.Phaeovirus</t>
  </si>
  <si>
    <t>2010.003aF.A.v1.Prasinovirus-sp</t>
  </si>
  <si>
    <t>2003.F128-131.Raphidovirus</t>
  </si>
  <si>
    <t>2005.216-22V.04.Picobirna</t>
  </si>
  <si>
    <t>2015.042a-oB.A.v3.Pleolipoviridae</t>
  </si>
  <si>
    <t>Chelonus nr. curvimaculatus bracovirus</t>
  </si>
  <si>
    <t>2015.015a-aaD.A.v2.Polyomaviridae_rev</t>
  </si>
  <si>
    <t>2005.253P.04.CitrusDwarf</t>
  </si>
  <si>
    <t>2009.013a,bP.v1.Apscaviroid-2Sp</t>
  </si>
  <si>
    <t>2005.254P.04.CitrusbarkCra</t>
  </si>
  <si>
    <t>2014.003aP.A.v2.Hostuviroid_sp</t>
  </si>
  <si>
    <t>2010.010aP.A.v1.Pospiviroid-sp</t>
  </si>
  <si>
    <t>2014.002aP.A.v1.Pospiviroid_sprem</t>
  </si>
  <si>
    <t>2008.016-020P.v2.Brambyvirus</t>
  </si>
  <si>
    <t>2003.P016-029.Potyviridae</t>
  </si>
  <si>
    <t>2007.072P.04.SpIpomovirus</t>
  </si>
  <si>
    <t>2013.012a,bP.A.v2.Potyviridae_spmove</t>
  </si>
  <si>
    <t>2010.001aP.A.v2.Ipomovirus-Sp</t>
  </si>
  <si>
    <t>2007.071P.04.SpMacluraviruses</t>
  </si>
  <si>
    <t>2015.003a-dP.A.v2.Potyviridae</t>
  </si>
  <si>
    <t>2015.002aP.A.v2.Poacevirus</t>
  </si>
  <si>
    <t>2009.004a-iP.A.v2.Poacevirus</t>
  </si>
  <si>
    <t>2008.002P.Potyvirus-7Sp</t>
  </si>
  <si>
    <t>2007.073P.04.SpPotyviruses</t>
  </si>
  <si>
    <t>2009.006a-dP.v2.Potyviridae-10Sp</t>
  </si>
  <si>
    <t>2014.009aP.A.v4.Potyvirus_12sp</t>
  </si>
  <si>
    <t>2008.027P.Remove1spPotyvirus</t>
  </si>
  <si>
    <t>2007.074P.04.SpRemvoePotyviruses</t>
  </si>
  <si>
    <t>2010.020aP.A.v1.Potyvirus_1sp</t>
  </si>
  <si>
    <t>2010.002aP.A.v2.Potyvirus-Sp</t>
  </si>
  <si>
    <t>2011.004aP.A.v1.Potyvirus_1sp</t>
  </si>
  <si>
    <t>2014.005aP.A.v1.Tritimovirus_sp</t>
  </si>
  <si>
    <t>2012.013aP.A.v1.Tritimovirus-sp</t>
  </si>
  <si>
    <t>2013.007aP.A.v2.Potyviridae_sp</t>
  </si>
  <si>
    <t>2010.020abV.A.v1.Poxviridae-2sp_ren</t>
  </si>
  <si>
    <t>2010.019a-eV.A.v1.Crocodylidpoxvirus</t>
  </si>
  <si>
    <t>2003.V192-194.Entomopoxvirus</t>
  </si>
  <si>
    <t>2014.001aI.A.v1.Entomopoxvirus-spcorr</t>
  </si>
  <si>
    <t>2013.002aI.A.v3.Betaentomopoxvirus_3sp</t>
  </si>
  <si>
    <t>2003.Fxxx.Pseudoviridae</t>
  </si>
  <si>
    <t>2012.001a-gF.A.v4.Quadriviridae</t>
  </si>
  <si>
    <t>2007.127-129V.v2.Spina-Sedoreovirinae</t>
  </si>
  <si>
    <t>2014.002aV.A.v2.Rotavirus_3sp</t>
  </si>
  <si>
    <t>2015.018aM.A.v2.Fijivirus_sp</t>
  </si>
  <si>
    <t>2015.019aM.A.v3.Orthoreovirus_sp</t>
  </si>
  <si>
    <t>2002.V043-049.Retroviridae</t>
  </si>
  <si>
    <t>2015.002a-gS.A.v3.Sarthroviridae</t>
  </si>
  <si>
    <t>2013.001a-oB.A.v4.Sphaerolipoviridae</t>
  </si>
  <si>
    <t>2013.003a-gB.A.v3.Spiraviridae</t>
  </si>
  <si>
    <t>2013.006aV.A.v2.Alphavirus_sp</t>
  </si>
  <si>
    <t>2012.007aV.A.v1.Alphavirus-sp</t>
  </si>
  <si>
    <t>2015.007a-rP.A.v1.split_Carmovirus</t>
  </si>
  <si>
    <t>2011.009a-mP.A.v3.split_Necrovirus</t>
  </si>
  <si>
    <t>2008.007P.Aureusvirus-2Sp</t>
  </si>
  <si>
    <t>2015.008aP.A.v1.Aureusvirus_sp</t>
  </si>
  <si>
    <t>2011.010a-eP.A.v3.Gallantivirus</t>
  </si>
  <si>
    <t>2011.010f-iP.A.v3.Macanavirus</t>
  </si>
  <si>
    <t>2011.008aP.A.v1.Panicovirus_1sp</t>
  </si>
  <si>
    <t>2014.007aP.A.v1.Panicovirus_sp</t>
  </si>
  <si>
    <t>2014.006b-fP.A.v3.Pelarspovirus</t>
  </si>
  <si>
    <t>2003.P043.Tombusvirus</t>
  </si>
  <si>
    <t>2007.125P.04.SpRemoveTombusvirus</t>
  </si>
  <si>
    <t>2005.012P.04.HRV</t>
  </si>
  <si>
    <t>2007.123P.04.2SpTombusvirus</t>
  </si>
  <si>
    <t>2013.010a,bP.A.v2.Umbravirus_move</t>
  </si>
  <si>
    <t>2014.008aP.A.v3.Tombusviridae_sp</t>
  </si>
  <si>
    <t>2011.005a-eP.A.v2.Zeavirus</t>
  </si>
  <si>
    <t>2013.003a,bF.A.v2.Leishmaniavirus-remrensp</t>
  </si>
  <si>
    <t>2013.002a-cF.A.v2.Totiviridae-10sp</t>
  </si>
  <si>
    <t>2010.001a-dF.A.v2.Trichomonasvirus</t>
  </si>
  <si>
    <t>2007.066-9F.v2.Victorivirus</t>
  </si>
  <si>
    <t>2013.002a-gB.A.v3.Turriviridae</t>
  </si>
  <si>
    <t>2015.009a-pP.A.v3.Plant_sat_4unassgen</t>
  </si>
  <si>
    <t>2009.002a-fF.A.v6.Bacilladnavirus</t>
  </si>
  <si>
    <t>2014.001a-dF.A.v3.Botybirnavirus</t>
  </si>
  <si>
    <t>2007.031-5P.Cilevirus</t>
  </si>
  <si>
    <t>2009.001a-fF.A.v6.Dinodnavirus</t>
  </si>
  <si>
    <t>2008.021-025P.v2.Emaravirus</t>
  </si>
  <si>
    <t>2010.015aP.A.v1.Emaravirus_1sp</t>
  </si>
  <si>
    <t>2015.018aP.A.v3.Emaravirus_sp</t>
  </si>
  <si>
    <t>2014.013aP.A.v2.Emaravirus_sp</t>
  </si>
  <si>
    <t>2013.001aP.A.v1.Emaravirus-sp</t>
  </si>
  <si>
    <t>2012.007aP.A.v2.Emaravirus-sp</t>
  </si>
  <si>
    <t>2012.011a-dP.A.v3.Higrevirus</t>
  </si>
  <si>
    <t>2005.248-52P.04.Polemo</t>
  </si>
  <si>
    <t>2003.B038-041.Salterprovirus</t>
  </si>
  <si>
    <t>2015.005a-dS.A.v2.Sinaivirus</t>
  </si>
  <si>
    <t>2015.017aP.A.v2.Sobemovirus_5sp</t>
  </si>
  <si>
    <t>2011.011aP.A.v1.Sobemovirus_1sp</t>
  </si>
  <si>
    <t>2012.012aP.A.v1.Tenuivirus-sp</t>
  </si>
  <si>
    <t>2007.036-8P.Virgaviridae</t>
  </si>
  <si>
    <t>2011.012aP.A.v1.Furovirus_1sp</t>
  </si>
  <si>
    <t>2015.001a-dP.A.v2.Goravirus</t>
  </si>
  <si>
    <t>2012.004aP.A.v3.Tobamovirus-8sp</t>
  </si>
  <si>
    <t>2009.010a,bP.v1.Tobamovirus-2Sp</t>
  </si>
  <si>
    <t>2009.009a,bP.v1.Tobamovirus-Sp</t>
  </si>
  <si>
    <t>2014.001aP.A.v1.Tobamovirus_2sp</t>
  </si>
  <si>
    <t>JQ686190</t>
  </si>
  <si>
    <t>JX878671</t>
  </si>
  <si>
    <t>KJ888149</t>
  </si>
  <si>
    <t>KM216423</t>
  </si>
  <si>
    <t>AB853330</t>
  </si>
  <si>
    <t>AB903967</t>
  </si>
  <si>
    <t>DQ004855</t>
  </si>
  <si>
    <t>JX846613</t>
  </si>
  <si>
    <t>JX194239</t>
  </si>
  <si>
    <t>FJ822135</t>
  </si>
  <si>
    <t>GU323318</t>
  </si>
  <si>
    <t>KJ101592</t>
  </si>
  <si>
    <t>HQ829472</t>
  </si>
  <si>
    <t>HM071924</t>
  </si>
  <si>
    <t>EU863409</t>
  </si>
  <si>
    <t>KP007359</t>
  </si>
  <si>
    <t>JX536493</t>
  </si>
  <si>
    <t>KF582788</t>
  </si>
  <si>
    <t>KM407600</t>
  </si>
  <si>
    <t>HQ331142</t>
  </si>
  <si>
    <t>JX181825</t>
  </si>
  <si>
    <t>KP671755</t>
  </si>
  <si>
    <t>HM563683</t>
  </si>
  <si>
    <t>KP007360</t>
  </si>
  <si>
    <t>KP007361</t>
  </si>
  <si>
    <t>KP007362</t>
  </si>
  <si>
    <t>GQ981382</t>
  </si>
  <si>
    <t>AP011113</t>
  </si>
  <si>
    <t>JN986846</t>
  </si>
  <si>
    <t>KJ668714.2</t>
  </si>
  <si>
    <t>JX128259</t>
  </si>
  <si>
    <t>JN202312</t>
  </si>
  <si>
    <t>KM606994</t>
  </si>
  <si>
    <t>KM501444</t>
  </si>
  <si>
    <t>HM035025</t>
  </si>
  <si>
    <t>HE956711</t>
  </si>
  <si>
    <t>KF208315</t>
  </si>
  <si>
    <t>JQ691612</t>
  </si>
  <si>
    <t>KC954774</t>
  </si>
  <si>
    <t>JQ691611</t>
  </si>
  <si>
    <t>JN882284</t>
  </si>
  <si>
    <t>KF550303</t>
  </si>
  <si>
    <t>GU070616</t>
  </si>
  <si>
    <t>JX181824</t>
  </si>
  <si>
    <t>KJ190158</t>
  </si>
  <si>
    <t>JQ031132</t>
  </si>
  <si>
    <t>KC690136</t>
  </si>
  <si>
    <t>DQ832317</t>
  </si>
  <si>
    <t>JX238501</t>
  </si>
  <si>
    <t>KM051843</t>
  </si>
  <si>
    <t>KJ010547</t>
  </si>
  <si>
    <t>HM368260</t>
  </si>
  <si>
    <t>JX976549</t>
  </si>
  <si>
    <t>KJ817802</t>
  </si>
  <si>
    <t>HE806280</t>
  </si>
  <si>
    <t>JN790865</t>
  </si>
  <si>
    <t>KF669647</t>
  </si>
  <si>
    <t>KJ489402</t>
  </si>
  <si>
    <t>KF669662</t>
  </si>
  <si>
    <t>KF208639</t>
  </si>
  <si>
    <t>JF966203</t>
  </si>
  <si>
    <t>KJ489397</t>
  </si>
  <si>
    <t>JX094431.1</t>
  </si>
  <si>
    <t>KJ451625.1</t>
  </si>
  <si>
    <t>KJ081346.1</t>
  </si>
  <si>
    <t>KJ676859.1</t>
  </si>
  <si>
    <t>AY375531</t>
  </si>
  <si>
    <t>Aeromonas phage 44RR2.8t</t>
  </si>
  <si>
    <t>KF554508.2</t>
  </si>
  <si>
    <t>KC595512.2</t>
  </si>
  <si>
    <t>KC595513.2</t>
  </si>
  <si>
    <t>GU903191</t>
  </si>
  <si>
    <t>KM360178</t>
  </si>
  <si>
    <t>KR014248</t>
  </si>
  <si>
    <t>JX560968</t>
  </si>
  <si>
    <t>KF055347</t>
  </si>
  <si>
    <t>KM657822</t>
  </si>
  <si>
    <t>KP010413</t>
  </si>
  <si>
    <t>KP143762</t>
  </si>
  <si>
    <t>JN225449</t>
  </si>
  <si>
    <t>LN610573</t>
  </si>
  <si>
    <t>AB472900.2</t>
  </si>
  <si>
    <t>KC862299</t>
  </si>
  <si>
    <t>KF669652</t>
  </si>
  <si>
    <t>AP013029</t>
  </si>
  <si>
    <t>AB930182</t>
  </si>
  <si>
    <t>HE983845</t>
  </si>
  <si>
    <t>LN610572</t>
  </si>
  <si>
    <t>GU988610.2</t>
  </si>
  <si>
    <t>KC862297</t>
  </si>
  <si>
    <t>KC862300</t>
  </si>
  <si>
    <t>HQ832595</t>
  </si>
  <si>
    <t>LN610589</t>
  </si>
  <si>
    <t>KR054030</t>
  </si>
  <si>
    <t>KR054033</t>
  </si>
  <si>
    <t>GU815091</t>
  </si>
  <si>
    <t>AB560486</t>
  </si>
  <si>
    <t>JX483876</t>
  </si>
  <si>
    <t>DQ529280</t>
  </si>
  <si>
    <t>JN377895</t>
  </si>
  <si>
    <t>JN377894</t>
  </si>
  <si>
    <t>HM452125</t>
  </si>
  <si>
    <t>JX306041</t>
  </si>
  <si>
    <t>HE956709</t>
  </si>
  <si>
    <t>KP202158</t>
  </si>
  <si>
    <t>JX556417</t>
  </si>
  <si>
    <t>AY133112</t>
  </si>
  <si>
    <t>FN297812</t>
  </si>
  <si>
    <t>JX128257</t>
  </si>
  <si>
    <t>KP797973</t>
  </si>
  <si>
    <t>KF669653</t>
  </si>
  <si>
    <t>KF669654</t>
  </si>
  <si>
    <t>KJ174317</t>
  </si>
  <si>
    <t>KJ174318</t>
  </si>
  <si>
    <t>JX181828</t>
  </si>
  <si>
    <t>HM144387</t>
  </si>
  <si>
    <t>Bacillus phage W.Ph.</t>
  </si>
  <si>
    <t>KF765493.2</t>
  </si>
  <si>
    <t>AB716666</t>
  </si>
  <si>
    <t>GQ413938.2</t>
  </si>
  <si>
    <t>KP708985</t>
  </si>
  <si>
    <t>KP708986</t>
  </si>
  <si>
    <t>KC821632</t>
  </si>
  <si>
    <t>KC821609</t>
  </si>
  <si>
    <t>KF192075</t>
  </si>
  <si>
    <t>KF562340</t>
  </si>
  <si>
    <t>KJ135004.2</t>
  </si>
  <si>
    <t>KC206276.2</t>
  </si>
  <si>
    <t>JX415535</t>
  </si>
  <si>
    <t>HQ259105</t>
  </si>
  <si>
    <t>JX880034</t>
  </si>
  <si>
    <t>KF620435</t>
  </si>
  <si>
    <t>HG962375</t>
  </si>
  <si>
    <t>FN422399</t>
  </si>
  <si>
    <t>JX194238</t>
  </si>
  <si>
    <t>LN610578</t>
  </si>
  <si>
    <t>KP233880</t>
  </si>
  <si>
    <t>KF856712</t>
  </si>
  <si>
    <t>KC294142</t>
  </si>
  <si>
    <t>HG518155</t>
  </si>
  <si>
    <t>KJ802832</t>
  </si>
  <si>
    <t>KC139649</t>
  </si>
  <si>
    <t>KF669655</t>
  </si>
  <si>
    <t>KP411017</t>
  </si>
  <si>
    <t>KM236247</t>
  </si>
  <si>
    <t>KF669660</t>
  </si>
  <si>
    <t>KM236248</t>
  </si>
  <si>
    <t>JX415536</t>
  </si>
  <si>
    <t>JX867715</t>
  </si>
  <si>
    <t>KF981730</t>
  </si>
  <si>
    <t>KM044272</t>
  </si>
  <si>
    <t>JF712866</t>
  </si>
  <si>
    <t>AY505112</t>
  </si>
  <si>
    <t>AY510084</t>
  </si>
  <si>
    <t>KC832325</t>
  </si>
  <si>
    <t>KM272358</t>
  </si>
  <si>
    <t>JX297445</t>
  </si>
  <si>
    <t>KF562865</t>
  </si>
  <si>
    <t>KF562864</t>
  </si>
  <si>
    <t>KC139511</t>
  </si>
  <si>
    <t>GU196277</t>
  </si>
  <si>
    <t>GU196278</t>
  </si>
  <si>
    <t>GU196279</t>
  </si>
  <si>
    <t>GU196280</t>
  </si>
  <si>
    <t>KC139518</t>
  </si>
  <si>
    <t>KP658157</t>
  </si>
  <si>
    <t>JF501022</t>
  </si>
  <si>
    <t>KF771237</t>
  </si>
  <si>
    <t>KF771238</t>
  </si>
  <si>
    <t>KF771239</t>
  </si>
  <si>
    <t>KJ668713</t>
  </si>
  <si>
    <t>KC579452</t>
  </si>
  <si>
    <t>KC333879</t>
  </si>
  <si>
    <t>JN986845</t>
  </si>
  <si>
    <t>AM156909</t>
  </si>
  <si>
    <t>JX912252</t>
  </si>
  <si>
    <t>KP085586</t>
  </si>
  <si>
    <t>KM236241</t>
  </si>
  <si>
    <t>AY308796</t>
  </si>
  <si>
    <t>KC139513</t>
  </si>
  <si>
    <t>KC821613</t>
  </si>
  <si>
    <t>KC821617</t>
  </si>
  <si>
    <t>KC821619</t>
  </si>
  <si>
    <t>HQ634192</t>
  </si>
  <si>
    <t>JX901189</t>
  </si>
  <si>
    <t>KF024728</t>
  </si>
  <si>
    <t>KJ419279</t>
  </si>
  <si>
    <t>KP719134</t>
  </si>
  <si>
    <t>KP719132</t>
  </si>
  <si>
    <t>KP719133</t>
  </si>
  <si>
    <t>KJ094020</t>
  </si>
  <si>
    <t>JX126920.2</t>
  </si>
  <si>
    <t>JX126919</t>
  </si>
  <si>
    <t>KJ094021</t>
  </si>
  <si>
    <t>JX442241</t>
  </si>
  <si>
    <t>JX120799.2</t>
  </si>
  <si>
    <t>AJ312240.2</t>
  </si>
  <si>
    <t>JF939047</t>
  </si>
  <si>
    <t>NC_007806</t>
  </si>
  <si>
    <t>HG962376</t>
  </si>
  <si>
    <t>JQ307387</t>
  </si>
  <si>
    <t>KP064094</t>
  </si>
  <si>
    <t>KM236243</t>
  </si>
  <si>
    <t>KF929199</t>
  </si>
  <si>
    <t>KJ804259</t>
  </si>
  <si>
    <t>KP296791</t>
  </si>
  <si>
    <t>KP202972</t>
  </si>
  <si>
    <t>KP296793</t>
  </si>
  <si>
    <t>KP296795</t>
  </si>
  <si>
    <t>KP296796</t>
  </si>
  <si>
    <t>KF669661</t>
  </si>
  <si>
    <t>KP696447</t>
  </si>
  <si>
    <t>KF669663</t>
  </si>
  <si>
    <t>KP696448</t>
  </si>
  <si>
    <t>JX556418</t>
  </si>
  <si>
    <t>JQ692107</t>
  </si>
  <si>
    <t>KM979354</t>
  </si>
  <si>
    <t>KJ190157</t>
  </si>
  <si>
    <t>KP143763</t>
  </si>
  <si>
    <t>KM236244</t>
  </si>
  <si>
    <t>JQ360576</t>
  </si>
  <si>
    <t>KM114265</t>
  </si>
  <si>
    <t>KR612223</t>
  </si>
  <si>
    <t>HM147142</t>
  </si>
  <si>
    <t>JQ886184</t>
  </si>
  <si>
    <t>KC333050</t>
  </si>
  <si>
    <t>JQ001776</t>
  </si>
  <si>
    <t>HQ660129</t>
  </si>
  <si>
    <t>KF278639</t>
  </si>
  <si>
    <t>JQ411014</t>
  </si>
  <si>
    <t>JX857409</t>
  </si>
  <si>
    <t>KP205452</t>
  </si>
  <si>
    <t>FJ665628</t>
  </si>
  <si>
    <t>GU985153</t>
  </si>
  <si>
    <t>KF812525 (RNA1), KF812526 (RNA2)</t>
  </si>
  <si>
    <t>AB244417 (RNA1), AB244418 (RNA2)</t>
  </si>
  <si>
    <t>JN935380</t>
  </si>
  <si>
    <t>HM461974</t>
  </si>
  <si>
    <t>AF234533</t>
  </si>
  <si>
    <t>HM474855</t>
  </si>
  <si>
    <t>HM856902</t>
  </si>
  <si>
    <t>EF614259</t>
  </si>
  <si>
    <t>EU293119</t>
  </si>
  <si>
    <t>EF157976</t>
  </si>
  <si>
    <t>European bat lyssavirus 1</t>
  </si>
  <si>
    <t>EF157977</t>
  </si>
  <si>
    <t>European bat lyssavirus 2</t>
  </si>
  <si>
    <t>EF614260</t>
  </si>
  <si>
    <t>EF614261</t>
  </si>
  <si>
    <t>EU293108</t>
  </si>
  <si>
    <t>Y09762</t>
  </si>
  <si>
    <t>M13215</t>
  </si>
  <si>
    <t>GU170201</t>
  </si>
  <si>
    <t>EF614258</t>
  </si>
  <si>
    <t>AF104985</t>
  </si>
  <si>
    <t>L40883</t>
  </si>
  <si>
    <t>Y18263</t>
  </si>
  <si>
    <t>AF147498</t>
  </si>
  <si>
    <t>KM823531</t>
  </si>
  <si>
    <t>FR751552</t>
  </si>
  <si>
    <t>AB011257, AB516283</t>
  </si>
  <si>
    <t>X827265</t>
  </si>
  <si>
    <t>JX679246</t>
  </si>
  <si>
    <t>AF434992</t>
  </si>
  <si>
    <t>U18101</t>
  </si>
  <si>
    <t>FJ872827, KC113518, KC113517</t>
  </si>
  <si>
    <t>GQ294473</t>
  </si>
  <si>
    <t>KP688373, GQ294472</t>
  </si>
  <si>
    <t>FJ952155</t>
  </si>
  <si>
    <t>AY840978</t>
  </si>
  <si>
    <t>AB075039, AB114138</t>
  </si>
  <si>
    <t>EU373658</t>
  </si>
  <si>
    <t>KM205015</t>
  </si>
  <si>
    <t>GU212856</t>
  </si>
  <si>
    <t>EU373657</t>
  </si>
  <si>
    <t>AF473864</t>
  </si>
  <si>
    <t>AJ810084</t>
  </si>
  <si>
    <t>HQ660076</t>
  </si>
  <si>
    <t>JX121110</t>
  </si>
  <si>
    <t>KP126831</t>
  </si>
  <si>
    <t>KP026921</t>
  </si>
  <si>
    <t>KC787630</t>
  </si>
  <si>
    <t>KC787658</t>
  </si>
  <si>
    <t>JX473849</t>
  </si>
  <si>
    <t>KM110938</t>
  </si>
  <si>
    <t>KR139839</t>
  </si>
  <si>
    <t>U87392</t>
  </si>
  <si>
    <t>KM677927</t>
  </si>
  <si>
    <t>JN116253</t>
  </si>
  <si>
    <t>KF430219</t>
  </si>
  <si>
    <t>JQ989271</t>
  </si>
  <si>
    <t>HM245925</t>
  </si>
  <si>
    <t>KC545383</t>
  </si>
  <si>
    <t>JX869059</t>
  </si>
  <si>
    <t>JQ065049</t>
  </si>
  <si>
    <t>JQ065043</t>
  </si>
  <si>
    <t>JQ065047</t>
  </si>
  <si>
    <t>JQ065044</t>
  </si>
  <si>
    <t>JQ065048</t>
  </si>
  <si>
    <t>GU002364</t>
  </si>
  <si>
    <t>KJ541759</t>
  </si>
  <si>
    <t>KC807171</t>
  </si>
  <si>
    <t>AB753015</t>
  </si>
  <si>
    <t>KJ125489</t>
  </si>
  <si>
    <t>JQ957872</t>
  </si>
  <si>
    <t>JQ957874</t>
  </si>
  <si>
    <t>JQ957873</t>
  </si>
  <si>
    <t>KF751885</t>
  </si>
  <si>
    <t>KF843822</t>
  </si>
  <si>
    <t>KJ629170</t>
  </si>
  <si>
    <t>JN091707</t>
  </si>
  <si>
    <t>KJ186788</t>
  </si>
  <si>
    <t>JX134222</t>
  </si>
  <si>
    <t>KF306267</t>
  </si>
  <si>
    <t>KF183915</t>
  </si>
  <si>
    <t>KC843627</t>
  </si>
  <si>
    <t>LOEWE cat no. 07013PC</t>
  </si>
  <si>
    <t>RNA1 (JX304792) full, RNA2 (JQ670669) full</t>
  </si>
  <si>
    <t>RNA1 (KC904083) full, RNA2 (KC904084) full</t>
  </si>
  <si>
    <t>RNA1 KF533719 (partial), RNA2 KF533720 (partial)</t>
  </si>
  <si>
    <t>RNA1 KM229700 (full), RNA2 KM229701 (full)</t>
  </si>
  <si>
    <t>NCGR MEN 454.001</t>
  </si>
  <si>
    <t>KC923234</t>
  </si>
  <si>
    <t>KJ711908</t>
  </si>
  <si>
    <t>KJ415259</t>
  </si>
  <si>
    <t>HM584819</t>
  </si>
  <si>
    <t>KC218926</t>
  </si>
  <si>
    <t>KF030846</t>
  </si>
  <si>
    <t>KF533711</t>
  </si>
  <si>
    <t>KF533710</t>
  </si>
  <si>
    <t xml:space="preserve">SW3.3 </t>
  </si>
  <si>
    <t>HG008921</t>
  </si>
  <si>
    <t>KM507061</t>
  </si>
  <si>
    <t>KF700262</t>
  </si>
  <si>
    <t>20.5</t>
  </si>
  <si>
    <t>KJ469653</t>
  </si>
  <si>
    <t>FN824512</t>
  </si>
  <si>
    <t>KF477312</t>
  </si>
  <si>
    <t>KF477313</t>
  </si>
  <si>
    <t>HQ241819</t>
  </si>
  <si>
    <t>KC693022</t>
  </si>
  <si>
    <t>JQ406846</t>
  </si>
  <si>
    <t>S: KJ855308, L: KJ855307</t>
  </si>
  <si>
    <t>S: KM272987, L: KP867641</t>
  </si>
  <si>
    <t>S: KM272988, L: KP867642</t>
  </si>
  <si>
    <t>S: KJ909794, L: KJ909795</t>
  </si>
  <si>
    <t>KM102981</t>
  </si>
  <si>
    <t>KJ631622</t>
  </si>
  <si>
    <t>KJ676450</t>
  </si>
  <si>
    <t>KR584663</t>
  </si>
  <si>
    <t>KJ406702</t>
  </si>
  <si>
    <t>KM371112</t>
  </si>
  <si>
    <t>Chizé virus (CHZV), EgAN 1825-61 virus (EGAV), Fin V 707 virus (FINV), Oceanside virus (OCV), Ponteves virus (PTVV), Rukutama virus (RUKV), St. Abbs Head virus (SAHV), Tunis virus (TUNV), Uukuniemi virus (UUKV), Zaliv Terpenyia virus (ZTV)</t>
  </si>
  <si>
    <t>L: AF025538, M: U42555, S: U27809</t>
  </si>
  <si>
    <t>L: X93218, M: M74904, S: X66972</t>
  </si>
  <si>
    <t>L: FJ623474, M: AF214014, S: AF001387</t>
  </si>
  <si>
    <t>L: KJ541746, M: KJ541745, S: KJ541744</t>
  </si>
  <si>
    <t>L: D10066, M: S48091, S: D00645</t>
  </si>
  <si>
    <t>L: GU735408, M: GU584185, S: GU584184</t>
  </si>
  <si>
    <t>L: AF133128, M: U75379, S: U78734</t>
  </si>
  <si>
    <t>JN606110</t>
  </si>
  <si>
    <t>AJ781003</t>
  </si>
  <si>
    <t>HG940503</t>
  </si>
  <si>
    <t>FJ824813</t>
  </si>
  <si>
    <t>FJ439817</t>
  </si>
  <si>
    <t>GU799606</t>
  </si>
  <si>
    <t>JX863737</t>
  </si>
  <si>
    <t>KC339249</t>
  </si>
  <si>
    <t>JQ814849</t>
  </si>
  <si>
    <t>KC241982</t>
  </si>
  <si>
    <t>GQ404851</t>
  </si>
  <si>
    <t>JQ011377</t>
  </si>
  <si>
    <t>GQ404856</t>
  </si>
  <si>
    <t>KJ020099</t>
  </si>
  <si>
    <t>DQ146997</t>
  </si>
  <si>
    <t>KP793918</t>
  </si>
  <si>
    <t>HQ738637</t>
  </si>
  <si>
    <t>HM228874</t>
  </si>
  <si>
    <t>JF938079</t>
  </si>
  <si>
    <t>JF938081</t>
  </si>
  <si>
    <t>JF938082</t>
  </si>
  <si>
    <t>HQ738634</t>
  </si>
  <si>
    <t>GQ404849</t>
  </si>
  <si>
    <t>JX185419</t>
  </si>
  <si>
    <t>JX185422</t>
  </si>
  <si>
    <t>JX185424</t>
  </si>
  <si>
    <t>JF938080</t>
  </si>
  <si>
    <t>JX185426</t>
  </si>
  <si>
    <t>KC512918</t>
  </si>
  <si>
    <t>KC512919</t>
  </si>
  <si>
    <t>KC512920</t>
  </si>
  <si>
    <t>JX569794</t>
  </si>
  <si>
    <t>HQ738643</t>
  </si>
  <si>
    <t>HQ738636</t>
  </si>
  <si>
    <t>KF031466</t>
  </si>
  <si>
    <t>KC771281</t>
  </si>
  <si>
    <t>KF726984</t>
  </si>
  <si>
    <t>GQ404847</t>
  </si>
  <si>
    <t>GQ404844</t>
  </si>
  <si>
    <t>GQ404846</t>
  </si>
  <si>
    <t>GQ404858</t>
  </si>
  <si>
    <t>GQ404845</t>
  </si>
  <si>
    <t>GQ404854</t>
  </si>
  <si>
    <t>GQ404855</t>
  </si>
  <si>
    <t>KC904540</t>
  </si>
  <si>
    <t>NCGR MEN 454.004</t>
  </si>
  <si>
    <t>AB733585</t>
  </si>
  <si>
    <t>Partial genomic RNA (JQ599282)</t>
  </si>
  <si>
    <t>Partial genomic RNA (JQ599283)</t>
  </si>
  <si>
    <t>Partial genomic RNA (JQ599284)</t>
  </si>
  <si>
    <t>AB844265</t>
  </si>
  <si>
    <t>JN880414</t>
  </si>
  <si>
    <t>KJ123645</t>
  </si>
  <si>
    <t>cv. 447</t>
  </si>
  <si>
    <t>KJ634409</t>
  </si>
  <si>
    <t>Abutilon golden mosaic virus - [Mexico:Yucatan:2007]</t>
  </si>
  <si>
    <t>Capraria yellow spot virus - [Mexico:Yucatan:Conkal:2007]</t>
  </si>
  <si>
    <t>Cassava mosaic Madagascar virus - [Madgascar:Toliary:2006]</t>
  </si>
  <si>
    <t>Catharanthus yellow mosaic virus - [Pakistan:Lahore:KN4]</t>
  </si>
  <si>
    <t>Chenopodium leaf curl virus - [USA:Florida:Citra:2007]</t>
  </si>
  <si>
    <t>Chilli leaf curl India virus - [India:2008]</t>
  </si>
  <si>
    <t>Chilli leaf curl Kanpur virus [India:Kanpur:2008]</t>
  </si>
  <si>
    <t>Chilli leaf curl Vellanad virus - [India:Vellanad:2008]</t>
  </si>
  <si>
    <t>Clerodendron yellow mosaic virus - [India:Iari:2006]</t>
  </si>
  <si>
    <t>Clerodendrum golden mosaic China virus - [China:Fuzhou 7:2007]</t>
  </si>
  <si>
    <t>Clerodendrum golden mosaic Jiangsu virus - [China:Jiangsu XY2:2008]</t>
  </si>
  <si>
    <t>Corchorus yellow vein mosaic virus - [India:Maharashtra:2011]</t>
  </si>
  <si>
    <t>Cotton chlorotic spot virus - [Brazil:Campina Grande B012:2009]</t>
  </si>
  <si>
    <t>Crassocephalum yellow vein virus - [China:Jinhong:2005]</t>
  </si>
  <si>
    <t>Emilia yellow vein virus - [China:Fuzhou 1:2007]</t>
  </si>
  <si>
    <t>French bean leaf curl virus - [India:Kanpur:2011]</t>
  </si>
  <si>
    <t>Hedyotis uncinella yellow mosaic virus - [Vietnam:VN1]</t>
  </si>
  <si>
    <t>Hemidesmus yellow mosaic virus - [India:Tirupati:H1:2012]</t>
  </si>
  <si>
    <t>Jatropha leaf curl virus - [India:New Delhi:2007]</t>
  </si>
  <si>
    <t>Jatropha mosaic Nigeria virus - [Nigeria:2:2011]</t>
  </si>
  <si>
    <t>Jatropha mosaic virus - [Jamaica:Spanish Town 1:2004]</t>
  </si>
  <si>
    <t>Jatropha yellow mosaic virus - [India:Kathaupahadi:2008]</t>
  </si>
  <si>
    <t>Malvastrum leaf curl Philippines virus - [Philippines:Mc1:2012]</t>
  </si>
  <si>
    <t>Mesta yellow vein mosaic Bahraich virus - [India:Bahraich:2007]</t>
  </si>
  <si>
    <t>Pepper yellow leaf curl virus - [China:YN65- 1:2010]</t>
  </si>
  <si>
    <t>Pouzolzia golden mosaic virus - [China:TY01:2012]</t>
  </si>
  <si>
    <t>Pouzolzia mosaic Guangdong virus - [Taiwan:Miaoli:ML13W1:2013]</t>
  </si>
  <si>
    <t>Premna leaf curl virus - [Vietnam:VN7:2011]</t>
  </si>
  <si>
    <t>Rhynchosia yellow mosaic India virus - [India:Thiruvananthapuram:JRH1:2009]</t>
  </si>
  <si>
    <t>Sauropus leaf curl virus - [Thailand:Kamphaengsaen:AFSP5e:2010]</t>
  </si>
  <si>
    <t>Sida ciliaris golden mosaic virus - [Venezuela:Lara:M3:2009]</t>
  </si>
  <si>
    <t>Sida common mosaic virus - [Brazil:Coimbra 4:2007]</t>
  </si>
  <si>
    <t>Sida golden mosaic Brazil virus - [Brazil:Mato Grosso do Sul:2007]</t>
  </si>
  <si>
    <t>Sida golden mosaic Lara virus - [Venezuela:Lara:M1:2009]</t>
  </si>
  <si>
    <t>Sida yellow leaf curl virus - [Brazil:Coimbra3:2007]</t>
  </si>
  <si>
    <t>Sidastrum golden leaf spot virus - [Brazil:DF334:2010]</t>
  </si>
  <si>
    <t>Soybean chlorotic blotch virus - [Nigeria:Soybean 19:2007]</t>
  </si>
  <si>
    <t>Spinach yellow vein virus - [India:Sikar:AS22]</t>
  </si>
  <si>
    <t>Sunn hemp leaf distortion virus - [India:Barrackpore 1:2008]</t>
  </si>
  <si>
    <t>Sweet potato leaf curl Henan virus - [China:Henan 10:2012]</t>
  </si>
  <si>
    <t>Sweet potato leaf curl Sichuan virus 1 - [China:Sichuan 15:2012]</t>
  </si>
  <si>
    <t>Sweet potato leaf curl Sichuan virus 2 - [China:Sichuan 14:2012]</t>
  </si>
  <si>
    <t>Tobacco leaf curl Comoros virus - [Comoros:Simboussa:2004]</t>
  </si>
  <si>
    <t>Tomato bright yellow mosaic virus - [Brazil:BA167:2012]</t>
  </si>
  <si>
    <t>Tomato bright yellow mottle virus - [Brazil:TO167:2008]</t>
  </si>
  <si>
    <t>Tomato golden leaf distortion virus - [Brazil:TO45:2007]</t>
  </si>
  <si>
    <t>Tomato interveinal chlorosis virus - [Brazil:Pernambuco:Mdc2681:2004]</t>
  </si>
  <si>
    <t>Tomato leaf curl Liwa virus - [Oman:Liwa:LW1:2012]</t>
  </si>
  <si>
    <t>Tomato leaf curl New Delhi virus 2 - [India:IANDS1:2011]</t>
  </si>
  <si>
    <t>Tomato leaf curl New Delhi virus 4 - [India:Junagad:TC306:2011]</t>
  </si>
  <si>
    <t>Tomato leaf curl Palampur virus - [India:Palampur:2007]</t>
  </si>
  <si>
    <t>Tomato leaf curl Patna virus - [India:Patna:2008]</t>
  </si>
  <si>
    <t>Tomato leaf curl Rajasthan virus - [India:Rajasthan:2005]</t>
  </si>
  <si>
    <t>Tomato leaf curl Sulawesi virus - [Indonesia:Sulawesi:Langowan F101:2006]</t>
  </si>
  <si>
    <t>Velvel bean severe mosaic virus - [India:Lucknow:2008]</t>
  </si>
  <si>
    <t>Vigna yellow mosaic virus - [Mexico:Morelos:Yautepec:2007]</t>
  </si>
  <si>
    <t>KJ437671</t>
  </si>
  <si>
    <t>KJ187746</t>
  </si>
  <si>
    <t>KF806702</t>
  </si>
  <si>
    <t>KC790376</t>
  </si>
  <si>
    <t>KC790381 KC790376</t>
  </si>
  <si>
    <t>DQ079870</t>
  </si>
  <si>
    <t>DQ079871</t>
  </si>
  <si>
    <t>DQ079876</t>
  </si>
  <si>
    <t>DQ079875</t>
  </si>
  <si>
    <t>DQ079879</t>
  </si>
  <si>
    <t>DQ079872</t>
  </si>
  <si>
    <t>DQ079874</t>
  </si>
  <si>
    <t>DQ079877</t>
  </si>
  <si>
    <t>DQ079869</t>
  </si>
  <si>
    <t>KC978949 - KC978956</t>
  </si>
  <si>
    <t>KC979054 - KC979059</t>
  </si>
  <si>
    <t>KJ704366-KJ704368</t>
  </si>
  <si>
    <t>KF741371</t>
  </si>
  <si>
    <t>KC876045</t>
  </si>
  <si>
    <t>KC858264</t>
  </si>
  <si>
    <t>KC460986</t>
  </si>
  <si>
    <t>KC858263</t>
  </si>
  <si>
    <t>JQ692938</t>
  </si>
  <si>
    <t>JX123128</t>
  </si>
  <si>
    <t>KC862318</t>
  </si>
  <si>
    <t>KF006399</t>
  </si>
  <si>
    <t>KC108721</t>
  </si>
  <si>
    <t>KJ130020</t>
  </si>
  <si>
    <t>HG530535</t>
  </si>
  <si>
    <t>KR816174</t>
  </si>
  <si>
    <t>KP769769</t>
  </si>
  <si>
    <t>KP205502</t>
  </si>
  <si>
    <t>JX972168</t>
  </si>
  <si>
    <t>KC858266</t>
  </si>
  <si>
    <t>KJ173785</t>
  </si>
  <si>
    <t>KF857586</t>
  </si>
  <si>
    <t>KJ452243</t>
  </si>
  <si>
    <t>KC810012</t>
  </si>
  <si>
    <t>KF963175, KF963176</t>
  </si>
  <si>
    <t>KF963177, KF963178</t>
  </si>
  <si>
    <t>KF963186, KF963187</t>
  </si>
  <si>
    <t>JN606091, JN606090</t>
  </si>
  <si>
    <t>AB972940</t>
  </si>
  <si>
    <t>JQ958886</t>
  </si>
  <si>
    <t>JQ958887</t>
  </si>
  <si>
    <t>JX159987</t>
  </si>
  <si>
    <t>JX520659</t>
  </si>
  <si>
    <t>JQ958889</t>
  </si>
  <si>
    <t>AB767298</t>
  </si>
  <si>
    <t>AB767297</t>
  </si>
  <si>
    <t>AB972945</t>
  </si>
  <si>
    <t>JX520660</t>
  </si>
  <si>
    <t>HQ385752</t>
  </si>
  <si>
    <t>HM011556</t>
  </si>
  <si>
    <t>GU989205</t>
  </si>
  <si>
    <t>HQ696595</t>
  </si>
  <si>
    <t>JX308829</t>
  </si>
  <si>
    <t>KF954417</t>
  </si>
  <si>
    <t>JX159986</t>
  </si>
  <si>
    <t>JQ958893</t>
  </si>
  <si>
    <t>JX520658</t>
  </si>
  <si>
    <t>JX520664</t>
  </si>
  <si>
    <t>FR692334</t>
  </si>
  <si>
    <t>HQ385746</t>
  </si>
  <si>
    <t>HQ385748</t>
  </si>
  <si>
    <t>JX159980</t>
  </si>
  <si>
    <t>JX159981</t>
  </si>
  <si>
    <t>JX159982</t>
  </si>
  <si>
    <t>JX159983</t>
  </si>
  <si>
    <t>AB767294</t>
  </si>
  <si>
    <t>JX159984</t>
  </si>
  <si>
    <t>FN356901</t>
  </si>
  <si>
    <t>FN356900</t>
  </si>
  <si>
    <t>JQ178241</t>
  </si>
  <si>
    <t>AB972944</t>
  </si>
  <si>
    <t>JQ958888</t>
  </si>
  <si>
    <t>AB972941</t>
  </si>
  <si>
    <t>JQ958890</t>
  </si>
  <si>
    <t>JX159988</t>
  </si>
  <si>
    <t>JX159985</t>
  </si>
  <si>
    <t>AB767299</t>
  </si>
  <si>
    <t>JQ958892</t>
  </si>
  <si>
    <t>AB972947</t>
  </si>
  <si>
    <t>AB972946</t>
  </si>
  <si>
    <t>JQ412134</t>
  </si>
  <si>
    <t>EF127906</t>
  </si>
  <si>
    <t>EF444549</t>
  </si>
  <si>
    <t>KF147833</t>
  </si>
  <si>
    <t>AB588640</t>
  </si>
  <si>
    <t>KP644238</t>
  </si>
  <si>
    <t>JX520661</t>
  </si>
  <si>
    <t>FJ188392</t>
  </si>
  <si>
    <t>AB767295</t>
  </si>
  <si>
    <t>JX520662</t>
  </si>
  <si>
    <t>JQ958891</t>
  </si>
  <si>
    <t>AM748741</t>
  </si>
  <si>
    <t>JX159989</t>
  </si>
  <si>
    <t>GQ331138</t>
  </si>
  <si>
    <t>HM011560</t>
  </si>
  <si>
    <t>HM011566</t>
  </si>
  <si>
    <t>JQ898291</t>
  </si>
  <si>
    <t>JX463183</t>
  </si>
  <si>
    <t>AY140894</t>
  </si>
  <si>
    <t>DQ192570</t>
  </si>
  <si>
    <t>KF360862</t>
  </si>
  <si>
    <t>KP033140</t>
  </si>
  <si>
    <t>DQ192571</t>
  </si>
  <si>
    <t>GU345044</t>
  </si>
  <si>
    <t>KP071318</t>
  </si>
  <si>
    <t>KC594077</t>
  </si>
  <si>
    <t>clone pCOL3.12</t>
  </si>
  <si>
    <t>JX156425</t>
  </si>
  <si>
    <t>KP742991</t>
  </si>
  <si>
    <t>JX156422</t>
  </si>
  <si>
    <t>SW3.1</t>
  </si>
  <si>
    <t xml:space="preserve">HarMV-57.2 </t>
  </si>
  <si>
    <t xml:space="preserve">SW3.1 </t>
  </si>
  <si>
    <t>JQ350738</t>
  </si>
  <si>
    <t>KM523548</t>
  </si>
  <si>
    <t>KF906523</t>
  </si>
  <si>
    <t>Seg1 FN563989, Seg2 FN563990, Seg3 FN563991, Seg4 FN563992, Seg5 FN563993, Seg6 FN563994, Seg7 FN563995, Seg8 FN563996, Seg9 EU523359, Seg10 EU523360</t>
  </si>
  <si>
    <t>KR337473-KR337482</t>
  </si>
  <si>
    <t>KF482072</t>
  </si>
  <si>
    <t>Bari-Dr. Gallitelli</t>
  </si>
  <si>
    <t>KJ939623 to KJ939631</t>
  </si>
  <si>
    <t>JN620802</t>
  </si>
  <si>
    <t>LC019764</t>
  </si>
  <si>
    <t>JX123318</t>
  </si>
  <si>
    <t>KC577469</t>
  </si>
  <si>
    <t>JF495127</t>
  </si>
  <si>
    <t>RNA1: KP760461, RNA2: KP760462</t>
  </si>
  <si>
    <t>RNA1: AB976029, RNA2: AB976030</t>
  </si>
  <si>
    <t>Kons.1105-R14</t>
  </si>
  <si>
    <t>Lloviu virus/M.schreibersii-wt/ESP/2003/Asturias-Bat86</t>
  </si>
  <si>
    <t>Bundibugyo virus/H.sapiens-tc/UGA/2007/Butalya-811250</t>
  </si>
  <si>
    <t>Reston virus/M.fascicularis-tc/USA/1989/Philippines89-Pennsylvania</t>
  </si>
  <si>
    <t>Taï Forest virus/H.sapiens-tc/CIV/1994/Pauléoula-CI</t>
  </si>
  <si>
    <t>Marburg virus/H.sapiens-tc/KEN/1980/Mt. Elgon-Musoke</t>
  </si>
  <si>
    <t>AF081020</t>
  </si>
  <si>
    <t xml:space="preserve">Australian bat lyssavirus </t>
  </si>
  <si>
    <t>JF311903</t>
  </si>
  <si>
    <t xml:space="preserve">Bokeloh bat lyssavirus </t>
  </si>
  <si>
    <t>JX193798</t>
  </si>
  <si>
    <t xml:space="preserve">Ikoma virus </t>
  </si>
  <si>
    <t>GQ375258</t>
  </si>
  <si>
    <t>GQ410979</t>
  </si>
  <si>
    <t xml:space="preserve"> M205002</t>
  </si>
  <si>
    <t xml:space="preserve">Flanders virus </t>
  </si>
  <si>
    <t>FJ985748</t>
  </si>
  <si>
    <t xml:space="preserve">Moussa virus </t>
  </si>
  <si>
    <t>FJ715959</t>
  </si>
  <si>
    <t xml:space="preserve">Ngaingan virus </t>
  </si>
  <si>
    <t>EF612701</t>
  </si>
  <si>
    <t xml:space="preserve">Wongabel virus </t>
  </si>
  <si>
    <t>RNA1: AF394606, RNA2: AF394607</t>
  </si>
  <si>
    <t>RNA1: GU810903, RNA2: GU810904</t>
  </si>
  <si>
    <t>RNA1: X00206, RNA2: X00729</t>
  </si>
  <si>
    <t>RNA1: M83830, RNA2: M83309</t>
  </si>
  <si>
    <t>RNA1: AB295643, RNA2: AB295644</t>
  </si>
  <si>
    <t>RNA1: X64886, RNA2: M14913</t>
  </si>
  <si>
    <t>RNA1: EU421059, RNA2: EU421060</t>
  </si>
  <si>
    <t>RNA1: AB084450, RNA2: AB084451</t>
  </si>
  <si>
    <t>RNA1: AF225953, RNA2: AF225954</t>
  </si>
  <si>
    <t>RNA1: AB084452, RNA2: AB084453</t>
  </si>
  <si>
    <t>RNA1: KC595304, RNA2: KC595305</t>
  </si>
  <si>
    <t>RNA1: AY303786, RNA2: AY017339</t>
  </si>
  <si>
    <t>RNA1: D00322, RNA2: X04062</t>
  </si>
  <si>
    <t>RNA1: AF368272, RNA2: AF020051</t>
  </si>
  <si>
    <t>RNA1: AB649296, RNA2: AB649297</t>
  </si>
  <si>
    <t>RNA1: FR851461, RNA2: FR851462</t>
  </si>
  <si>
    <t>RNA1: AB073147, RNA2: AB073148</t>
  </si>
  <si>
    <t>RNA1: HE774604, RNA2: AY291207</t>
  </si>
  <si>
    <t>RNA1: FN691934, RNA2: FN691935</t>
  </si>
  <si>
    <t>RNA1: X15346, RNA2: X15163</t>
  </si>
  <si>
    <t>RNA1: HE613269, RNA2: AY291208</t>
  </si>
  <si>
    <t>RNA1: D00915, RNA2: X16907</t>
  </si>
  <si>
    <t>RNA1: AB518485, RNA2: AB518486</t>
  </si>
  <si>
    <t>RNA1: KC832887, RNA2: KC832892</t>
  </si>
  <si>
    <t>RNA1: AY303787, RNA2: AY303788</t>
  </si>
  <si>
    <t>RNA1: KJ556849, RNA2: KJ556850</t>
  </si>
  <si>
    <t>RNA1: AY157993, RNA2: AY157994</t>
  </si>
  <si>
    <t>RNA1: L19655, RNA2: D12477</t>
  </si>
  <si>
    <t>RNA1: AB030940, RNA2: AB030941</t>
  </si>
  <si>
    <t>RNA1: JQ437415, RNA2: JQ581051</t>
  </si>
  <si>
    <t>RNA1: AJ621357, RNA2: AJ621358</t>
  </si>
  <si>
    <t>RNA1: AB009958, RNA2: AB009959</t>
  </si>
  <si>
    <t>RNA1: KC855266, RNA2: KC855267</t>
  </si>
  <si>
    <t>RNA1: EF681764, RNA2: EF681765</t>
  </si>
  <si>
    <t>RNA1: DQ388879, RNA2: DQ388880</t>
  </si>
  <si>
    <t>RNA1: DQ344639, RNA2: DQ344640</t>
  </si>
  <si>
    <t>RNA1: AY860978, RNA2: AY860979</t>
  </si>
  <si>
    <t>RNA1: AJ311875, RNA2: AJ311876</t>
  </si>
  <si>
    <t>RNA1: D84410, RNA2: D84411, RNA3: D84412, RNA4: D84413</t>
  </si>
  <si>
    <t>RNA1: AF280539, RNA2: AF061869, RNA3: AF280540, RNA4: AF280541</t>
  </si>
  <si>
    <t>RNA1: AB818898, RNA2: AB818899</t>
  </si>
  <si>
    <t>RNA1: EU099844, RNA2: EU099845</t>
  </si>
  <si>
    <t>RNA1: L00163, RNA2: X01572, RNA3: K02703</t>
  </si>
  <si>
    <t>RNA1: AB724113, RNA2: AB724114, RNA3: AB724115</t>
  </si>
  <si>
    <t>RNA1: AJ272327, RNA2: AJ272328, RNA3: AJ272329</t>
  </si>
  <si>
    <t>RNA1: M65138, RNA2: M64713, RNA3: M60291</t>
  </si>
  <si>
    <t>RNA1: X58456, RNA2: X58457, RNA3: X58458</t>
  </si>
  <si>
    <t>RNA1: AB194806, RNA2: AB194807, RNA3: AB194808</t>
  </si>
  <si>
    <t>RNA1: M65139, RNA2: M28817, RNA3: M28818</t>
  </si>
  <si>
    <t>RNA1: AB444583, RNA2: AB444584, RNA3: AB444585</t>
  </si>
  <si>
    <t>RNA1: AB080598, RNA2: AB080599, RNA3: AB080600</t>
  </si>
  <si>
    <t>RNA1: D00356, RNA2: D00355, RNA3: D10538</t>
  </si>
  <si>
    <t>RNA1: FM881899, RNA2: FM881900, RNA3: FM881901</t>
  </si>
  <si>
    <t>RNA1: U15728, RNA2: U15729, RNA3: U15730</t>
  </si>
  <si>
    <t>RNA1: D10044, RNA2: D10663, RNA3: AJ277268</t>
  </si>
  <si>
    <t>RNA1: AF235033, RNA2: AF235165, RNA3: AF235166</t>
  </si>
  <si>
    <t>RNA1: AF174584, RNA2: AF174585, RNA3: U15608</t>
  </si>
  <si>
    <t>RNA1: EU919666, RNA2: EU919667, RNA3: X86352</t>
  </si>
  <si>
    <t>RNA1: DQ091193, RNA2: DQ091194, RNA3: DQ091195</t>
  </si>
  <si>
    <t>RNA1: KF031037, RNA2: KF031038, RNA3: KF031039</t>
  </si>
  <si>
    <t>RNA1: U23715, RNA2: U17726, RNA3: U17390</t>
  </si>
  <si>
    <t>RNA1: EF584664, RNA2: EF584665, RNA3: U17389</t>
  </si>
  <si>
    <t>RNA1: U57047, RNA2: U34050, RNA3: U85399</t>
  </si>
  <si>
    <t>RNA1: AY682102, RNA2: AY707771, RNA3: AY707772</t>
  </si>
  <si>
    <t>RNA1: AY500236, RNA2: AY500237, RNA3: AY500238</t>
  </si>
  <si>
    <t>RNA1: HE572565, RNA2: FN669168, RNA3: FN669169</t>
  </si>
  <si>
    <t>RNA2: EU919669, RNA3: U17391</t>
  </si>
  <si>
    <t>RNA1: AY496068, RNA2: AY496069, RNA3: U35145</t>
  </si>
  <si>
    <t>RNA1: U57648, RNA2: AF277662, RNA3: L28145</t>
  </si>
  <si>
    <t>RNA1: JN416771, RNA2: JN416772, RNA3: JN416773</t>
  </si>
  <si>
    <t>RNA1: U93192, RNA2: U93193, RNA3: U93194</t>
  </si>
  <si>
    <t>RNA1: DQ318818, RNA2: AY743591, RNA3: AY363228</t>
  </si>
  <si>
    <t>RNA1: U80934, RNA2: U75538, RNA3: X00435</t>
  </si>
  <si>
    <t>RNA1: AF226160, RNA2: AF226161, RNA3: AF226162</t>
  </si>
  <si>
    <t>RNA1: X94346, RNA2: X94347, RNA3: X76993</t>
  </si>
  <si>
    <t>AY493509</t>
  </si>
  <si>
    <t>Goldfinger</t>
  </si>
  <si>
    <t>AJ277091</t>
  </si>
  <si>
    <t>Ireng Maleng</t>
  </si>
  <si>
    <t>RNA1: AJ781166, RNA2: AJ781165, RNA3: AJ781164, RNA4: AJ781163</t>
  </si>
  <si>
    <t>RNA1: FN178512, RNA2: FN178513, RNA3: FN178514, RNA4: FN178515</t>
  </si>
  <si>
    <t>RNA1: AF297176, RNA2: AF297177, RNA3: AF297178, RNA4: AF297179</t>
  </si>
  <si>
    <t>RNA1: AF296439, RNA2: AF296440, RNA3: AF296441, RNA4: AF296442</t>
  </si>
  <si>
    <t>RNA1: HM004067, RNA2: HM004068, RNA3: HM004069, RNA4: HM004070</t>
  </si>
  <si>
    <t>RNA1: EU191904, RNA2: EU191905</t>
  </si>
  <si>
    <t>RNA1: AY330918, RNA2: AY330919</t>
  </si>
  <si>
    <t>RNA1: AY776334, RNA2: AY776335</t>
  </si>
  <si>
    <t>RNA1: AY242077, RNA2: AY242078</t>
  </si>
  <si>
    <t>RNA1: GQ225585, RNA2: GQ376201</t>
  </si>
  <si>
    <t>RNA1: FJ380118, RNA2: FJ380119</t>
  </si>
  <si>
    <t>RNA1: U15440, RNA2: U15441</t>
  </si>
  <si>
    <t>RNA1: AJ557128, RNA2: AJ557129, RNA3: AJ508757</t>
  </si>
  <si>
    <t>RNA1: AY488137, RNA2: AY488138</t>
  </si>
  <si>
    <t>RNA1: AJ428554, RNA2: AJ428555</t>
  </si>
  <si>
    <t>RNA1: AY903447, RNA2: AY903448</t>
  </si>
  <si>
    <t>RNA1: FJ815440, RNA2: FJ815441</t>
  </si>
  <si>
    <t>Heenan88</t>
  </si>
  <si>
    <t>HM439775</t>
  </si>
  <si>
    <t xml:space="preserve">ID </t>
  </si>
  <si>
    <t>D11028</t>
  </si>
  <si>
    <t>PS1</t>
  </si>
  <si>
    <t>RNA1: AB512282, RNA2: AB512283</t>
  </si>
  <si>
    <t>DNA-R: EF546813, DNA-U3: EF546809, DNA-S: EF546810, DNA-M: EF546811, DNA-C: EF546812, DNA-N: EF546808</t>
  </si>
  <si>
    <t>DNA-R: S56276, DNA-U3: L41576, DNA-S: L41574, DNA-M: L41575, DNA-C: L41578, DNA-N: L41577</t>
  </si>
  <si>
    <t>DNA-R: JX867550, DNA-U3: KF435143, DNA-S: JX867540, DNA-M: JX569847, DNA-C: JX867548, DNA-N: JX867546, DNA-U1: KF435145, DNA-U2: KF435146, DNA-U4: KF435147</t>
  </si>
  <si>
    <t>DNA-R: GQ150778, DNA-U1: GQ150783, DNA-M: GQ150781, DNA-S: GQ150779, DNA-U2: GQ150784, DNA-N: GQ150782, DNA-C: GQ150780, DNA-U4: GQ150785</t>
  </si>
  <si>
    <t>DNA-R: AJ132180, DNA-U1: AJ132181, DNA-M: AJ132182, DNA-S: AJ132183, DNA-U2: AJ132184, DNA-N: AJ132186, DNA-C: AJ132179, DNA-U4: AJ749902</t>
  </si>
  <si>
    <t>DNA-R: HE654123, DNA-U1: HE654128, DNA-M: HE654125, DNA-S: HE654124, DNA-U2: HE654129, DNA-N: HE654127, DNA-C: HE654126, DNA-U4: HE654130</t>
  </si>
  <si>
    <t>DNA-C: AB000923, DNA-U1: AB000924, DNA-N: AB000925, DNA-U2: AB000926, DNA-M: AB000927, DNA-S: AB009046, DNA-R: AB027511, DNA-U4: AB255373</t>
  </si>
  <si>
    <t>DNA-R: GU553134, DNA-U1: JN133283, DNA-M: JN133281, DNA-S: JN133279, DNA-U2: JN133284, DNA-N: JN133282, DNA-C: JN133280, DNA-U4: JN133285</t>
  </si>
  <si>
    <t>DNA-M: U16730, DNA-C: U16732, DNA-N: U16733, DNA-S: U16734, DNA-U1: U16736, DNA-R: AJ290434</t>
  </si>
  <si>
    <t>RNA1: AY654892, RNA2: AY654893, RNA3: AY654894</t>
  </si>
  <si>
    <t>RNA1: AY535016, RNA2: AY535017, RNA3: AY535018, RNA4: AY535019</t>
  </si>
  <si>
    <t>RNA1: AF525933, RNA2: AF525934, RNA3: AF525935, RNA4: AF525936</t>
  </si>
  <si>
    <t>RNA1: EU489061, RNA2: EU489062</t>
  </si>
  <si>
    <t>RNA1: FJ550604, RNA2: FJ550605</t>
  </si>
  <si>
    <t>RNA1: AJ781168, RNA2: AJ781167</t>
  </si>
  <si>
    <t>RNA1: AM999771, RNA2: AM999772</t>
  </si>
  <si>
    <t>RNA1: AB465308, RNA2: AB465309</t>
  </si>
  <si>
    <t>RNA1: HQ541323, RNA2: HQ541324</t>
  </si>
  <si>
    <t>RNA1: FJ816271, RNA2: FJ816272</t>
  </si>
  <si>
    <t>RNA1: AB569997, RNA2: AB569998</t>
  </si>
  <si>
    <t>RNA1: AY751737, RNA2: AY751738</t>
  </si>
  <si>
    <t>RNA1: AY705784, RNA2: AY705785</t>
  </si>
  <si>
    <t>RNA1: L39125, RNA2: L39126</t>
  </si>
  <si>
    <t>RNA1: JN196536, RNA2: JN196537</t>
  </si>
  <si>
    <t>RNA1: AY603052, RNA2: AY603051</t>
  </si>
  <si>
    <t>RNA1: JX971982, RNA2: JX971983</t>
  </si>
  <si>
    <t>RNA1: JX971984, RNA2: JX971985</t>
  </si>
  <si>
    <t>RNA1: AF047013, RNA2: AF015924</t>
  </si>
  <si>
    <t>RNA1: HM565953, RNA2: HM565954</t>
  </si>
  <si>
    <t>RNA1: JX625227, RNA2: JX625228</t>
  </si>
  <si>
    <t>RNA1: JX971980, RNA2: JX971981</t>
  </si>
  <si>
    <t>RNA1: AY533038, RNA2: AY533036</t>
  </si>
  <si>
    <t>RNA1: EU195326, RNA2: EU195327</t>
  </si>
  <si>
    <t>RNA1: JX971978, RNA2: JX971979</t>
  </si>
  <si>
    <t>RNA1: AF133290, RNA2: AF133291</t>
  </si>
  <si>
    <t>RNA1: AB113347, RNA2: AB113348</t>
  </si>
  <si>
    <t>RNA1: JX971976, RNA2: JX971977</t>
  </si>
  <si>
    <t>RNA1: U95995, RNA2: U95996</t>
  </si>
  <si>
    <t>RNA1: HM560702, RNA2: HM560703, RNA3: HM560704</t>
  </si>
  <si>
    <t>RNA1: FR687854, RNA2: FR687855</t>
  </si>
  <si>
    <t>RNA1: JN117278, RNA2: JN117279</t>
  </si>
  <si>
    <t>RNA1: EU118277, RNA1: DQ270031, RNA2: EU118278, RNA3: EU118279</t>
  </si>
  <si>
    <t>RNA1: AF316992, RNA2: AF316993</t>
  </si>
  <si>
    <t>RNA1: AY033436, RNA2: AY033437</t>
  </si>
  <si>
    <t>RNA1: D55668, RNA2: D55669</t>
  </si>
  <si>
    <t>RNA1: AY089993, RNA2: AY089994</t>
  </si>
  <si>
    <t>RNA1: AM087202, RNA2: AM087203</t>
  </si>
  <si>
    <t>RNA1: AY738336, RNA2: AY738337</t>
  </si>
  <si>
    <t>RNA1: AY156521, RNA2: AY156522</t>
  </si>
  <si>
    <t>RNA1:Y10973, RNA2:X90904</t>
  </si>
  <si>
    <t>RNA1:AJ132268, RNA2:AJ132269</t>
  </si>
  <si>
    <t>RNA1:AJ306718, RNA2:AJ306719</t>
  </si>
  <si>
    <t>RNA1:D86634, RNA2:D86635</t>
  </si>
  <si>
    <t>RNA1: AB620061, RNA2: AB620062, RNA3: AB620063, RNA4: AB620064</t>
  </si>
  <si>
    <t>S1: DQ126101, S2: DQ126102, S3: DQ126103, S4: DQ126104, S5: DQ126105, S6: DQ126106, S7: DQ126107, S8: DQ126108, S9: DQ126109, S10: DQ126110, S11: DQ126111</t>
  </si>
  <si>
    <t>RNA1: U73201, RNA2: U73202, RNA3: U72757, RNA4: U36562, RNA5: U36563, RNA6: U36564, RNA7: U36402, RNA8: U36565, RNA9: U36566, RNA10: U36567, RNA11: U36568, RNA12: U36569</t>
  </si>
  <si>
    <t>RNA1: AB254451, RNA2: D86439, RNA3: D13774, RNA4: AB254452, RNA5: D76429, RNA6: AB254454, RNA7: AB254453, RNA8: D13410, RNA9: D01047, RNA10: D13411, RNA11: AB030009, RNA12: AB254455</t>
  </si>
  <si>
    <t>RNA4: M24117, RNA5: J03020, RNA6: M24116, RNA7: X14218, RNA8: J04344, RNA9: M24115, RNA10: M24114, RNA11: X14219, RNA12: M11133</t>
  </si>
  <si>
    <t>S1: AY029520, S2: AF049704, S3: AF359556, S4: AF049705, S5: AY029521, S6: AF356083, S7: AY789927, S8: AY297693, S9: AF050086, S10: AY297694</t>
  </si>
  <si>
    <t>S6: X55701, S7: L76562, S8: L76561, S10: L76560</t>
  </si>
  <si>
    <t>S1: AF499925, S2: AF499926, S3: AF499928, S4: AF395873, S5: AY607587, S6: AF499927, S7: AY923115, S8: AF395872, S9: DQ023312, S10: AY607586</t>
  </si>
  <si>
    <t>S1: D49693, S2: D49694, S3: D49695, S4: D49696, S5: D49697, S6: D49698, S7: D49699, S8: D26127, S9: D49700, S10: D14691</t>
  </si>
  <si>
    <t>S7: AB011024, S8: AB011025, S9: AB011026, S10: AB011027</t>
  </si>
  <si>
    <t>S1: AJ294757, S2: AJ409145, S3: AJ293984, S4: AJ409146, S5: AJ409147, S6: AJ409148, S7: AJ297427, S8: AJ297431, S9: AJ297430, S10: AJ297433</t>
  </si>
  <si>
    <t>S1: AY277888, S2: AY277889, S3: AY277890, S4: AB179636, S5: AB179637, S6: AB179638, S7: AB179639, S8: AB179640, S9: AB179641, S10: AB179642, S11: AB179643</t>
  </si>
  <si>
    <t>S1: AB102674, S2: AB098022, S3: AB102675, S5: AB073276, S5: AB098023, S6: AB073277, S7: AB073278, S8: AB073279, S9: AB073280, S10: AB073281, S11: AB073282, S12: AB073283</t>
  </si>
  <si>
    <t>RNA1: AF020334, RNA2: AF020335, RNA3: AF020336, RNA4: U66714, RNA5: U33633, RNA6: AF020337, RNA7: U66713, RNA8: L46682, RNA9: L38899, RNA10: U66712</t>
  </si>
  <si>
    <t>RNA1: L18870, RNA2: M88589</t>
  </si>
  <si>
    <t>RNA1: J04357, RNA2: X08021</t>
  </si>
  <si>
    <t>RNA1: L07884, RNA2: S46028</t>
  </si>
  <si>
    <t>1-Jan</t>
  </si>
  <si>
    <t>1-Feb</t>
  </si>
  <si>
    <t>RNA1: DQ352194, RNA2: DQ352195</t>
  </si>
  <si>
    <t>RNA1: AY563040, RNA2: AY563041, RNA3: DQ831831, RNA4: DQ831828</t>
  </si>
  <si>
    <t>RNA1: AM941711, RNA2: FM864225, RNA3: FM991954, RNA4: FM992851, RNA5: HE803826, RNA6: HE803827</t>
  </si>
  <si>
    <t>RNA1: HF568801, RNA2: HF568802, RNA3: HF568803, RNA4: HF568804, RNA5: HF945448</t>
  </si>
  <si>
    <t>RNA1: FR823299, RNA2: FR823300, RNA3: FR823301, RNA4: FR823302, RNA5: FR823303</t>
  </si>
  <si>
    <t>RNA1: HQ871942, RNA2: HQ871943, RNA3: HQ871944, RNA4: HQ871945</t>
  </si>
  <si>
    <t>RNA1: HQ852052, RNA2: HQ852053, RNA3: HQ852054</t>
  </si>
  <si>
    <t>RNA1: S51557, RNA2: S55890</t>
  </si>
  <si>
    <t>RNA1: FJ157981, RNA2: FJ157982, RNA3: FJ157983</t>
  </si>
  <si>
    <t>RNA1: EU770620, RNA2: EU770621, RNA3: EU770622</t>
  </si>
  <si>
    <t>RNA1: EU770623, RNA2: EU770624, RNA3: EU770625</t>
  </si>
  <si>
    <t>RNA3: L75930, RNA4: L48441, RNA5: L47430</t>
  </si>
  <si>
    <t>RNA2: AY312434, RNA3: AY312435, RNA4: AY312436</t>
  </si>
  <si>
    <t>RNA2: U53224, RNA3: M57426, RNA4: S40180, RNA5: S58504</t>
  </si>
  <si>
    <t>RNA1: AB009656, RNA2: AB010376, RNA3: AB010377, RNA4: AB010378, RNA5: AB000403, RNA6: AB000404</t>
  </si>
  <si>
    <t>RNA2: L54073, RNA3: AF004658, RNA3: L07940, RNA4: L14952, RNA4: AF004657</t>
  </si>
  <si>
    <t>RNA1: D31879, RNA2: D13176, RNA3: X53563, RNA4: D10979</t>
  </si>
  <si>
    <t>RNA3: U82447, RNA4: U82446</t>
  </si>
  <si>
    <t>RNA1: AJ012005, RNA2: AJ012006</t>
  </si>
  <si>
    <t>RNA1: AB033689, RNA2: AB033690</t>
  </si>
  <si>
    <t>RNA1: AJ132578, RNA2: AJ132579</t>
  </si>
  <si>
    <t>RNA1: AJ132576, RNA2: AJ132577</t>
  </si>
  <si>
    <t>RNA1: L07937, RNA2: L07938</t>
  </si>
  <si>
    <t>RNA1: AB033691, RNA2: AB033692</t>
  </si>
  <si>
    <t>RNA1: J04342, RNA2: X03854, RNA3: M16576</t>
  </si>
  <si>
    <t>RNA1: X99149, RNA2: AF447397</t>
  </si>
  <si>
    <t>RNA1: X78602, RNA2: L07269</t>
  </si>
  <si>
    <t>RNA1: Z97873, RNA2: U64512, RNA3: Z66493</t>
  </si>
  <si>
    <t>RNA1: AJ223596, RNA2: AJ223597, RNA3: AJ223598</t>
  </si>
  <si>
    <t>RNA1: D86636, RNA2: D86637, RNA3: D86638</t>
  </si>
  <si>
    <t>RNA1: AJ238607, RNA2: AJ243719, RNA3: AJ277556</t>
  </si>
  <si>
    <t>RNA1: X14006, RNA2: X51828</t>
  </si>
  <si>
    <t>RNA1: L23972, RNA2: X03241</t>
  </si>
  <si>
    <t>RNA1: AF166084, RNA2: Z36974</t>
  </si>
  <si>
    <t>Mòjiāng virus</t>
  </si>
  <si>
    <t>Xīnchéng mosquito virus</t>
  </si>
  <si>
    <t>Lĭshì spider virus 2</t>
  </si>
  <si>
    <t>Tǎchéng tick virus 6</t>
  </si>
  <si>
    <t>Wēnzhōu crab virus 1</t>
  </si>
  <si>
    <t>Sānxiá water strider virus 4</t>
  </si>
  <si>
    <t>Wēnzhōu virus isolate Wencheng Rn-242</t>
  </si>
  <si>
    <t>Morocco</t>
  </si>
  <si>
    <t>Demler</t>
  </si>
  <si>
    <t>Sudan virus/H.sapiens-tc/UGA/2000/Gulu-808892</t>
  </si>
  <si>
    <t>Ebola virus/H.sapiens-tc/COD/1976/Yambuku-Mayinga</t>
  </si>
  <si>
    <t xml:space="preserve">MtFE87 </t>
  </si>
  <si>
    <t>Spreadsheet Column Name</t>
  </si>
  <si>
    <t>Definition</t>
  </si>
  <si>
    <t>An 'Order' is the highest taxonomic level into which virus species can be classified. Use of the taxonomic level Order is optional.  If 'Unassigned' has been entered, the taxon has not been assigned to an Order</t>
  </si>
  <si>
    <t>A  'Family' is a level in the taxonomic hierarchy into which virus species can be classified.  If marked 'Unassigned' (which is rare) the lower taxonomic level of 'Genus' has not been assigned to a Family</t>
  </si>
  <si>
    <t>A  'Subfamily' is a level in the taxonomic hierarchy into which virus species can be classified. Use of the taxonomic level Subfamily is optional. If left blank, the lower  taxonomic levels of genus and/or species have not been assigned to a Subfamily</t>
  </si>
  <si>
    <t>A  'Genus' is a level in the taxonomic hierarchy into which virus species can be classified.  If 'Unassigned' (which is rare) that species has not been assigned to a Genus.</t>
  </si>
  <si>
    <r>
      <t xml:space="preserve">A Species is the lowest taxonomic level in the hierarchy approved by the ICTV. While subspecies levels of classification may exist for some viruses species (e.g. </t>
    </r>
    <r>
      <rPr>
        <i/>
        <sz val="12"/>
        <color indexed="8"/>
        <rFont val="Arial"/>
      </rPr>
      <t>Hepatitis C virus</t>
    </r>
    <r>
      <rPr>
        <sz val="12"/>
        <color indexed="8"/>
        <rFont val="Arial"/>
      </rPr>
      <t>), the ICTV does not discuss or approve the classification of viruses below the species level.</t>
    </r>
  </si>
  <si>
    <t>One 'Type Species' is chosen for each Genus to serve as an example of a well characterized species for that Genus. If the value in this column is '1', this indicates that this species has been chosen as the type species for its genus.</t>
  </si>
  <si>
    <t>Exemplar GenBank Accession Number</t>
  </si>
  <si>
    <t>The GenBank accession number for the complete genomic sequence of a representative virus isolate classified as a member of the indicated species.</t>
  </si>
  <si>
    <t>The name of a representative virus isolate classified as a member of the indicated species.</t>
  </si>
  <si>
    <t>The nature (molecular and genetic composition) of the virus genome packaged into the virion. Possible values are:
- dsDNA
- ssDNA
- ssDNA(-)
- ssDNA(+)
- ssDNA(+/-)
- dsDNA-RT
- ssRNA-RT
- dsRNA
- ssRNA(-)
- ssRNA(+)
- ssRNA(+/-)
- Viroid</t>
  </si>
  <si>
    <t>The last change made to each virus species across the entire history of the taxon. Possible changes include a combination of the following:
- Abolished
- Merged
- Moved
- New
- Promoted
- Renamed
- Split
- Assigned as Type Species</t>
  </si>
  <si>
    <t>The release number of the Master Species List (MSL) where the Last Change occurred. See http://www.ictvonline.org/taxonomyReleases.asp for a list of MSLs and their year of release.</t>
  </si>
  <si>
    <t>The file name of the taxonomic proposal that details the justification for the last change. Proposals can be retrieved by appending the file nameand '.pdf' to the end of the following url: http://www.ictvonline.org/proposals/&lt;replace with file name.pdf&gt;</t>
  </si>
  <si>
    <t>The web url link that provides the complete taxonomic history of the species. The proposal indicated above can be downloaded from the link provided by the last changed entry in the history.</t>
  </si>
  <si>
    <t>MSL of Last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</si>
</sst>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0" x14ac:knownFonts="1">
    <font>
      <sz val="10"/>
      <name val="Arial"/>
    </font>
    <font>
      <sz val="8"/>
      <name val="Arial"/>
      <family val="2"/>
    </font>
    <font>
      <i/>
      <sz val="10"/>
      <color indexed="8"/>
      <name val="Verdana"/>
      <family val="2"/>
    </font>
    <font>
      <sz val="8"/>
      <name val="Verdana"/>
      <family val="2"/>
    </font>
    <font>
      <sz val="14"/>
      <name val="Arial"/>
      <family val="2"/>
    </font>
    <font>
      <b/>
      <sz val="12"/>
      <name val="Arial"/>
      <family val="2"/>
    </font>
    <font>
      <sz val="12"/>
      <name val="Arial"/>
    </font>
    <font>
      <sz val="10"/>
      <color indexed="8"/>
      <name val="Verdana"/>
      <family val="2"/>
    </font>
    <font>
      <b/>
      <i/>
      <sz val="10"/>
      <color indexed="8"/>
      <name val="Verdana"/>
      <family val="2"/>
    </font>
    <font>
      <b/>
      <sz val="10"/>
      <color indexed="8"/>
      <name val="Verdana"/>
      <family val="2"/>
    </font>
    <font>
      <b/>
      <sz val="14"/>
      <color theme="1"/>
      <name val="Arial"/>
      <family val="2"/>
    </font>
    <font>
      <sz val="10"/>
      <color theme="1"/>
      <name val="Arial"/>
      <family val="2"/>
    </font>
    <font>
      <sz val="10"/>
      <color rgb="FF000000"/>
      <name val="Verdana"/>
      <family val="2"/>
    </font>
    <font>
      <sz val="12"/>
      <color theme="1"/>
      <name val="Calibri"/>
      <family val="2"/>
      <scheme val="minor"/>
    </font>
    <font>
      <sz val="14"/>
      <color theme="1"/>
      <name val="Arial"/>
    </font>
    <font>
      <b/>
      <sz val="12"/>
      <color theme="1"/>
      <name val="Arial"/>
    </font>
    <font>
      <sz val="12"/>
      <color theme="1"/>
      <name val="Arial"/>
    </font>
    <font>
      <i/>
      <sz val="12"/>
      <color indexed="8"/>
      <name val="Arial"/>
    </font>
    <font>
      <sz val="12"/>
      <color indexed="8"/>
      <name val="Arial"/>
    </font>
    <font>
      <sz val="12"/>
      <color rgb="FF000000"/>
      <name val="Arial"/>
    </font>
  </fonts>
  <fills count="5">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cellStyleXfs>
  <cellXfs count="47">
    <xf numFmtId="0" fontId="0" fillId="0" borderId="0" xfId="0"/>
    <xf numFmtId="0" fontId="2" fillId="0" borderId="0" xfId="0" applyFont="1" applyFill="1"/>
    <xf numFmtId="0" fontId="2" fillId="0" borderId="0" xfId="0" applyFont="1" applyFill="1" applyBorder="1"/>
    <xf numFmtId="0" fontId="7" fillId="0" borderId="0" xfId="0" applyFont="1" applyFill="1"/>
    <xf numFmtId="0" fontId="2" fillId="0" borderId="0" xfId="0" applyFont="1" applyFill="1" applyAlignment="1"/>
    <xf numFmtId="0" fontId="0" fillId="0" borderId="0" xfId="0" applyBorder="1"/>
    <xf numFmtId="0" fontId="0" fillId="0" borderId="0" xfId="0" applyBorder="1" applyAlignment="1">
      <alignment horizontal="left"/>
    </xf>
    <xf numFmtId="0" fontId="4" fillId="0" borderId="0" xfId="0" applyFont="1" applyBorder="1"/>
    <xf numFmtId="0" fontId="4" fillId="0" borderId="0" xfId="0" applyFont="1" applyFill="1" applyBorder="1"/>
    <xf numFmtId="0" fontId="5" fillId="0" borderId="0" xfId="0" applyFont="1" applyFill="1" applyBorder="1" applyAlignment="1">
      <alignment horizontal="right"/>
    </xf>
    <xf numFmtId="0" fontId="6" fillId="0" borderId="0" xfId="0" applyFont="1" applyFill="1" applyBorder="1"/>
    <xf numFmtId="15" fontId="6" fillId="0" borderId="0" xfId="0" applyNumberFormat="1" applyFont="1" applyFill="1" applyBorder="1"/>
    <xf numFmtId="0" fontId="0" fillId="0" borderId="0" xfId="0" applyFill="1" applyBorder="1"/>
    <xf numFmtId="15" fontId="6" fillId="0" borderId="0" xfId="0" applyNumberFormat="1" applyFont="1" applyFill="1" applyBorder="1" applyAlignment="1">
      <alignment horizontal="right"/>
    </xf>
    <xf numFmtId="0" fontId="5" fillId="0" borderId="1" xfId="0" applyFont="1" applyFill="1" applyBorder="1" applyAlignment="1">
      <alignment horizontal="right"/>
    </xf>
    <xf numFmtId="0" fontId="5" fillId="0" borderId="2" xfId="0" applyFont="1" applyFill="1" applyBorder="1" applyAlignment="1">
      <alignment horizontal="right"/>
    </xf>
    <xf numFmtId="15" fontId="6" fillId="0" borderId="3" xfId="0" applyNumberFormat="1" applyFont="1" applyFill="1" applyBorder="1" applyAlignment="1">
      <alignment horizontal="right"/>
    </xf>
    <xf numFmtId="0" fontId="5" fillId="3" borderId="4" xfId="0" applyFont="1" applyFill="1" applyBorder="1" applyAlignment="1">
      <alignment horizontal="right"/>
    </xf>
    <xf numFmtId="0" fontId="6" fillId="3" borderId="5" xfId="0" applyFont="1" applyFill="1" applyBorder="1"/>
    <xf numFmtId="0" fontId="10" fillId="4" borderId="6" xfId="0" applyFont="1" applyFill="1" applyBorder="1" applyAlignment="1">
      <alignment horizontal="left" vertical="center"/>
    </xf>
    <xf numFmtId="0" fontId="11" fillId="4" borderId="7" xfId="0" applyFont="1" applyFill="1" applyBorder="1" applyAlignment="1">
      <alignment horizontal="left" vertical="center"/>
    </xf>
    <xf numFmtId="164" fontId="6" fillId="0" borderId="8" xfId="0" applyNumberFormat="1" applyFont="1" applyFill="1" applyBorder="1"/>
    <xf numFmtId="0" fontId="0" fillId="0" borderId="0" xfId="0" applyBorder="1" applyAlignment="1">
      <alignment horizontal="left" vertical="center"/>
    </xf>
    <xf numFmtId="49" fontId="5" fillId="0" borderId="9" xfId="0" applyNumberFormat="1" applyFont="1" applyFill="1" applyBorder="1" applyAlignment="1">
      <alignment horizontal="left" vertical="center"/>
    </xf>
    <xf numFmtId="49" fontId="7" fillId="0" borderId="0" xfId="0" applyNumberFormat="1" applyFont="1" applyFill="1"/>
    <xf numFmtId="49" fontId="7" fillId="0" borderId="0" xfId="0" applyNumberFormat="1" applyFont="1" applyFill="1" applyAlignment="1"/>
    <xf numFmtId="0" fontId="8" fillId="0" borderId="0" xfId="0" applyFont="1" applyFill="1"/>
    <xf numFmtId="0" fontId="12" fillId="0" borderId="0" xfId="0" applyFont="1" applyFill="1"/>
    <xf numFmtId="49" fontId="8" fillId="2" borderId="12" xfId="0" applyNumberFormat="1" applyFont="1" applyFill="1" applyBorder="1" applyAlignment="1">
      <alignment wrapText="1"/>
    </xf>
    <xf numFmtId="0" fontId="8" fillId="2" borderId="12" xfId="0" applyFont="1" applyFill="1" applyBorder="1" applyAlignment="1">
      <alignment wrapText="1"/>
    </xf>
    <xf numFmtId="0" fontId="9" fillId="2" borderId="12" xfId="0" applyFont="1" applyFill="1" applyBorder="1" applyAlignment="1">
      <alignment wrapText="1"/>
    </xf>
    <xf numFmtId="0" fontId="2" fillId="0" borderId="0" xfId="0" applyFont="1" applyFill="1" applyAlignment="1">
      <alignment wrapText="1"/>
    </xf>
    <xf numFmtId="0" fontId="6" fillId="0" borderId="0" xfId="0" applyFont="1" applyFill="1" applyBorder="1" applyAlignment="1">
      <alignment horizontal="left" vertical="center"/>
    </xf>
    <xf numFmtId="0" fontId="6" fillId="3" borderId="9" xfId="0" applyFont="1" applyFill="1" applyBorder="1" applyAlignment="1">
      <alignment horizontal="left" vertical="center"/>
    </xf>
    <xf numFmtId="0" fontId="6" fillId="0" borderId="11" xfId="0" applyFont="1" applyFill="1" applyBorder="1" applyAlignment="1">
      <alignment horizontal="left" vertical="center"/>
    </xf>
    <xf numFmtId="0" fontId="6" fillId="0" borderId="10" xfId="0" applyFont="1" applyFill="1" applyBorder="1" applyAlignment="1">
      <alignment horizontal="left" vertical="center"/>
    </xf>
    <xf numFmtId="0" fontId="6" fillId="0" borderId="0" xfId="0" applyFont="1" applyBorder="1"/>
    <xf numFmtId="0" fontId="6" fillId="0" borderId="0" xfId="0" applyFont="1" applyBorder="1" applyAlignment="1">
      <alignment horizontal="left" vertical="center"/>
    </xf>
    <xf numFmtId="49" fontId="10" fillId="0" borderId="4" xfId="1" applyNumberFormat="1" applyFont="1" applyBorder="1" applyAlignment="1">
      <alignment wrapText="1"/>
    </xf>
    <xf numFmtId="49" fontId="10" fillId="0" borderId="5" xfId="1" applyNumberFormat="1" applyFont="1" applyBorder="1" applyAlignment="1">
      <alignment wrapText="1"/>
    </xf>
    <xf numFmtId="49" fontId="14" fillId="0" borderId="0" xfId="1" applyNumberFormat="1" applyFont="1" applyAlignment="1">
      <alignment wrapText="1"/>
    </xf>
    <xf numFmtId="49" fontId="15" fillId="0" borderId="1" xfId="1" applyNumberFormat="1" applyFont="1" applyBorder="1" applyAlignment="1">
      <alignment horizontal="right" vertical="center" wrapText="1"/>
    </xf>
    <xf numFmtId="49" fontId="16" fillId="0" borderId="8" xfId="1" applyNumberFormat="1" applyFont="1" applyBorder="1" applyAlignment="1">
      <alignment wrapText="1"/>
    </xf>
    <xf numFmtId="49" fontId="16" fillId="0" borderId="0" xfId="1" applyNumberFormat="1" applyFont="1" applyAlignment="1">
      <alignment wrapText="1"/>
    </xf>
    <xf numFmtId="49" fontId="19" fillId="0" borderId="8" xfId="1" applyNumberFormat="1" applyFont="1" applyBorder="1" applyAlignment="1">
      <alignment wrapText="1"/>
    </xf>
    <xf numFmtId="49" fontId="15" fillId="0" borderId="2" xfId="1" applyNumberFormat="1" applyFont="1" applyBorder="1" applyAlignment="1">
      <alignment horizontal="right" vertical="center" wrapText="1"/>
    </xf>
    <xf numFmtId="49" fontId="16" fillId="0" borderId="3" xfId="1" applyNumberFormat="1" applyFont="1" applyBorder="1" applyAlignment="1">
      <alignment wrapText="1"/>
    </xf>
  </cellXfs>
  <cellStyles count="2">
    <cellStyle name="Normal" xfId="0" builtinId="0"/>
    <cellStyle name="Normal 2" xfId="1"/>
  </cellStyles>
  <dxfs count="6">
    <dxf>
      <font>
        <color rgb="FF006100"/>
      </font>
      <fill>
        <patternFill>
          <bgColor rgb="FFC6EFCE"/>
        </patternFill>
      </fill>
    </dxf>
    <dxf>
      <font>
        <color rgb="FF9C0006"/>
      </font>
      <fill>
        <patternFill>
          <bgColor rgb="FFFFC7CE"/>
        </patternFill>
      </fill>
    </dxf>
    <dxf>
      <font>
        <b val="0"/>
        <i val="0"/>
      </font>
    </dxf>
    <dxf>
      <font>
        <condense val="0"/>
        <extend val="0"/>
        <color indexed="9"/>
      </font>
      <fill>
        <patternFill>
          <bgColor indexed="23"/>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
      <tableStyleElement type="headerRow" dxfId="4"/>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election activeCell="B2" sqref="B2"/>
    </sheetView>
  </sheetViews>
  <sheetFormatPr baseColWidth="10" defaultColWidth="11.5" defaultRowHeight="13" x14ac:dyDescent="0.15"/>
  <cols>
    <col min="1" max="1" width="3.33203125" style="5" customWidth="1"/>
    <col min="2" max="2" width="11.83203125" style="5" customWidth="1"/>
    <col min="3" max="3" width="23.5" style="5" customWidth="1"/>
    <col min="4" max="4" width="4.6640625" style="5" customWidth="1"/>
    <col min="5" max="5" width="88.5" style="22" customWidth="1"/>
    <col min="6" max="6" width="54.6640625" style="5" customWidth="1"/>
    <col min="7" max="7" width="10.83203125" style="5" customWidth="1"/>
    <col min="8" max="16384" width="11.5" style="5"/>
  </cols>
  <sheetData>
    <row r="1" spans="1:6" ht="14" thickBot="1" x14ac:dyDescent="0.2"/>
    <row r="2" spans="1:6" s="7" customFormat="1" ht="19" thickBot="1" x14ac:dyDescent="0.25">
      <c r="B2" s="19" t="s">
        <v>3354</v>
      </c>
      <c r="C2" s="20"/>
      <c r="D2" s="20"/>
      <c r="E2" s="20"/>
      <c r="F2" s="6"/>
    </row>
    <row r="3" spans="1:6" ht="17" thickBot="1" x14ac:dyDescent="0.25">
      <c r="A3" s="12"/>
      <c r="B3" s="10"/>
      <c r="C3" s="10"/>
      <c r="D3" s="10"/>
      <c r="E3" s="32"/>
    </row>
    <row r="4" spans="1:6" ht="18" x14ac:dyDescent="0.2">
      <c r="A4" s="8"/>
      <c r="B4" s="17" t="s">
        <v>430</v>
      </c>
      <c r="C4" s="18">
        <v>1</v>
      </c>
      <c r="D4" s="10"/>
      <c r="E4" s="33" t="str">
        <f>CONCATENATE("Version ",C4)</f>
        <v>Version 1</v>
      </c>
    </row>
    <row r="5" spans="1:6" ht="15" customHeight="1" x14ac:dyDescent="0.2">
      <c r="A5" s="10"/>
      <c r="B5" s="14" t="s">
        <v>1349</v>
      </c>
      <c r="C5" s="21">
        <v>42514</v>
      </c>
      <c r="D5" s="11"/>
      <c r="E5" s="23" t="s">
        <v>3353</v>
      </c>
    </row>
    <row r="6" spans="1:6" ht="17" thickBot="1" x14ac:dyDescent="0.25">
      <c r="A6" s="10"/>
      <c r="B6" s="15" t="s">
        <v>1350</v>
      </c>
      <c r="C6" s="16" t="s">
        <v>1347</v>
      </c>
      <c r="D6" s="13"/>
      <c r="E6" s="34" t="s">
        <v>3356</v>
      </c>
    </row>
    <row r="7" spans="1:6" ht="16" x14ac:dyDescent="0.2">
      <c r="A7" s="10"/>
      <c r="B7" s="9"/>
      <c r="C7" s="11"/>
      <c r="D7" s="11"/>
      <c r="E7" s="34" t="s">
        <v>3355</v>
      </c>
    </row>
    <row r="8" spans="1:6" ht="16" x14ac:dyDescent="0.2">
      <c r="A8" s="10"/>
      <c r="B8" s="10"/>
      <c r="C8" s="10"/>
      <c r="D8" s="10"/>
      <c r="E8" s="35" t="s">
        <v>2291</v>
      </c>
    </row>
    <row r="9" spans="1:6" ht="16" x14ac:dyDescent="0.2">
      <c r="A9" s="12"/>
      <c r="B9" s="10"/>
      <c r="C9" s="10"/>
      <c r="D9" s="10"/>
      <c r="E9" s="32"/>
    </row>
    <row r="10" spans="1:6" ht="16" x14ac:dyDescent="0.2">
      <c r="A10" s="12"/>
      <c r="B10" s="10"/>
      <c r="C10" s="10"/>
      <c r="D10" s="10"/>
      <c r="E10" s="32"/>
    </row>
    <row r="11" spans="1:6" ht="16" x14ac:dyDescent="0.2">
      <c r="B11" s="36"/>
      <c r="C11" s="36"/>
      <c r="D11" s="36"/>
      <c r="E11" s="37"/>
    </row>
    <row r="12" spans="1:6" ht="16" x14ac:dyDescent="0.2">
      <c r="B12" s="36"/>
      <c r="C12" s="36"/>
      <c r="D12" s="36"/>
      <c r="E12" s="37"/>
    </row>
    <row r="13" spans="1:6" ht="16" x14ac:dyDescent="0.2">
      <c r="B13" s="36"/>
      <c r="C13" s="36"/>
      <c r="D13" s="36"/>
      <c r="E13" s="37"/>
    </row>
    <row r="14" spans="1:6" ht="16" x14ac:dyDescent="0.2">
      <c r="B14" s="36"/>
      <c r="C14" s="36"/>
      <c r="D14" s="36"/>
      <c r="E14" s="37"/>
    </row>
    <row r="15" spans="1:6" ht="16" x14ac:dyDescent="0.2">
      <c r="B15" s="36"/>
      <c r="C15" s="36"/>
      <c r="D15" s="36"/>
      <c r="E15" s="37"/>
    </row>
    <row r="16" spans="1:6" ht="16" x14ac:dyDescent="0.2">
      <c r="B16" s="36"/>
      <c r="C16" s="36"/>
      <c r="D16" s="36"/>
      <c r="E16" s="37"/>
    </row>
    <row r="17" spans="2:5" ht="16" x14ac:dyDescent="0.2">
      <c r="B17" s="36"/>
      <c r="C17" s="36"/>
      <c r="D17" s="36"/>
      <c r="E17" s="37"/>
    </row>
    <row r="18" spans="2:5" ht="16" x14ac:dyDescent="0.2">
      <c r="B18" s="36"/>
      <c r="C18" s="36"/>
      <c r="D18" s="36"/>
      <c r="E18" s="37"/>
    </row>
    <row r="19" spans="2:5" ht="16" x14ac:dyDescent="0.2">
      <c r="B19" s="36"/>
      <c r="C19" s="36"/>
      <c r="D19" s="36"/>
      <c r="E19" s="37"/>
    </row>
    <row r="20" spans="2:5" ht="16" x14ac:dyDescent="0.2">
      <c r="B20" s="36"/>
      <c r="C20" s="36"/>
      <c r="D20" s="36"/>
      <c r="E20" s="37"/>
    </row>
    <row r="21" spans="2:5" ht="16" x14ac:dyDescent="0.2">
      <c r="B21" s="36"/>
      <c r="C21" s="36"/>
      <c r="D21" s="36"/>
      <c r="E21" s="37"/>
    </row>
    <row r="22" spans="2:5" ht="16" x14ac:dyDescent="0.2">
      <c r="B22" s="36"/>
      <c r="C22" s="36"/>
      <c r="D22" s="36"/>
      <c r="E22" s="37"/>
    </row>
    <row r="23" spans="2:5" ht="16" x14ac:dyDescent="0.2">
      <c r="B23" s="36"/>
      <c r="C23" s="36"/>
      <c r="D23" s="36"/>
      <c r="E23" s="37"/>
    </row>
    <row r="24" spans="2:5" ht="16" x14ac:dyDescent="0.2">
      <c r="B24" s="36"/>
      <c r="C24" s="36"/>
      <c r="D24" s="36"/>
      <c r="E24" s="37"/>
    </row>
  </sheetData>
  <phoneticPr fontId="3"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topLeftCell="A5" workbookViewId="0">
      <selection activeCell="A12" sqref="A12"/>
    </sheetView>
  </sheetViews>
  <sheetFormatPr baseColWidth="10" defaultRowHeight="16" x14ac:dyDescent="0.2"/>
  <cols>
    <col min="1" max="1" width="38.5" style="43" customWidth="1"/>
    <col min="2" max="2" width="59.6640625" style="43" customWidth="1"/>
    <col min="3" max="16384" width="10.83203125" style="43"/>
  </cols>
  <sheetData>
    <row r="1" spans="1:2" s="40" customFormat="1" ht="18" x14ac:dyDescent="0.2">
      <c r="A1" s="38" t="s">
        <v>8006</v>
      </c>
      <c r="B1" s="39" t="s">
        <v>8007</v>
      </c>
    </row>
    <row r="2" spans="1:2" ht="64" x14ac:dyDescent="0.2">
      <c r="A2" s="41" t="s">
        <v>1082</v>
      </c>
      <c r="B2" s="42" t="s">
        <v>8008</v>
      </c>
    </row>
    <row r="3" spans="1:2" ht="64" x14ac:dyDescent="0.2">
      <c r="A3" s="41" t="s">
        <v>1958</v>
      </c>
      <c r="B3" s="42" t="s">
        <v>8009</v>
      </c>
    </row>
    <row r="4" spans="1:2" ht="64" x14ac:dyDescent="0.2">
      <c r="A4" s="41" t="s">
        <v>1959</v>
      </c>
      <c r="B4" s="42" t="s">
        <v>8010</v>
      </c>
    </row>
    <row r="5" spans="1:2" ht="48" x14ac:dyDescent="0.2">
      <c r="A5" s="41" t="s">
        <v>1960</v>
      </c>
      <c r="B5" s="42" t="s">
        <v>8011</v>
      </c>
    </row>
    <row r="6" spans="1:2" ht="80" x14ac:dyDescent="0.2">
      <c r="A6" s="41" t="s">
        <v>1961</v>
      </c>
      <c r="B6" s="42" t="s">
        <v>8012</v>
      </c>
    </row>
    <row r="7" spans="1:2" ht="64" x14ac:dyDescent="0.2">
      <c r="A7" s="41" t="s">
        <v>3348</v>
      </c>
      <c r="B7" s="42" t="s">
        <v>8013</v>
      </c>
    </row>
    <row r="8" spans="1:2" ht="48" x14ac:dyDescent="0.2">
      <c r="A8" s="41" t="s">
        <v>8014</v>
      </c>
      <c r="B8" s="42" t="s">
        <v>8015</v>
      </c>
    </row>
    <row r="9" spans="1:2" ht="32" x14ac:dyDescent="0.2">
      <c r="A9" s="41" t="s">
        <v>3346</v>
      </c>
      <c r="B9" s="44" t="s">
        <v>8016</v>
      </c>
    </row>
    <row r="10" spans="1:2" ht="224" x14ac:dyDescent="0.2">
      <c r="A10" s="41" t="s">
        <v>3347</v>
      </c>
      <c r="B10" s="42" t="s">
        <v>8017</v>
      </c>
    </row>
    <row r="11" spans="1:2" ht="176" x14ac:dyDescent="0.2">
      <c r="A11" s="41" t="s">
        <v>3350</v>
      </c>
      <c r="B11" s="42" t="s">
        <v>8018</v>
      </c>
    </row>
    <row r="12" spans="1:2" ht="64" x14ac:dyDescent="0.2">
      <c r="A12" s="41" t="s">
        <v>8022</v>
      </c>
      <c r="B12" s="42" t="s">
        <v>8019</v>
      </c>
    </row>
    <row r="13" spans="1:2" ht="64" x14ac:dyDescent="0.2">
      <c r="A13" s="41" t="s">
        <v>2956</v>
      </c>
      <c r="B13" s="42" t="s">
        <v>8020</v>
      </c>
    </row>
    <row r="14" spans="1:2" ht="49" thickBot="1" x14ac:dyDescent="0.25">
      <c r="A14" s="45" t="s">
        <v>3349</v>
      </c>
      <c r="B14" s="46" t="s">
        <v>8021</v>
      </c>
    </row>
  </sheetData>
  <pageMargins left="0.7" right="0.7" top="0.75" bottom="0.75"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3705"/>
  <sheetViews>
    <sheetView tabSelected="1" workbookViewId="0">
      <pane ySplit="1" topLeftCell="A2" activePane="bottomLeft" state="frozen"/>
      <selection pane="bottomLeft" activeCell="A2" sqref="A2"/>
    </sheetView>
  </sheetViews>
  <sheetFormatPr baseColWidth="10" defaultColWidth="8.83203125" defaultRowHeight="13" x14ac:dyDescent="0.15"/>
  <cols>
    <col min="1" max="1" width="15.83203125" style="1" bestFit="1" customWidth="1"/>
    <col min="2" max="2" width="18.83203125" style="1" bestFit="1" customWidth="1"/>
    <col min="3" max="3" width="19.6640625" style="1" bestFit="1" customWidth="1"/>
    <col min="4" max="4" width="24" style="1" bestFit="1" customWidth="1"/>
    <col min="5" max="5" width="52.83203125" style="1" bestFit="1" customWidth="1"/>
    <col min="6" max="6" width="9.1640625" style="3" bestFit="1" customWidth="1"/>
    <col min="7" max="7" width="29.6640625" style="24" customWidth="1"/>
    <col min="8" max="8" width="28.83203125" style="24" customWidth="1"/>
    <col min="9" max="9" width="13.33203125" style="24" bestFit="1" customWidth="1"/>
    <col min="10" max="10" width="28.1640625" style="24" customWidth="1"/>
    <col min="11" max="11" width="10.33203125" style="3" customWidth="1"/>
    <col min="12" max="12" width="36.5" style="3" customWidth="1"/>
    <col min="13" max="13" width="20" style="3" bestFit="1" customWidth="1"/>
    <col min="14" max="16384" width="8.83203125" style="1"/>
  </cols>
  <sheetData>
    <row r="1" spans="1:13" s="31" customFormat="1" ht="39" x14ac:dyDescent="0.15">
      <c r="A1" s="30" t="s">
        <v>1082</v>
      </c>
      <c r="B1" s="30" t="s">
        <v>1958</v>
      </c>
      <c r="C1" s="30" t="s">
        <v>1959</v>
      </c>
      <c r="D1" s="30" t="s">
        <v>1960</v>
      </c>
      <c r="E1" s="30" t="s">
        <v>1961</v>
      </c>
      <c r="F1" s="30" t="s">
        <v>3348</v>
      </c>
      <c r="G1" s="28" t="s">
        <v>3345</v>
      </c>
      <c r="H1" s="28" t="s">
        <v>3346</v>
      </c>
      <c r="I1" s="28" t="s">
        <v>3347</v>
      </c>
      <c r="J1" s="29" t="s">
        <v>3350</v>
      </c>
      <c r="K1" s="29" t="s">
        <v>8022</v>
      </c>
      <c r="L1" s="29" t="s">
        <v>2956</v>
      </c>
      <c r="M1" s="29" t="s">
        <v>3349</v>
      </c>
    </row>
    <row r="2" spans="1:13" x14ac:dyDescent="0.15">
      <c r="A2" s="1" t="s">
        <v>1393</v>
      </c>
      <c r="B2" s="1" t="s">
        <v>1394</v>
      </c>
      <c r="C2" s="1" t="s">
        <v>2791</v>
      </c>
      <c r="D2" s="1" t="s">
        <v>3357</v>
      </c>
      <c r="E2" s="1" t="s">
        <v>3358</v>
      </c>
      <c r="F2" s="3">
        <v>0</v>
      </c>
      <c r="G2" s="24" t="s">
        <v>2958</v>
      </c>
      <c r="I2" s="24" t="s">
        <v>2965</v>
      </c>
      <c r="J2" s="24" t="s">
        <v>2923</v>
      </c>
      <c r="K2" s="3">
        <v>30</v>
      </c>
      <c r="L2" s="3" t="s">
        <v>6745</v>
      </c>
      <c r="M2" s="3" t="str">
        <f>HYPERLINK("http://ictvonline.org/taxonomyHistory.asp?taxnode_id=20150005","ICTVonline=20150005")</f>
        <v>ICTVonline=20150005</v>
      </c>
    </row>
    <row r="3" spans="1:13" x14ac:dyDescent="0.15">
      <c r="A3" s="1" t="s">
        <v>1393</v>
      </c>
      <c r="B3" s="1" t="s">
        <v>1394</v>
      </c>
      <c r="C3" s="1" t="s">
        <v>2791</v>
      </c>
      <c r="D3" s="1" t="s">
        <v>3357</v>
      </c>
      <c r="E3" s="1" t="s">
        <v>3359</v>
      </c>
      <c r="F3" s="3">
        <v>1</v>
      </c>
      <c r="G3" s="24" t="s">
        <v>2959</v>
      </c>
      <c r="I3" s="24" t="s">
        <v>2965</v>
      </c>
      <c r="J3" s="24" t="s">
        <v>2923</v>
      </c>
      <c r="K3" s="3">
        <v>30</v>
      </c>
      <c r="L3" s="3" t="s">
        <v>6745</v>
      </c>
      <c r="M3" s="3" t="str">
        <f>HYPERLINK("http://ictvonline.org/taxonomyHistory.asp?taxnode_id=20150006","ICTVonline=20150006")</f>
        <v>ICTVonline=20150006</v>
      </c>
    </row>
    <row r="4" spans="1:13" x14ac:dyDescent="0.15">
      <c r="A4" s="1" t="s">
        <v>1393</v>
      </c>
      <c r="B4" s="1" t="s">
        <v>1394</v>
      </c>
      <c r="C4" s="1" t="s">
        <v>2791</v>
      </c>
      <c r="D4" s="1" t="s">
        <v>3357</v>
      </c>
      <c r="E4" s="1" t="s">
        <v>3360</v>
      </c>
      <c r="F4" s="3">
        <v>0</v>
      </c>
      <c r="G4" s="24" t="s">
        <v>2960</v>
      </c>
      <c r="I4" s="24" t="s">
        <v>2965</v>
      </c>
      <c r="J4" s="24" t="s">
        <v>2923</v>
      </c>
      <c r="K4" s="3">
        <v>30</v>
      </c>
      <c r="L4" s="3" t="s">
        <v>6745</v>
      </c>
      <c r="M4" s="3" t="str">
        <f>HYPERLINK("http://ictvonline.org/taxonomyHistory.asp?taxnode_id=20150007","ICTVonline=20150007")</f>
        <v>ICTVonline=20150007</v>
      </c>
    </row>
    <row r="5" spans="1:13" x14ac:dyDescent="0.15">
      <c r="A5" s="1" t="s">
        <v>1393</v>
      </c>
      <c r="B5" s="1" t="s">
        <v>1394</v>
      </c>
      <c r="C5" s="1" t="s">
        <v>2791</v>
      </c>
      <c r="D5" s="1" t="s">
        <v>3357</v>
      </c>
      <c r="E5" s="1" t="s">
        <v>3361</v>
      </c>
      <c r="F5" s="3">
        <v>0</v>
      </c>
      <c r="G5" s="24" t="s">
        <v>2961</v>
      </c>
      <c r="I5" s="24" t="s">
        <v>2965</v>
      </c>
      <c r="J5" s="24" t="s">
        <v>2923</v>
      </c>
      <c r="K5" s="3">
        <v>30</v>
      </c>
      <c r="L5" s="3" t="s">
        <v>6745</v>
      </c>
      <c r="M5" s="3" t="str">
        <f>HYPERLINK("http://ictvonline.org/taxonomyHistory.asp?taxnode_id=20150008","ICTVonline=20150008")</f>
        <v>ICTVonline=20150008</v>
      </c>
    </row>
    <row r="6" spans="1:13" x14ac:dyDescent="0.15">
      <c r="A6" s="1" t="s">
        <v>1393</v>
      </c>
      <c r="B6" s="1" t="s">
        <v>1394</v>
      </c>
      <c r="C6" s="1" t="s">
        <v>2791</v>
      </c>
      <c r="D6" s="1" t="s">
        <v>3362</v>
      </c>
      <c r="E6" s="1" t="s">
        <v>3363</v>
      </c>
      <c r="F6" s="3">
        <v>1</v>
      </c>
      <c r="G6" s="24" t="s">
        <v>2962</v>
      </c>
      <c r="I6" s="24" t="s">
        <v>2965</v>
      </c>
      <c r="J6" s="24" t="s">
        <v>2923</v>
      </c>
      <c r="K6" s="3">
        <v>30</v>
      </c>
      <c r="L6" s="3" t="s">
        <v>6745</v>
      </c>
      <c r="M6" s="3" t="str">
        <f>HYPERLINK("http://ictvonline.org/taxonomyHistory.asp?taxnode_id=20150010","ICTVonline=20150010")</f>
        <v>ICTVonline=20150010</v>
      </c>
    </row>
    <row r="7" spans="1:13" x14ac:dyDescent="0.15">
      <c r="A7" s="1" t="s">
        <v>1393</v>
      </c>
      <c r="B7" s="1" t="s">
        <v>1394</v>
      </c>
      <c r="C7" s="1" t="s">
        <v>2791</v>
      </c>
      <c r="D7" s="1" t="s">
        <v>3362</v>
      </c>
      <c r="E7" s="1" t="s">
        <v>3364</v>
      </c>
      <c r="F7" s="3">
        <v>0</v>
      </c>
      <c r="G7" s="24" t="s">
        <v>2963</v>
      </c>
      <c r="I7" s="24" t="s">
        <v>2965</v>
      </c>
      <c r="J7" s="24" t="s">
        <v>2923</v>
      </c>
      <c r="K7" s="3">
        <v>30</v>
      </c>
      <c r="L7" s="3" t="s">
        <v>6745</v>
      </c>
      <c r="M7" s="3" t="str">
        <f>HYPERLINK("http://ictvonline.org/taxonomyHistory.asp?taxnode_id=20150011","ICTVonline=20150011")</f>
        <v>ICTVonline=20150011</v>
      </c>
    </row>
    <row r="8" spans="1:13" x14ac:dyDescent="0.15">
      <c r="A8" s="1" t="s">
        <v>1393</v>
      </c>
      <c r="B8" s="1" t="s">
        <v>1394</v>
      </c>
      <c r="C8" s="1" t="s">
        <v>2791</v>
      </c>
      <c r="D8" s="1" t="s">
        <v>3362</v>
      </c>
      <c r="E8" s="1" t="s">
        <v>3365</v>
      </c>
      <c r="F8" s="3">
        <v>0</v>
      </c>
      <c r="G8" s="24" t="s">
        <v>2964</v>
      </c>
      <c r="I8" s="24" t="s">
        <v>2965</v>
      </c>
      <c r="J8" s="24" t="s">
        <v>2923</v>
      </c>
      <c r="K8" s="3">
        <v>30</v>
      </c>
      <c r="L8" s="3" t="s">
        <v>6745</v>
      </c>
      <c r="M8" s="3" t="str">
        <f>HYPERLINK("http://ictvonline.org/taxonomyHistory.asp?taxnode_id=20150012","ICTVonline=20150012")</f>
        <v>ICTVonline=20150012</v>
      </c>
    </row>
    <row r="9" spans="1:13" x14ac:dyDescent="0.15">
      <c r="A9" s="1" t="s">
        <v>1393</v>
      </c>
      <c r="B9" s="1" t="s">
        <v>1394</v>
      </c>
      <c r="C9" s="1" t="s">
        <v>1403</v>
      </c>
      <c r="D9" s="1" t="s">
        <v>3366</v>
      </c>
      <c r="E9" s="1" t="s">
        <v>3367</v>
      </c>
      <c r="F9" s="3">
        <v>0</v>
      </c>
      <c r="I9" s="24" t="s">
        <v>2965</v>
      </c>
      <c r="J9" s="24" t="s">
        <v>2923</v>
      </c>
      <c r="K9" s="3">
        <v>30</v>
      </c>
      <c r="L9" s="3" t="s">
        <v>6745</v>
      </c>
      <c r="M9" s="3" t="str">
        <f>HYPERLINK("http://ictvonline.org/taxonomyHistory.asp?taxnode_id=20150015","ICTVonline=20150015")</f>
        <v>ICTVonline=20150015</v>
      </c>
    </row>
    <row r="10" spans="1:13" x14ac:dyDescent="0.15">
      <c r="A10" s="1" t="s">
        <v>1393</v>
      </c>
      <c r="B10" s="1" t="s">
        <v>1394</v>
      </c>
      <c r="C10" s="1" t="s">
        <v>1403</v>
      </c>
      <c r="D10" s="1" t="s">
        <v>3366</v>
      </c>
      <c r="E10" s="1" t="s">
        <v>3368</v>
      </c>
      <c r="F10" s="3">
        <v>1</v>
      </c>
      <c r="I10" s="24" t="s">
        <v>2965</v>
      </c>
      <c r="J10" s="24" t="s">
        <v>2923</v>
      </c>
      <c r="K10" s="3">
        <v>30</v>
      </c>
      <c r="L10" s="3" t="s">
        <v>6745</v>
      </c>
      <c r="M10" s="3" t="str">
        <f>HYPERLINK("http://ictvonline.org/taxonomyHistory.asp?taxnode_id=20150016","ICTVonline=20150016")</f>
        <v>ICTVonline=20150016</v>
      </c>
    </row>
    <row r="11" spans="1:13" x14ac:dyDescent="0.15">
      <c r="A11" s="1" t="s">
        <v>1393</v>
      </c>
      <c r="B11" s="1" t="s">
        <v>1394</v>
      </c>
      <c r="C11" s="1" t="s">
        <v>1403</v>
      </c>
      <c r="D11" s="1" t="s">
        <v>3366</v>
      </c>
      <c r="E11" s="1" t="s">
        <v>3369</v>
      </c>
      <c r="F11" s="3">
        <v>0</v>
      </c>
      <c r="I11" s="24" t="s">
        <v>2965</v>
      </c>
      <c r="J11" s="24" t="s">
        <v>2923</v>
      </c>
      <c r="K11" s="3">
        <v>30</v>
      </c>
      <c r="L11" s="3" t="s">
        <v>6745</v>
      </c>
      <c r="M11" s="3" t="str">
        <f>HYPERLINK("http://ictvonline.org/taxonomyHistory.asp?taxnode_id=20150017","ICTVonline=20150017")</f>
        <v>ICTVonline=20150017</v>
      </c>
    </row>
    <row r="12" spans="1:13" x14ac:dyDescent="0.15">
      <c r="A12" s="1" t="s">
        <v>1393</v>
      </c>
      <c r="B12" s="1" t="s">
        <v>1394</v>
      </c>
      <c r="C12" s="1" t="s">
        <v>1403</v>
      </c>
      <c r="D12" s="1" t="s">
        <v>3366</v>
      </c>
      <c r="E12" s="1" t="s">
        <v>3370</v>
      </c>
      <c r="F12" s="3">
        <v>0</v>
      </c>
      <c r="I12" s="24" t="s">
        <v>2965</v>
      </c>
      <c r="J12" s="24" t="s">
        <v>2923</v>
      </c>
      <c r="K12" s="3">
        <v>30</v>
      </c>
      <c r="L12" s="3" t="s">
        <v>6745</v>
      </c>
      <c r="M12" s="3" t="str">
        <f>HYPERLINK("http://ictvonline.org/taxonomyHistory.asp?taxnode_id=20150018","ICTVonline=20150018")</f>
        <v>ICTVonline=20150018</v>
      </c>
    </row>
    <row r="13" spans="1:13" x14ac:dyDescent="0.15">
      <c r="A13" s="1" t="s">
        <v>1393</v>
      </c>
      <c r="B13" s="1" t="s">
        <v>1394</v>
      </c>
      <c r="C13" s="1" t="s">
        <v>1403</v>
      </c>
      <c r="D13" s="1" t="s">
        <v>3366</v>
      </c>
      <c r="E13" s="1" t="s">
        <v>3371</v>
      </c>
      <c r="F13" s="3">
        <v>0</v>
      </c>
      <c r="I13" s="24" t="s">
        <v>2965</v>
      </c>
      <c r="J13" s="24" t="s">
        <v>2923</v>
      </c>
      <c r="K13" s="3">
        <v>30</v>
      </c>
      <c r="L13" s="3" t="s">
        <v>6745</v>
      </c>
      <c r="M13" s="3" t="str">
        <f>HYPERLINK("http://ictvonline.org/taxonomyHistory.asp?taxnode_id=20150019","ICTVonline=20150019")</f>
        <v>ICTVonline=20150019</v>
      </c>
    </row>
    <row r="14" spans="1:13" x14ac:dyDescent="0.15">
      <c r="A14" s="1" t="s">
        <v>1393</v>
      </c>
      <c r="B14" s="1" t="s">
        <v>1394</v>
      </c>
      <c r="C14" s="1" t="s">
        <v>1403</v>
      </c>
      <c r="D14" s="1" t="s">
        <v>3366</v>
      </c>
      <c r="E14" s="1" t="s">
        <v>3372</v>
      </c>
      <c r="F14" s="3">
        <v>0</v>
      </c>
      <c r="I14" s="24" t="s">
        <v>2965</v>
      </c>
      <c r="J14" s="24" t="s">
        <v>2923</v>
      </c>
      <c r="K14" s="3">
        <v>30</v>
      </c>
      <c r="L14" s="3" t="s">
        <v>6745</v>
      </c>
      <c r="M14" s="3" t="str">
        <f>HYPERLINK("http://ictvonline.org/taxonomyHistory.asp?taxnode_id=20150020","ICTVonline=20150020")</f>
        <v>ICTVonline=20150020</v>
      </c>
    </row>
    <row r="15" spans="1:13" x14ac:dyDescent="0.15">
      <c r="A15" s="1" t="s">
        <v>1393</v>
      </c>
      <c r="B15" s="1" t="s">
        <v>1394</v>
      </c>
      <c r="C15" s="1" t="s">
        <v>1403</v>
      </c>
      <c r="D15" s="1" t="s">
        <v>3373</v>
      </c>
      <c r="E15" s="1" t="s">
        <v>3374</v>
      </c>
      <c r="F15" s="3">
        <v>0</v>
      </c>
      <c r="I15" s="24" t="s">
        <v>2965</v>
      </c>
      <c r="J15" s="24" t="s">
        <v>2923</v>
      </c>
      <c r="K15" s="3">
        <v>30</v>
      </c>
      <c r="L15" s="3" t="s">
        <v>6745</v>
      </c>
      <c r="M15" s="3" t="str">
        <f>HYPERLINK("http://ictvonline.org/taxonomyHistory.asp?taxnode_id=20150022","ICTVonline=20150022")</f>
        <v>ICTVonline=20150022</v>
      </c>
    </row>
    <row r="16" spans="1:13" x14ac:dyDescent="0.15">
      <c r="A16" s="1" t="s">
        <v>1393</v>
      </c>
      <c r="B16" s="1" t="s">
        <v>1394</v>
      </c>
      <c r="C16" s="1" t="s">
        <v>1403</v>
      </c>
      <c r="D16" s="1" t="s">
        <v>3373</v>
      </c>
      <c r="E16" s="1" t="s">
        <v>3375</v>
      </c>
      <c r="F16" s="3">
        <v>0</v>
      </c>
      <c r="I16" s="24" t="s">
        <v>2965</v>
      </c>
      <c r="J16" s="24" t="s">
        <v>2923</v>
      </c>
      <c r="K16" s="3">
        <v>30</v>
      </c>
      <c r="L16" s="3" t="s">
        <v>6745</v>
      </c>
      <c r="M16" s="3" t="str">
        <f>HYPERLINK("http://ictvonline.org/taxonomyHistory.asp?taxnode_id=20150024","ICTVonline=20150024")</f>
        <v>ICTVonline=20150024</v>
      </c>
    </row>
    <row r="17" spans="1:13" x14ac:dyDescent="0.15">
      <c r="A17" s="1" t="s">
        <v>1393</v>
      </c>
      <c r="B17" s="1" t="s">
        <v>1394</v>
      </c>
      <c r="C17" s="1" t="s">
        <v>1403</v>
      </c>
      <c r="D17" s="1" t="s">
        <v>3373</v>
      </c>
      <c r="E17" s="1" t="s">
        <v>3376</v>
      </c>
      <c r="F17" s="3">
        <v>0</v>
      </c>
      <c r="I17" s="24" t="s">
        <v>2965</v>
      </c>
      <c r="J17" s="24" t="s">
        <v>2923</v>
      </c>
      <c r="K17" s="3">
        <v>30</v>
      </c>
      <c r="L17" s="3" t="s">
        <v>6745</v>
      </c>
      <c r="M17" s="3" t="str">
        <f>HYPERLINK("http://ictvonline.org/taxonomyHistory.asp?taxnode_id=20150023","ICTVonline=20150023")</f>
        <v>ICTVonline=20150023</v>
      </c>
    </row>
    <row r="18" spans="1:13" x14ac:dyDescent="0.15">
      <c r="A18" s="1" t="s">
        <v>1393</v>
      </c>
      <c r="B18" s="1" t="s">
        <v>1394</v>
      </c>
      <c r="C18" s="1" t="s">
        <v>1403</v>
      </c>
      <c r="D18" s="1" t="s">
        <v>3373</v>
      </c>
      <c r="E18" s="1" t="s">
        <v>3377</v>
      </c>
      <c r="F18" s="3">
        <v>0</v>
      </c>
      <c r="I18" s="24" t="s">
        <v>2965</v>
      </c>
      <c r="J18" s="24" t="s">
        <v>2923</v>
      </c>
      <c r="K18" s="3">
        <v>30</v>
      </c>
      <c r="L18" s="3" t="s">
        <v>6745</v>
      </c>
      <c r="M18" s="3" t="str">
        <f>HYPERLINK("http://ictvonline.org/taxonomyHistory.asp?taxnode_id=20150025","ICTVonline=20150025")</f>
        <v>ICTVonline=20150025</v>
      </c>
    </row>
    <row r="19" spans="1:13" x14ac:dyDescent="0.15">
      <c r="A19" s="1" t="s">
        <v>1393</v>
      </c>
      <c r="B19" s="1" t="s">
        <v>1394</v>
      </c>
      <c r="C19" s="1" t="s">
        <v>1403</v>
      </c>
      <c r="D19" s="1" t="s">
        <v>3373</v>
      </c>
      <c r="E19" s="1" t="s">
        <v>3378</v>
      </c>
      <c r="F19" s="3">
        <v>1</v>
      </c>
      <c r="I19" s="24" t="s">
        <v>2965</v>
      </c>
      <c r="J19" s="24" t="s">
        <v>2923</v>
      </c>
      <c r="K19" s="3">
        <v>30</v>
      </c>
      <c r="L19" s="3" t="s">
        <v>6745</v>
      </c>
      <c r="M19" s="3" t="str">
        <f>HYPERLINK("http://ictvonline.org/taxonomyHistory.asp?taxnode_id=20150026","ICTVonline=20150026")</f>
        <v>ICTVonline=20150026</v>
      </c>
    </row>
    <row r="20" spans="1:13" x14ac:dyDescent="0.15">
      <c r="A20" s="1" t="s">
        <v>1393</v>
      </c>
      <c r="B20" s="1" t="s">
        <v>1394</v>
      </c>
      <c r="C20" s="1" t="s">
        <v>1403</v>
      </c>
      <c r="D20" s="1" t="s">
        <v>3373</v>
      </c>
      <c r="E20" s="1" t="s">
        <v>3380</v>
      </c>
      <c r="F20" s="3">
        <v>0</v>
      </c>
      <c r="I20" s="24" t="s">
        <v>2965</v>
      </c>
      <c r="J20" s="24" t="s">
        <v>2923</v>
      </c>
      <c r="K20" s="3">
        <v>30</v>
      </c>
      <c r="L20" s="3" t="s">
        <v>6745</v>
      </c>
      <c r="M20" s="3" t="str">
        <f>HYPERLINK("http://ictvonline.org/taxonomyHistory.asp?taxnode_id=20150028","ICTVonline=20150028")</f>
        <v>ICTVonline=20150028</v>
      </c>
    </row>
    <row r="21" spans="1:13" x14ac:dyDescent="0.15">
      <c r="A21" s="1" t="s">
        <v>1393</v>
      </c>
      <c r="B21" s="1" t="s">
        <v>1394</v>
      </c>
      <c r="C21" s="1" t="s">
        <v>1403</v>
      </c>
      <c r="D21" s="1" t="s">
        <v>3373</v>
      </c>
      <c r="E21" s="1" t="s">
        <v>3381</v>
      </c>
      <c r="F21" s="3">
        <v>0</v>
      </c>
      <c r="I21" s="24" t="s">
        <v>2965</v>
      </c>
      <c r="J21" s="24" t="s">
        <v>2923</v>
      </c>
      <c r="K21" s="3">
        <v>30</v>
      </c>
      <c r="L21" s="3" t="s">
        <v>6745</v>
      </c>
      <c r="M21" s="3" t="str">
        <f>HYPERLINK("http://ictvonline.org/taxonomyHistory.asp?taxnode_id=20150029","ICTVonline=20150029")</f>
        <v>ICTVonline=20150029</v>
      </c>
    </row>
    <row r="22" spans="1:13" x14ac:dyDescent="0.15">
      <c r="A22" s="1" t="s">
        <v>1393</v>
      </c>
      <c r="B22" s="1" t="s">
        <v>1394</v>
      </c>
      <c r="C22" s="1" t="s">
        <v>1403</v>
      </c>
      <c r="D22" s="1" t="s">
        <v>3373</v>
      </c>
      <c r="E22" s="1" t="s">
        <v>3382</v>
      </c>
      <c r="F22" s="3">
        <v>0</v>
      </c>
      <c r="I22" s="24" t="s">
        <v>2965</v>
      </c>
      <c r="J22" s="24" t="s">
        <v>2923</v>
      </c>
      <c r="K22" s="3">
        <v>30</v>
      </c>
      <c r="L22" s="3" t="s">
        <v>6745</v>
      </c>
      <c r="M22" s="3" t="str">
        <f>HYPERLINK("http://ictvonline.org/taxonomyHistory.asp?taxnode_id=20150030","ICTVonline=20150030")</f>
        <v>ICTVonline=20150030</v>
      </c>
    </row>
    <row r="23" spans="1:13" x14ac:dyDescent="0.15">
      <c r="A23" s="1" t="s">
        <v>1393</v>
      </c>
      <c r="B23" s="1" t="s">
        <v>1394</v>
      </c>
      <c r="C23" s="1" t="s">
        <v>1403</v>
      </c>
      <c r="D23" s="1" t="s">
        <v>3373</v>
      </c>
      <c r="E23" s="1" t="s">
        <v>3383</v>
      </c>
      <c r="F23" s="3">
        <v>0</v>
      </c>
      <c r="I23" s="24" t="s">
        <v>2965</v>
      </c>
      <c r="J23" s="24" t="s">
        <v>2923</v>
      </c>
      <c r="K23" s="3">
        <v>30</v>
      </c>
      <c r="L23" s="3" t="s">
        <v>6745</v>
      </c>
      <c r="M23" s="3" t="str">
        <f>HYPERLINK("http://ictvonline.org/taxonomyHistory.asp?taxnode_id=20150031","ICTVonline=20150031")</f>
        <v>ICTVonline=20150031</v>
      </c>
    </row>
    <row r="24" spans="1:13" x14ac:dyDescent="0.15">
      <c r="A24" s="1" t="s">
        <v>1393</v>
      </c>
      <c r="B24" s="1" t="s">
        <v>1394</v>
      </c>
      <c r="C24" s="1" t="s">
        <v>1403</v>
      </c>
      <c r="D24" s="1" t="s">
        <v>3373</v>
      </c>
      <c r="E24" s="1" t="s">
        <v>3384</v>
      </c>
      <c r="F24" s="3">
        <v>0</v>
      </c>
      <c r="I24" s="24" t="s">
        <v>2965</v>
      </c>
      <c r="J24" s="24" t="s">
        <v>2923</v>
      </c>
      <c r="K24" s="3">
        <v>30</v>
      </c>
      <c r="L24" s="3" t="s">
        <v>6745</v>
      </c>
      <c r="M24" s="3" t="str">
        <f>HYPERLINK("http://ictvonline.org/taxonomyHistory.asp?taxnode_id=20150032","ICTVonline=20150032")</f>
        <v>ICTVonline=20150032</v>
      </c>
    </row>
    <row r="25" spans="1:13" x14ac:dyDescent="0.15">
      <c r="A25" s="1" t="s">
        <v>1393</v>
      </c>
      <c r="B25" s="1" t="s">
        <v>1394</v>
      </c>
      <c r="C25" s="1" t="s">
        <v>1403</v>
      </c>
      <c r="D25" s="1" t="s">
        <v>3373</v>
      </c>
      <c r="E25" s="1" t="s">
        <v>3385</v>
      </c>
      <c r="F25" s="3">
        <v>0</v>
      </c>
      <c r="I25" s="24" t="s">
        <v>2965</v>
      </c>
      <c r="J25" s="24" t="s">
        <v>2923</v>
      </c>
      <c r="K25" s="3">
        <v>30</v>
      </c>
      <c r="L25" s="3" t="s">
        <v>6745</v>
      </c>
      <c r="M25" s="3" t="str">
        <f>HYPERLINK("http://ictvonline.org/taxonomyHistory.asp?taxnode_id=20150027","ICTVonline=20150027")</f>
        <v>ICTVonline=20150027</v>
      </c>
    </row>
    <row r="26" spans="1:13" x14ac:dyDescent="0.15">
      <c r="A26" s="1" t="s">
        <v>1393</v>
      </c>
      <c r="B26" s="1" t="s">
        <v>1394</v>
      </c>
      <c r="C26" s="1" t="s">
        <v>1403</v>
      </c>
      <c r="D26" s="1" t="s">
        <v>3373</v>
      </c>
      <c r="E26" s="1" t="s">
        <v>3386</v>
      </c>
      <c r="F26" s="3">
        <v>0</v>
      </c>
      <c r="I26" s="24" t="s">
        <v>2965</v>
      </c>
      <c r="J26" s="24" t="s">
        <v>2923</v>
      </c>
      <c r="K26" s="3">
        <v>30</v>
      </c>
      <c r="L26" s="3" t="s">
        <v>6745</v>
      </c>
      <c r="M26" s="3" t="str">
        <f>HYPERLINK("http://ictvonline.org/taxonomyHistory.asp?taxnode_id=20150033","ICTVonline=20150033")</f>
        <v>ICTVonline=20150033</v>
      </c>
    </row>
    <row r="27" spans="1:13" x14ac:dyDescent="0.15">
      <c r="A27" s="1" t="s">
        <v>1393</v>
      </c>
      <c r="B27" s="1" t="s">
        <v>1394</v>
      </c>
      <c r="C27" s="1" t="s">
        <v>1403</v>
      </c>
      <c r="D27" s="1" t="s">
        <v>3373</v>
      </c>
      <c r="E27" s="1" t="s">
        <v>3387</v>
      </c>
      <c r="F27" s="3">
        <v>0</v>
      </c>
      <c r="I27" s="24" t="s">
        <v>2965</v>
      </c>
      <c r="J27" s="24" t="s">
        <v>2923</v>
      </c>
      <c r="K27" s="3">
        <v>30</v>
      </c>
      <c r="L27" s="3" t="s">
        <v>6745</v>
      </c>
      <c r="M27" s="3" t="str">
        <f>HYPERLINK("http://ictvonline.org/taxonomyHistory.asp?taxnode_id=20150034","ICTVonline=20150034")</f>
        <v>ICTVonline=20150034</v>
      </c>
    </row>
    <row r="28" spans="1:13" x14ac:dyDescent="0.15">
      <c r="A28" s="1" t="s">
        <v>1393</v>
      </c>
      <c r="B28" s="1" t="s">
        <v>1394</v>
      </c>
      <c r="C28" s="1" t="s">
        <v>1404</v>
      </c>
      <c r="D28" s="1" t="s">
        <v>3388</v>
      </c>
      <c r="E28" s="1" t="s">
        <v>3389</v>
      </c>
      <c r="F28" s="3">
        <v>0</v>
      </c>
      <c r="I28" s="24" t="s">
        <v>2965</v>
      </c>
      <c r="J28" s="24" t="s">
        <v>2923</v>
      </c>
      <c r="K28" s="3">
        <v>30</v>
      </c>
      <c r="L28" s="3" t="s">
        <v>6746</v>
      </c>
      <c r="M28" s="3" t="str">
        <f>HYPERLINK("http://ictvonline.org/taxonomyHistory.asp?taxnode_id=20150041","ICTVonline=20150041")</f>
        <v>ICTVonline=20150041</v>
      </c>
    </row>
    <row r="29" spans="1:13" x14ac:dyDescent="0.15">
      <c r="A29" s="1" t="s">
        <v>1393</v>
      </c>
      <c r="B29" s="1" t="s">
        <v>1394</v>
      </c>
      <c r="C29" s="1" t="s">
        <v>1404</v>
      </c>
      <c r="D29" s="1" t="s">
        <v>3388</v>
      </c>
      <c r="E29" s="1" t="s">
        <v>3390</v>
      </c>
      <c r="F29" s="3">
        <v>0</v>
      </c>
      <c r="G29" s="24" t="s">
        <v>7161</v>
      </c>
      <c r="H29" s="24" t="s">
        <v>3391</v>
      </c>
      <c r="I29" s="24" t="s">
        <v>2965</v>
      </c>
      <c r="J29" s="24" t="s">
        <v>2919</v>
      </c>
      <c r="K29" s="3">
        <v>30</v>
      </c>
      <c r="L29" s="3" t="s">
        <v>6746</v>
      </c>
      <c r="M29" s="3" t="str">
        <f>HYPERLINK("http://ictvonline.org/taxonomyHistory.asp?taxnode_id=20150228","ICTVonline=20150228")</f>
        <v>ICTVonline=20150228</v>
      </c>
    </row>
    <row r="30" spans="1:13" x14ac:dyDescent="0.15">
      <c r="A30" s="1" t="s">
        <v>1393</v>
      </c>
      <c r="B30" s="1" t="s">
        <v>1394</v>
      </c>
      <c r="C30" s="1" t="s">
        <v>1404</v>
      </c>
      <c r="D30" s="1" t="s">
        <v>3388</v>
      </c>
      <c r="E30" s="1" t="s">
        <v>3392</v>
      </c>
      <c r="F30" s="3">
        <v>0</v>
      </c>
      <c r="G30" s="24" t="s">
        <v>7162</v>
      </c>
      <c r="H30" s="24" t="s">
        <v>3393</v>
      </c>
      <c r="I30" s="24" t="s">
        <v>2965</v>
      </c>
      <c r="J30" s="24" t="s">
        <v>2919</v>
      </c>
      <c r="K30" s="3">
        <v>30</v>
      </c>
      <c r="L30" s="3" t="s">
        <v>6746</v>
      </c>
      <c r="M30" s="3" t="str">
        <f>HYPERLINK("http://ictvonline.org/taxonomyHistory.asp?taxnode_id=20150225","ICTVonline=20150225")</f>
        <v>ICTVonline=20150225</v>
      </c>
    </row>
    <row r="31" spans="1:13" x14ac:dyDescent="0.15">
      <c r="A31" s="1" t="s">
        <v>1393</v>
      </c>
      <c r="B31" s="1" t="s">
        <v>1394</v>
      </c>
      <c r="C31" s="1" t="s">
        <v>1404</v>
      </c>
      <c r="D31" s="1" t="s">
        <v>3388</v>
      </c>
      <c r="E31" s="1" t="s">
        <v>3394</v>
      </c>
      <c r="F31" s="3">
        <v>1</v>
      </c>
      <c r="I31" s="24" t="s">
        <v>2965</v>
      </c>
      <c r="J31" s="24" t="s">
        <v>2923</v>
      </c>
      <c r="K31" s="3">
        <v>30</v>
      </c>
      <c r="L31" s="3" t="s">
        <v>6746</v>
      </c>
      <c r="M31" s="3" t="str">
        <f>HYPERLINK("http://ictvonline.org/taxonomyHistory.asp?taxnode_id=20150042","ICTVonline=20150042")</f>
        <v>ICTVonline=20150042</v>
      </c>
    </row>
    <row r="32" spans="1:13" x14ac:dyDescent="0.15">
      <c r="A32" s="1" t="s">
        <v>1393</v>
      </c>
      <c r="B32" s="1" t="s">
        <v>1394</v>
      </c>
      <c r="C32" s="1" t="s">
        <v>1404</v>
      </c>
      <c r="D32" s="1" t="s">
        <v>3388</v>
      </c>
      <c r="E32" s="1" t="s">
        <v>3395</v>
      </c>
      <c r="F32" s="3">
        <v>0</v>
      </c>
      <c r="G32" s="24" t="s">
        <v>7163</v>
      </c>
      <c r="H32" s="24" t="s">
        <v>3396</v>
      </c>
      <c r="I32" s="24" t="s">
        <v>2965</v>
      </c>
      <c r="J32" s="24" t="s">
        <v>2919</v>
      </c>
      <c r="K32" s="3">
        <v>30</v>
      </c>
      <c r="L32" s="3" t="s">
        <v>6746</v>
      </c>
      <c r="M32" s="3" t="str">
        <f>HYPERLINK("http://ictvonline.org/taxonomyHistory.asp?taxnode_id=20150229","ICTVonline=20150229")</f>
        <v>ICTVonline=20150229</v>
      </c>
    </row>
    <row r="33" spans="1:13" x14ac:dyDescent="0.15">
      <c r="A33" s="1" t="s">
        <v>1393</v>
      </c>
      <c r="B33" s="1" t="s">
        <v>1394</v>
      </c>
      <c r="C33" s="1" t="s">
        <v>1404</v>
      </c>
      <c r="D33" s="1" t="s">
        <v>3388</v>
      </c>
      <c r="E33" s="1" t="s">
        <v>3397</v>
      </c>
      <c r="F33" s="3">
        <v>0</v>
      </c>
      <c r="G33" s="24" t="s">
        <v>7164</v>
      </c>
      <c r="H33" s="24" t="s">
        <v>3398</v>
      </c>
      <c r="I33" s="24" t="s">
        <v>2965</v>
      </c>
      <c r="J33" s="24" t="s">
        <v>2919</v>
      </c>
      <c r="K33" s="3">
        <v>30</v>
      </c>
      <c r="L33" s="3" t="s">
        <v>6746</v>
      </c>
      <c r="M33" s="3" t="str">
        <f>HYPERLINK("http://ictvonline.org/taxonomyHistory.asp?taxnode_id=20150227","ICTVonline=20150227")</f>
        <v>ICTVonline=20150227</v>
      </c>
    </row>
    <row r="34" spans="1:13" x14ac:dyDescent="0.15">
      <c r="A34" s="1" t="s">
        <v>1393</v>
      </c>
      <c r="B34" s="1" t="s">
        <v>1394</v>
      </c>
      <c r="C34" s="1" t="s">
        <v>1404</v>
      </c>
      <c r="D34" s="1" t="s">
        <v>3388</v>
      </c>
      <c r="E34" s="1" t="s">
        <v>3399</v>
      </c>
      <c r="F34" s="3">
        <v>0</v>
      </c>
      <c r="G34" s="24" t="s">
        <v>7165</v>
      </c>
      <c r="H34" s="24" t="s">
        <v>3400</v>
      </c>
      <c r="I34" s="24" t="s">
        <v>2965</v>
      </c>
      <c r="J34" s="24" t="s">
        <v>2919</v>
      </c>
      <c r="K34" s="3">
        <v>30</v>
      </c>
      <c r="L34" s="3" t="s">
        <v>6746</v>
      </c>
      <c r="M34" s="3" t="str">
        <f>HYPERLINK("http://ictvonline.org/taxonomyHistory.asp?taxnode_id=20150230","ICTVonline=20150230")</f>
        <v>ICTVonline=20150230</v>
      </c>
    </row>
    <row r="35" spans="1:13" x14ac:dyDescent="0.15">
      <c r="A35" s="1" t="s">
        <v>1393</v>
      </c>
      <c r="B35" s="1" t="s">
        <v>1394</v>
      </c>
      <c r="C35" s="1" t="s">
        <v>1404</v>
      </c>
      <c r="D35" s="1" t="s">
        <v>3388</v>
      </c>
      <c r="E35" s="1" t="s">
        <v>3401</v>
      </c>
      <c r="F35" s="3">
        <v>0</v>
      </c>
      <c r="G35" s="24" t="s">
        <v>7166</v>
      </c>
      <c r="H35" s="24" t="s">
        <v>3402</v>
      </c>
      <c r="I35" s="24" t="s">
        <v>2965</v>
      </c>
      <c r="J35" s="24" t="s">
        <v>2919</v>
      </c>
      <c r="K35" s="3">
        <v>30</v>
      </c>
      <c r="L35" s="3" t="s">
        <v>6746</v>
      </c>
      <c r="M35" s="3" t="str">
        <f>HYPERLINK("http://ictvonline.org/taxonomyHistory.asp?taxnode_id=20150226","ICTVonline=20150226")</f>
        <v>ICTVonline=20150226</v>
      </c>
    </row>
    <row r="36" spans="1:13" x14ac:dyDescent="0.15">
      <c r="A36" s="1" t="s">
        <v>1393</v>
      </c>
      <c r="B36" s="1" t="s">
        <v>1394</v>
      </c>
      <c r="C36" s="1" t="s">
        <v>1404</v>
      </c>
      <c r="D36" s="1" t="s">
        <v>3403</v>
      </c>
      <c r="E36" s="1" t="s">
        <v>3404</v>
      </c>
      <c r="F36" s="3">
        <v>0</v>
      </c>
      <c r="I36" s="24" t="s">
        <v>2965</v>
      </c>
      <c r="J36" s="24" t="s">
        <v>2923</v>
      </c>
      <c r="K36" s="3">
        <v>30</v>
      </c>
      <c r="L36" s="3" t="s">
        <v>6747</v>
      </c>
      <c r="M36" s="3" t="str">
        <f>HYPERLINK("http://ictvonline.org/taxonomyHistory.asp?taxnode_id=20150039","ICTVonline=20150039")</f>
        <v>ICTVonline=20150039</v>
      </c>
    </row>
    <row r="37" spans="1:13" x14ac:dyDescent="0.15">
      <c r="A37" s="1" t="s">
        <v>1393</v>
      </c>
      <c r="B37" s="1" t="s">
        <v>1394</v>
      </c>
      <c r="C37" s="1" t="s">
        <v>1404</v>
      </c>
      <c r="D37" s="1" t="s">
        <v>3403</v>
      </c>
      <c r="E37" s="1" t="s">
        <v>3405</v>
      </c>
      <c r="F37" s="3">
        <v>1</v>
      </c>
      <c r="G37" s="24" t="s">
        <v>7167</v>
      </c>
      <c r="H37" s="24" t="s">
        <v>1405</v>
      </c>
      <c r="I37" s="24" t="s">
        <v>2965</v>
      </c>
      <c r="J37" s="24" t="s">
        <v>2923</v>
      </c>
      <c r="K37" s="3">
        <v>30</v>
      </c>
      <c r="L37" s="3" t="s">
        <v>6747</v>
      </c>
      <c r="M37" s="3" t="str">
        <f>HYPERLINK("http://ictvonline.org/taxonomyHistory.asp?taxnode_id=20150040","ICTVonline=20150040")</f>
        <v>ICTVonline=20150040</v>
      </c>
    </row>
    <row r="38" spans="1:13" x14ac:dyDescent="0.15">
      <c r="A38" s="1" t="s">
        <v>1393</v>
      </c>
      <c r="B38" s="1" t="s">
        <v>1394</v>
      </c>
      <c r="C38" s="1" t="s">
        <v>1404</v>
      </c>
      <c r="D38" s="1" t="s">
        <v>3406</v>
      </c>
      <c r="E38" s="1" t="s">
        <v>3407</v>
      </c>
      <c r="F38" s="3">
        <v>1</v>
      </c>
      <c r="G38" s="24" t="s">
        <v>7168</v>
      </c>
      <c r="H38" s="24" t="s">
        <v>3408</v>
      </c>
      <c r="I38" s="24" t="s">
        <v>2965</v>
      </c>
      <c r="J38" s="24" t="s">
        <v>2919</v>
      </c>
      <c r="K38" s="3">
        <v>30</v>
      </c>
      <c r="L38" s="3" t="s">
        <v>6748</v>
      </c>
      <c r="M38" s="3" t="str">
        <f>HYPERLINK("http://ictvonline.org/taxonomyHistory.asp?taxnode_id=20150048","ICTVonline=20150048")</f>
        <v>ICTVonline=20150048</v>
      </c>
    </row>
    <row r="39" spans="1:13" x14ac:dyDescent="0.15">
      <c r="A39" s="1" t="s">
        <v>1393</v>
      </c>
      <c r="B39" s="1" t="s">
        <v>1394</v>
      </c>
      <c r="C39" s="1" t="s">
        <v>1404</v>
      </c>
      <c r="D39" s="1" t="s">
        <v>3406</v>
      </c>
      <c r="E39" s="1" t="s">
        <v>3409</v>
      </c>
      <c r="F39" s="3">
        <v>0</v>
      </c>
      <c r="G39" s="24" t="s">
        <v>7169</v>
      </c>
      <c r="H39" s="24" t="s">
        <v>3410</v>
      </c>
      <c r="I39" s="24" t="s">
        <v>2965</v>
      </c>
      <c r="J39" s="24" t="s">
        <v>2919</v>
      </c>
      <c r="K39" s="3">
        <v>30</v>
      </c>
      <c r="L39" s="3" t="s">
        <v>6748</v>
      </c>
      <c r="M39" s="3" t="str">
        <f>HYPERLINK("http://ictvonline.org/taxonomyHistory.asp?taxnode_id=20150049","ICTVonline=20150049")</f>
        <v>ICTVonline=20150049</v>
      </c>
    </row>
    <row r="40" spans="1:13" x14ac:dyDescent="0.15">
      <c r="A40" s="1" t="s">
        <v>1393</v>
      </c>
      <c r="B40" s="1" t="s">
        <v>1394</v>
      </c>
      <c r="C40" s="1" t="s">
        <v>1404</v>
      </c>
      <c r="D40" s="1" t="s">
        <v>3411</v>
      </c>
      <c r="E40" s="1" t="s">
        <v>3412</v>
      </c>
      <c r="F40" s="3">
        <v>1</v>
      </c>
      <c r="I40" s="24" t="s">
        <v>2965</v>
      </c>
      <c r="J40" s="24" t="s">
        <v>2923</v>
      </c>
      <c r="K40" s="3">
        <v>30</v>
      </c>
      <c r="L40" s="3" t="s">
        <v>6745</v>
      </c>
      <c r="M40" s="3" t="str">
        <f>HYPERLINK("http://ictvonline.org/taxonomyHistory.asp?taxnode_id=20150037","ICTVonline=20150037")</f>
        <v>ICTVonline=20150037</v>
      </c>
    </row>
    <row r="41" spans="1:13" x14ac:dyDescent="0.15">
      <c r="A41" s="1" t="s">
        <v>1393</v>
      </c>
      <c r="B41" s="1" t="s">
        <v>1394</v>
      </c>
      <c r="C41" s="1" t="s">
        <v>1404</v>
      </c>
      <c r="D41" s="1" t="s">
        <v>3413</v>
      </c>
      <c r="E41" s="1" t="s">
        <v>3414</v>
      </c>
      <c r="F41" s="3">
        <v>1</v>
      </c>
      <c r="I41" s="24" t="s">
        <v>2965</v>
      </c>
      <c r="J41" s="24" t="s">
        <v>2923</v>
      </c>
      <c r="K41" s="3">
        <v>30</v>
      </c>
      <c r="L41" s="3" t="s">
        <v>6745</v>
      </c>
      <c r="M41" s="3" t="str">
        <f>HYPERLINK("http://ictvonline.org/taxonomyHistory.asp?taxnode_id=20150043","ICTVonline=20150043")</f>
        <v>ICTVonline=20150043</v>
      </c>
    </row>
    <row r="42" spans="1:13" x14ac:dyDescent="0.15">
      <c r="A42" s="1" t="s">
        <v>1393</v>
      </c>
      <c r="B42" s="1" t="s">
        <v>1394</v>
      </c>
      <c r="C42" s="1" t="s">
        <v>1404</v>
      </c>
      <c r="D42" s="1" t="s">
        <v>934</v>
      </c>
      <c r="E42" s="1" t="s">
        <v>3415</v>
      </c>
      <c r="F42" s="3">
        <v>0</v>
      </c>
      <c r="I42" s="24" t="s">
        <v>2965</v>
      </c>
      <c r="J42" s="24" t="s">
        <v>2924</v>
      </c>
      <c r="K42" s="3">
        <v>30</v>
      </c>
      <c r="L42" s="3" t="s">
        <v>6745</v>
      </c>
      <c r="M42" s="3" t="str">
        <f>HYPERLINK("http://ictvonline.org/taxonomyHistory.asp?taxnode_id=20150045","ICTVonline=20150045")</f>
        <v>ICTVonline=20150045</v>
      </c>
    </row>
    <row r="43" spans="1:13" x14ac:dyDescent="0.15">
      <c r="A43" s="1" t="s">
        <v>1393</v>
      </c>
      <c r="B43" s="1" t="s">
        <v>1394</v>
      </c>
      <c r="C43" s="1" t="s">
        <v>1404</v>
      </c>
      <c r="D43" s="1" t="s">
        <v>934</v>
      </c>
      <c r="E43" s="1" t="s">
        <v>3416</v>
      </c>
      <c r="F43" s="3">
        <v>0</v>
      </c>
      <c r="G43" s="24" t="s">
        <v>7170</v>
      </c>
      <c r="I43" s="24" t="s">
        <v>2965</v>
      </c>
      <c r="J43" s="24" t="s">
        <v>2919</v>
      </c>
      <c r="K43" s="3">
        <v>30</v>
      </c>
      <c r="L43" s="3" t="s">
        <v>6749</v>
      </c>
      <c r="M43" s="3" t="str">
        <f>HYPERLINK("http://ictvonline.org/taxonomyHistory.asp?taxnode_id=20150050","ICTVonline=20150050")</f>
        <v>ICTVonline=20150050</v>
      </c>
    </row>
    <row r="44" spans="1:13" x14ac:dyDescent="0.15">
      <c r="A44" s="1" t="s">
        <v>1393</v>
      </c>
      <c r="B44" s="1" t="s">
        <v>1394</v>
      </c>
      <c r="C44" s="1" t="s">
        <v>1404</v>
      </c>
      <c r="D44" s="1" t="s">
        <v>934</v>
      </c>
      <c r="E44" s="1" t="s">
        <v>3417</v>
      </c>
      <c r="F44" s="3">
        <v>0</v>
      </c>
      <c r="I44" s="24" t="s">
        <v>2965</v>
      </c>
      <c r="J44" s="24" t="s">
        <v>2924</v>
      </c>
      <c r="K44" s="3">
        <v>30</v>
      </c>
      <c r="L44" s="3" t="s">
        <v>6745</v>
      </c>
      <c r="M44" s="3" t="str">
        <f>HYPERLINK("http://ictvonline.org/taxonomyHistory.asp?taxnode_id=20150046","ICTVonline=20150046")</f>
        <v>ICTVonline=20150046</v>
      </c>
    </row>
    <row r="45" spans="1:13" x14ac:dyDescent="0.15">
      <c r="A45" s="1" t="s">
        <v>1393</v>
      </c>
      <c r="B45" s="1" t="s">
        <v>1394</v>
      </c>
      <c r="C45" s="1" t="s">
        <v>1406</v>
      </c>
      <c r="D45" s="1" t="s">
        <v>3418</v>
      </c>
      <c r="E45" s="1" t="s">
        <v>3419</v>
      </c>
      <c r="F45" s="3">
        <v>1</v>
      </c>
      <c r="G45" s="24" t="s">
        <v>7171</v>
      </c>
      <c r="H45" s="24" t="s">
        <v>3420</v>
      </c>
      <c r="I45" s="24" t="s">
        <v>2965</v>
      </c>
      <c r="J45" s="24" t="s">
        <v>2919</v>
      </c>
      <c r="K45" s="3">
        <v>30</v>
      </c>
      <c r="L45" s="3" t="s">
        <v>6750</v>
      </c>
      <c r="M45" s="3" t="str">
        <f>HYPERLINK("http://ictvonline.org/taxonomyHistory.asp?taxnode_id=20150106","ICTVonline=20150106")</f>
        <v>ICTVonline=20150106</v>
      </c>
    </row>
    <row r="46" spans="1:13" x14ac:dyDescent="0.15">
      <c r="A46" s="1" t="s">
        <v>1393</v>
      </c>
      <c r="B46" s="1" t="s">
        <v>1394</v>
      </c>
      <c r="C46" s="1" t="s">
        <v>1406</v>
      </c>
      <c r="D46" s="1" t="s">
        <v>3418</v>
      </c>
      <c r="E46" s="1" t="s">
        <v>3421</v>
      </c>
      <c r="F46" s="3">
        <v>0</v>
      </c>
      <c r="G46" s="24" t="s">
        <v>7172</v>
      </c>
      <c r="H46" s="24" t="s">
        <v>3422</v>
      </c>
      <c r="I46" s="24" t="s">
        <v>2965</v>
      </c>
      <c r="J46" s="24" t="s">
        <v>2919</v>
      </c>
      <c r="K46" s="3">
        <v>30</v>
      </c>
      <c r="L46" s="3" t="s">
        <v>6750</v>
      </c>
      <c r="M46" s="3" t="str">
        <f>HYPERLINK("http://ictvonline.org/taxonomyHistory.asp?taxnode_id=20150107","ICTVonline=20150107")</f>
        <v>ICTVonline=20150107</v>
      </c>
    </row>
    <row r="47" spans="1:13" x14ac:dyDescent="0.15">
      <c r="A47" s="1" t="s">
        <v>1393</v>
      </c>
      <c r="B47" s="1" t="s">
        <v>1394</v>
      </c>
      <c r="C47" s="1" t="s">
        <v>1406</v>
      </c>
      <c r="D47" s="1" t="s">
        <v>3423</v>
      </c>
      <c r="E47" s="1" t="s">
        <v>3424</v>
      </c>
      <c r="F47" s="3">
        <v>0</v>
      </c>
      <c r="G47" s="24" t="s">
        <v>7173</v>
      </c>
      <c r="H47" s="24" t="s">
        <v>3425</v>
      </c>
      <c r="I47" s="24" t="s">
        <v>2965</v>
      </c>
      <c r="J47" s="24" t="s">
        <v>2919</v>
      </c>
      <c r="K47" s="3">
        <v>30</v>
      </c>
      <c r="L47" s="3" t="s">
        <v>6750</v>
      </c>
      <c r="M47" s="3" t="str">
        <f>HYPERLINK("http://ictvonline.org/taxonomyHistory.asp?taxnode_id=20150093","ICTVonline=20150093")</f>
        <v>ICTVonline=20150093</v>
      </c>
    </row>
    <row r="48" spans="1:13" x14ac:dyDescent="0.15">
      <c r="A48" s="1" t="s">
        <v>1393</v>
      </c>
      <c r="B48" s="1" t="s">
        <v>1394</v>
      </c>
      <c r="C48" s="1" t="s">
        <v>1406</v>
      </c>
      <c r="D48" s="1" t="s">
        <v>3423</v>
      </c>
      <c r="E48" s="1" t="s">
        <v>3426</v>
      </c>
      <c r="F48" s="3">
        <v>0</v>
      </c>
      <c r="G48" s="24" t="s">
        <v>7174</v>
      </c>
      <c r="H48" s="24" t="s">
        <v>3427</v>
      </c>
      <c r="I48" s="24" t="s">
        <v>2965</v>
      </c>
      <c r="J48" s="24" t="s">
        <v>2919</v>
      </c>
      <c r="K48" s="3">
        <v>30</v>
      </c>
      <c r="L48" s="3" t="s">
        <v>6750</v>
      </c>
      <c r="M48" s="3" t="str">
        <f>HYPERLINK("http://ictvonline.org/taxonomyHistory.asp?taxnode_id=20150092","ICTVonline=20150092")</f>
        <v>ICTVonline=20150092</v>
      </c>
    </row>
    <row r="49" spans="1:13" x14ac:dyDescent="0.15">
      <c r="A49" s="1" t="s">
        <v>1393</v>
      </c>
      <c r="B49" s="1" t="s">
        <v>1394</v>
      </c>
      <c r="C49" s="1" t="s">
        <v>1406</v>
      </c>
      <c r="D49" s="1" t="s">
        <v>3423</v>
      </c>
      <c r="E49" s="1" t="s">
        <v>3428</v>
      </c>
      <c r="F49" s="3">
        <v>0</v>
      </c>
      <c r="G49" s="24" t="s">
        <v>7175</v>
      </c>
      <c r="H49" s="24" t="s">
        <v>3429</v>
      </c>
      <c r="I49" s="24" t="s">
        <v>2965</v>
      </c>
      <c r="J49" s="24" t="s">
        <v>2919</v>
      </c>
      <c r="K49" s="3">
        <v>30</v>
      </c>
      <c r="L49" s="3" t="s">
        <v>6750</v>
      </c>
      <c r="M49" s="3" t="str">
        <f>HYPERLINK("http://ictvonline.org/taxonomyHistory.asp?taxnode_id=20150094","ICTVonline=20150094")</f>
        <v>ICTVonline=20150094</v>
      </c>
    </row>
    <row r="50" spans="1:13" x14ac:dyDescent="0.15">
      <c r="A50" s="1" t="s">
        <v>1393</v>
      </c>
      <c r="B50" s="1" t="s">
        <v>1394</v>
      </c>
      <c r="C50" s="1" t="s">
        <v>1406</v>
      </c>
      <c r="D50" s="1" t="s">
        <v>3423</v>
      </c>
      <c r="E50" s="1" t="s">
        <v>3430</v>
      </c>
      <c r="F50" s="3">
        <v>1</v>
      </c>
      <c r="I50" s="24" t="s">
        <v>2965</v>
      </c>
      <c r="J50" s="24" t="s">
        <v>2923</v>
      </c>
      <c r="K50" s="3">
        <v>30</v>
      </c>
      <c r="L50" s="3" t="s">
        <v>6750</v>
      </c>
      <c r="M50" s="3" t="str">
        <f>HYPERLINK("http://ictvonline.org/taxonomyHistory.asp?taxnode_id=20150063","ICTVonline=20150063")</f>
        <v>ICTVonline=20150063</v>
      </c>
    </row>
    <row r="51" spans="1:13" x14ac:dyDescent="0.15">
      <c r="A51" s="1" t="s">
        <v>1393</v>
      </c>
      <c r="B51" s="1" t="s">
        <v>1394</v>
      </c>
      <c r="C51" s="1" t="s">
        <v>1406</v>
      </c>
      <c r="D51" s="1" t="s">
        <v>3423</v>
      </c>
      <c r="E51" s="1" t="s">
        <v>3431</v>
      </c>
      <c r="F51" s="3">
        <v>0</v>
      </c>
      <c r="G51" s="24" t="s">
        <v>7176</v>
      </c>
      <c r="H51" s="24" t="s">
        <v>3432</v>
      </c>
      <c r="I51" s="24" t="s">
        <v>2965</v>
      </c>
      <c r="J51" s="24" t="s">
        <v>2919</v>
      </c>
      <c r="K51" s="3">
        <v>30</v>
      </c>
      <c r="L51" s="3" t="s">
        <v>6750</v>
      </c>
      <c r="M51" s="3" t="str">
        <f>HYPERLINK("http://ictvonline.org/taxonomyHistory.asp?taxnode_id=20150095","ICTVonline=20150095")</f>
        <v>ICTVonline=20150095</v>
      </c>
    </row>
    <row r="52" spans="1:13" x14ac:dyDescent="0.15">
      <c r="A52" s="1" t="s">
        <v>1393</v>
      </c>
      <c r="B52" s="1" t="s">
        <v>1394</v>
      </c>
      <c r="C52" s="1" t="s">
        <v>1406</v>
      </c>
      <c r="D52" s="1" t="s">
        <v>3433</v>
      </c>
      <c r="E52" s="1" t="s">
        <v>3434</v>
      </c>
      <c r="F52" s="3">
        <v>0</v>
      </c>
      <c r="I52" s="24" t="s">
        <v>2965</v>
      </c>
      <c r="J52" s="24" t="s">
        <v>2923</v>
      </c>
      <c r="K52" s="3">
        <v>30</v>
      </c>
      <c r="L52" s="3" t="s">
        <v>6750</v>
      </c>
      <c r="M52" s="3" t="str">
        <f>HYPERLINK("http://ictvonline.org/taxonomyHistory.asp?taxnode_id=20150064","ICTVonline=20150064")</f>
        <v>ICTVonline=20150064</v>
      </c>
    </row>
    <row r="53" spans="1:13" x14ac:dyDescent="0.15">
      <c r="A53" s="1" t="s">
        <v>1393</v>
      </c>
      <c r="B53" s="1" t="s">
        <v>1394</v>
      </c>
      <c r="C53" s="1" t="s">
        <v>1406</v>
      </c>
      <c r="D53" s="1" t="s">
        <v>3433</v>
      </c>
      <c r="E53" s="1" t="s">
        <v>3435</v>
      </c>
      <c r="F53" s="3">
        <v>1</v>
      </c>
      <c r="I53" s="24" t="s">
        <v>2965</v>
      </c>
      <c r="J53" s="24" t="s">
        <v>2923</v>
      </c>
      <c r="K53" s="3">
        <v>30</v>
      </c>
      <c r="L53" s="3" t="s">
        <v>6750</v>
      </c>
      <c r="M53" s="3" t="str">
        <f>HYPERLINK("http://ictvonline.org/taxonomyHistory.asp?taxnode_id=20150069","ICTVonline=20150069")</f>
        <v>ICTVonline=20150069</v>
      </c>
    </row>
    <row r="54" spans="1:13" x14ac:dyDescent="0.15">
      <c r="A54" s="1" t="s">
        <v>1393</v>
      </c>
      <c r="B54" s="1" t="s">
        <v>1394</v>
      </c>
      <c r="C54" s="1" t="s">
        <v>1406</v>
      </c>
      <c r="D54" s="1" t="s">
        <v>3436</v>
      </c>
      <c r="E54" s="1" t="s">
        <v>3437</v>
      </c>
      <c r="F54" s="3">
        <v>0</v>
      </c>
      <c r="G54" s="24" t="s">
        <v>7177</v>
      </c>
      <c r="H54" s="24" t="s">
        <v>3438</v>
      </c>
      <c r="I54" s="24" t="s">
        <v>2965</v>
      </c>
      <c r="J54" s="24" t="s">
        <v>2919</v>
      </c>
      <c r="K54" s="3">
        <v>30</v>
      </c>
      <c r="L54" s="3" t="s">
        <v>6750</v>
      </c>
      <c r="M54" s="3" t="str">
        <f>HYPERLINK("http://ictvonline.org/taxonomyHistory.asp?taxnode_id=20150089","ICTVonline=20150089")</f>
        <v>ICTVonline=20150089</v>
      </c>
    </row>
    <row r="55" spans="1:13" x14ac:dyDescent="0.15">
      <c r="A55" s="1" t="s">
        <v>1393</v>
      </c>
      <c r="B55" s="1" t="s">
        <v>1394</v>
      </c>
      <c r="C55" s="1" t="s">
        <v>1406</v>
      </c>
      <c r="D55" s="1" t="s">
        <v>3436</v>
      </c>
      <c r="E55" s="1" t="s">
        <v>3439</v>
      </c>
      <c r="F55" s="3">
        <v>0</v>
      </c>
      <c r="G55" s="24" t="s">
        <v>7178</v>
      </c>
      <c r="H55" s="24" t="s">
        <v>3440</v>
      </c>
      <c r="I55" s="24" t="s">
        <v>2965</v>
      </c>
      <c r="J55" s="24" t="s">
        <v>2919</v>
      </c>
      <c r="K55" s="3">
        <v>30</v>
      </c>
      <c r="L55" s="3" t="s">
        <v>6750</v>
      </c>
      <c r="M55" s="3" t="str">
        <f>HYPERLINK("http://ictvonline.org/taxonomyHistory.asp?taxnode_id=20150088","ICTVonline=20150088")</f>
        <v>ICTVonline=20150088</v>
      </c>
    </row>
    <row r="56" spans="1:13" x14ac:dyDescent="0.15">
      <c r="A56" s="1" t="s">
        <v>1393</v>
      </c>
      <c r="B56" s="1" t="s">
        <v>1394</v>
      </c>
      <c r="C56" s="1" t="s">
        <v>1406</v>
      </c>
      <c r="D56" s="1" t="s">
        <v>3436</v>
      </c>
      <c r="E56" s="1" t="s">
        <v>3441</v>
      </c>
      <c r="F56" s="3">
        <v>1</v>
      </c>
      <c r="I56" s="24" t="s">
        <v>2965</v>
      </c>
      <c r="J56" s="24" t="s">
        <v>2923</v>
      </c>
      <c r="K56" s="3">
        <v>30</v>
      </c>
      <c r="L56" s="3" t="s">
        <v>6750</v>
      </c>
      <c r="M56" s="3" t="str">
        <f>HYPERLINK("http://ictvonline.org/taxonomyHistory.asp?taxnode_id=20150070","ICTVonline=20150070")</f>
        <v>ICTVonline=20150070</v>
      </c>
    </row>
    <row r="57" spans="1:13" x14ac:dyDescent="0.15">
      <c r="A57" s="1" t="s">
        <v>1393</v>
      </c>
      <c r="B57" s="1" t="s">
        <v>1394</v>
      </c>
      <c r="C57" s="1" t="s">
        <v>1406</v>
      </c>
      <c r="D57" s="1" t="s">
        <v>3436</v>
      </c>
      <c r="E57" s="1" t="s">
        <v>3442</v>
      </c>
      <c r="F57" s="3">
        <v>0</v>
      </c>
      <c r="G57" s="24" t="s">
        <v>7179</v>
      </c>
      <c r="H57" s="24" t="s">
        <v>3443</v>
      </c>
      <c r="I57" s="24" t="s">
        <v>2965</v>
      </c>
      <c r="J57" s="24" t="s">
        <v>2919</v>
      </c>
      <c r="K57" s="3">
        <v>30</v>
      </c>
      <c r="L57" s="3" t="s">
        <v>6750</v>
      </c>
      <c r="M57" s="3" t="str">
        <f>HYPERLINK("http://ictvonline.org/taxonomyHistory.asp?taxnode_id=20150090","ICTVonline=20150090")</f>
        <v>ICTVonline=20150090</v>
      </c>
    </row>
    <row r="58" spans="1:13" x14ac:dyDescent="0.15">
      <c r="A58" s="1" t="s">
        <v>1393</v>
      </c>
      <c r="B58" s="1" t="s">
        <v>1394</v>
      </c>
      <c r="C58" s="1" t="s">
        <v>1406</v>
      </c>
      <c r="D58" s="1" t="s">
        <v>3444</v>
      </c>
      <c r="E58" s="1" t="s">
        <v>3445</v>
      </c>
      <c r="F58" s="3">
        <v>1</v>
      </c>
      <c r="G58" s="24" t="s">
        <v>7180</v>
      </c>
      <c r="H58" s="24" t="s">
        <v>3446</v>
      </c>
      <c r="I58" s="24" t="s">
        <v>2965</v>
      </c>
      <c r="J58" s="24" t="s">
        <v>2919</v>
      </c>
      <c r="K58" s="3">
        <v>30</v>
      </c>
      <c r="L58" s="3" t="s">
        <v>6750</v>
      </c>
      <c r="M58" s="3" t="str">
        <f>HYPERLINK("http://ictvonline.org/taxonomyHistory.asp?taxnode_id=20150104","ICTVonline=20150104")</f>
        <v>ICTVonline=20150104</v>
      </c>
    </row>
    <row r="59" spans="1:13" x14ac:dyDescent="0.15">
      <c r="A59" s="1" t="s">
        <v>1393</v>
      </c>
      <c r="B59" s="1" t="s">
        <v>1394</v>
      </c>
      <c r="C59" s="1" t="s">
        <v>1406</v>
      </c>
      <c r="D59" s="1" t="s">
        <v>3444</v>
      </c>
      <c r="E59" s="1" t="s">
        <v>3447</v>
      </c>
      <c r="F59" s="3">
        <v>0</v>
      </c>
      <c r="G59" s="24" t="s">
        <v>7181</v>
      </c>
      <c r="H59" s="24" t="s">
        <v>3448</v>
      </c>
      <c r="I59" s="24" t="s">
        <v>2965</v>
      </c>
      <c r="J59" s="24" t="s">
        <v>2919</v>
      </c>
      <c r="K59" s="3">
        <v>30</v>
      </c>
      <c r="L59" s="3" t="s">
        <v>6750</v>
      </c>
      <c r="M59" s="3" t="str">
        <f>HYPERLINK("http://ictvonline.org/taxonomyHistory.asp?taxnode_id=20150103","ICTVonline=20150103")</f>
        <v>ICTVonline=20150103</v>
      </c>
    </row>
    <row r="60" spans="1:13" x14ac:dyDescent="0.15">
      <c r="A60" s="1" t="s">
        <v>1393</v>
      </c>
      <c r="B60" s="1" t="s">
        <v>1394</v>
      </c>
      <c r="C60" s="1" t="s">
        <v>1406</v>
      </c>
      <c r="D60" s="1" t="s">
        <v>3449</v>
      </c>
      <c r="E60" s="1" t="s">
        <v>3450</v>
      </c>
      <c r="F60" s="3">
        <v>1</v>
      </c>
      <c r="I60" s="24" t="s">
        <v>2965</v>
      </c>
      <c r="J60" s="24" t="s">
        <v>2923</v>
      </c>
      <c r="K60" s="3">
        <v>30</v>
      </c>
      <c r="L60" s="3" t="s">
        <v>6745</v>
      </c>
      <c r="M60" s="3" t="str">
        <f>HYPERLINK("http://ictvonline.org/taxonomyHistory.asp?taxnode_id=20150054","ICTVonline=20150054")</f>
        <v>ICTVonline=20150054</v>
      </c>
    </row>
    <row r="61" spans="1:13" x14ac:dyDescent="0.15">
      <c r="A61" s="1" t="s">
        <v>1393</v>
      </c>
      <c r="B61" s="1" t="s">
        <v>1394</v>
      </c>
      <c r="C61" s="1" t="s">
        <v>1406</v>
      </c>
      <c r="D61" s="1" t="s">
        <v>3449</v>
      </c>
      <c r="E61" s="1" t="s">
        <v>3451</v>
      </c>
      <c r="F61" s="3">
        <v>0</v>
      </c>
      <c r="I61" s="24" t="s">
        <v>2965</v>
      </c>
      <c r="J61" s="24" t="s">
        <v>2923</v>
      </c>
      <c r="K61" s="3">
        <v>30</v>
      </c>
      <c r="L61" s="3" t="s">
        <v>6745</v>
      </c>
      <c r="M61" s="3" t="str">
        <f>HYPERLINK("http://ictvonline.org/taxonomyHistory.asp?taxnode_id=20150055","ICTVonline=20150055")</f>
        <v>ICTVonline=20150055</v>
      </c>
    </row>
    <row r="62" spans="1:13" x14ac:dyDescent="0.15">
      <c r="A62" s="1" t="s">
        <v>1393</v>
      </c>
      <c r="B62" s="1" t="s">
        <v>1394</v>
      </c>
      <c r="C62" s="1" t="s">
        <v>1406</v>
      </c>
      <c r="D62" s="1" t="s">
        <v>3449</v>
      </c>
      <c r="E62" s="1" t="s">
        <v>3452</v>
      </c>
      <c r="F62" s="3">
        <v>0</v>
      </c>
      <c r="G62" s="24" t="s">
        <v>7182</v>
      </c>
      <c r="H62" s="24" t="s">
        <v>3453</v>
      </c>
      <c r="I62" s="24" t="s">
        <v>2965</v>
      </c>
      <c r="J62" s="24" t="s">
        <v>2919</v>
      </c>
      <c r="K62" s="3">
        <v>30</v>
      </c>
      <c r="L62" s="3" t="s">
        <v>6751</v>
      </c>
      <c r="M62" s="3" t="str">
        <f>HYPERLINK("http://ictvonline.org/taxonomyHistory.asp?taxnode_id=20150056","ICTVonline=20150056")</f>
        <v>ICTVonline=20150056</v>
      </c>
    </row>
    <row r="63" spans="1:13" x14ac:dyDescent="0.15">
      <c r="A63" s="1" t="s">
        <v>1393</v>
      </c>
      <c r="B63" s="1" t="s">
        <v>1394</v>
      </c>
      <c r="C63" s="1" t="s">
        <v>1406</v>
      </c>
      <c r="D63" s="1" t="s">
        <v>3454</v>
      </c>
      <c r="E63" s="1" t="s">
        <v>3455</v>
      </c>
      <c r="F63" s="3">
        <v>0</v>
      </c>
      <c r="G63" s="24" t="s">
        <v>7183</v>
      </c>
      <c r="H63" s="24" t="s">
        <v>3456</v>
      </c>
      <c r="I63" s="24" t="s">
        <v>2965</v>
      </c>
      <c r="J63" s="24" t="s">
        <v>2919</v>
      </c>
      <c r="K63" s="3">
        <v>30</v>
      </c>
      <c r="L63" s="3" t="s">
        <v>6750</v>
      </c>
      <c r="M63" s="3" t="str">
        <f>HYPERLINK("http://ictvonline.org/taxonomyHistory.asp?taxnode_id=20150098","ICTVonline=20150098")</f>
        <v>ICTVonline=20150098</v>
      </c>
    </row>
    <row r="64" spans="1:13" x14ac:dyDescent="0.15">
      <c r="A64" s="1" t="s">
        <v>1393</v>
      </c>
      <c r="B64" s="1" t="s">
        <v>1394</v>
      </c>
      <c r="C64" s="1" t="s">
        <v>1406</v>
      </c>
      <c r="D64" s="1" t="s">
        <v>3454</v>
      </c>
      <c r="E64" s="1" t="s">
        <v>3457</v>
      </c>
      <c r="F64" s="3">
        <v>0</v>
      </c>
      <c r="G64" s="24" t="s">
        <v>7184</v>
      </c>
      <c r="H64" s="24" t="s">
        <v>3458</v>
      </c>
      <c r="I64" s="24" t="s">
        <v>2965</v>
      </c>
      <c r="J64" s="24" t="s">
        <v>2919</v>
      </c>
      <c r="K64" s="3">
        <v>30</v>
      </c>
      <c r="L64" s="3" t="s">
        <v>6750</v>
      </c>
      <c r="M64" s="3" t="str">
        <f>HYPERLINK("http://ictvonline.org/taxonomyHistory.asp?taxnode_id=20150099","ICTVonline=20150099")</f>
        <v>ICTVonline=20150099</v>
      </c>
    </row>
    <row r="65" spans="1:13" x14ac:dyDescent="0.15">
      <c r="A65" s="1" t="s">
        <v>1393</v>
      </c>
      <c r="B65" s="1" t="s">
        <v>1394</v>
      </c>
      <c r="C65" s="1" t="s">
        <v>1406</v>
      </c>
      <c r="D65" s="1" t="s">
        <v>3454</v>
      </c>
      <c r="E65" s="1" t="s">
        <v>3459</v>
      </c>
      <c r="F65" s="3">
        <v>0</v>
      </c>
      <c r="G65" s="24" t="s">
        <v>7185</v>
      </c>
      <c r="H65" s="24" t="s">
        <v>3460</v>
      </c>
      <c r="I65" s="24" t="s">
        <v>2965</v>
      </c>
      <c r="J65" s="24" t="s">
        <v>2919</v>
      </c>
      <c r="K65" s="3">
        <v>30</v>
      </c>
      <c r="L65" s="3" t="s">
        <v>6750</v>
      </c>
      <c r="M65" s="3" t="str">
        <f>HYPERLINK("http://ictvonline.org/taxonomyHistory.asp?taxnode_id=20150100","ICTVonline=20150100")</f>
        <v>ICTVonline=20150100</v>
      </c>
    </row>
    <row r="66" spans="1:13" x14ac:dyDescent="0.15">
      <c r="A66" s="1" t="s">
        <v>1393</v>
      </c>
      <c r="B66" s="1" t="s">
        <v>1394</v>
      </c>
      <c r="C66" s="1" t="s">
        <v>1406</v>
      </c>
      <c r="D66" s="1" t="s">
        <v>3454</v>
      </c>
      <c r="E66" s="1" t="s">
        <v>3461</v>
      </c>
      <c r="F66" s="3">
        <v>0</v>
      </c>
      <c r="G66" s="24" t="s">
        <v>7186</v>
      </c>
      <c r="H66" s="24" t="s">
        <v>3462</v>
      </c>
      <c r="I66" s="24" t="s">
        <v>2965</v>
      </c>
      <c r="J66" s="24" t="s">
        <v>2919</v>
      </c>
      <c r="K66" s="3">
        <v>30</v>
      </c>
      <c r="L66" s="3" t="s">
        <v>6750</v>
      </c>
      <c r="M66" s="3" t="str">
        <f>HYPERLINK("http://ictvonline.org/taxonomyHistory.asp?taxnode_id=20150101","ICTVonline=20150101")</f>
        <v>ICTVonline=20150101</v>
      </c>
    </row>
    <row r="67" spans="1:13" x14ac:dyDescent="0.15">
      <c r="A67" s="1" t="s">
        <v>1393</v>
      </c>
      <c r="B67" s="1" t="s">
        <v>1394</v>
      </c>
      <c r="C67" s="1" t="s">
        <v>1406</v>
      </c>
      <c r="D67" s="1" t="s">
        <v>3454</v>
      </c>
      <c r="E67" s="1" t="s">
        <v>3463</v>
      </c>
      <c r="F67" s="3">
        <v>1</v>
      </c>
      <c r="G67" s="24" t="s">
        <v>7187</v>
      </c>
      <c r="H67" s="24" t="s">
        <v>3464</v>
      </c>
      <c r="I67" s="24" t="s">
        <v>2965</v>
      </c>
      <c r="J67" s="24" t="s">
        <v>2919</v>
      </c>
      <c r="K67" s="3">
        <v>30</v>
      </c>
      <c r="L67" s="3" t="s">
        <v>6750</v>
      </c>
      <c r="M67" s="3" t="str">
        <f>HYPERLINK("http://ictvonline.org/taxonomyHistory.asp?taxnode_id=20150097","ICTVonline=20150097")</f>
        <v>ICTVonline=20150097</v>
      </c>
    </row>
    <row r="68" spans="1:13" x14ac:dyDescent="0.15">
      <c r="A68" s="1" t="s">
        <v>1393</v>
      </c>
      <c r="B68" s="1" t="s">
        <v>1394</v>
      </c>
      <c r="C68" s="1" t="s">
        <v>1406</v>
      </c>
      <c r="D68" s="1" t="s">
        <v>3465</v>
      </c>
      <c r="E68" s="1" t="s">
        <v>3466</v>
      </c>
      <c r="F68" s="3">
        <v>0</v>
      </c>
      <c r="G68" s="24" t="s">
        <v>7188</v>
      </c>
      <c r="H68" s="24" t="s">
        <v>3467</v>
      </c>
      <c r="I68" s="24" t="s">
        <v>2965</v>
      </c>
      <c r="J68" s="24" t="s">
        <v>2919</v>
      </c>
      <c r="K68" s="3">
        <v>30</v>
      </c>
      <c r="L68" s="3" t="s">
        <v>6750</v>
      </c>
      <c r="M68" s="3" t="str">
        <f>HYPERLINK("http://ictvonline.org/taxonomyHistory.asp?taxnode_id=20150076","ICTVonline=20150076")</f>
        <v>ICTVonline=20150076</v>
      </c>
    </row>
    <row r="69" spans="1:13" x14ac:dyDescent="0.15">
      <c r="A69" s="1" t="s">
        <v>1393</v>
      </c>
      <c r="B69" s="1" t="s">
        <v>1394</v>
      </c>
      <c r="C69" s="1" t="s">
        <v>1406</v>
      </c>
      <c r="D69" s="1" t="s">
        <v>3465</v>
      </c>
      <c r="E69" s="1" t="s">
        <v>3468</v>
      </c>
      <c r="F69" s="3">
        <v>0</v>
      </c>
      <c r="G69" s="24" t="s">
        <v>7189</v>
      </c>
      <c r="H69" s="24" t="s">
        <v>3469</v>
      </c>
      <c r="I69" s="24" t="s">
        <v>2965</v>
      </c>
      <c r="J69" s="24" t="s">
        <v>2919</v>
      </c>
      <c r="K69" s="3">
        <v>30</v>
      </c>
      <c r="L69" s="3" t="s">
        <v>6750</v>
      </c>
      <c r="M69" s="3" t="str">
        <f>HYPERLINK("http://ictvonline.org/taxonomyHistory.asp?taxnode_id=20150081","ICTVonline=20150081")</f>
        <v>ICTVonline=20150081</v>
      </c>
    </row>
    <row r="70" spans="1:13" x14ac:dyDescent="0.15">
      <c r="A70" s="1" t="s">
        <v>1393</v>
      </c>
      <c r="B70" s="1" t="s">
        <v>1394</v>
      </c>
      <c r="C70" s="1" t="s">
        <v>1406</v>
      </c>
      <c r="D70" s="1" t="s">
        <v>3465</v>
      </c>
      <c r="E70" s="1" t="s">
        <v>3470</v>
      </c>
      <c r="F70" s="3">
        <v>0</v>
      </c>
      <c r="G70" s="24" t="s">
        <v>7190</v>
      </c>
      <c r="H70" s="24" t="s">
        <v>3471</v>
      </c>
      <c r="I70" s="24" t="s">
        <v>2965</v>
      </c>
      <c r="J70" s="24" t="s">
        <v>2919</v>
      </c>
      <c r="K70" s="3">
        <v>30</v>
      </c>
      <c r="L70" s="3" t="s">
        <v>6750</v>
      </c>
      <c r="M70" s="3" t="str">
        <f>HYPERLINK("http://ictvonline.org/taxonomyHistory.asp?taxnode_id=20150078","ICTVonline=20150078")</f>
        <v>ICTVonline=20150078</v>
      </c>
    </row>
    <row r="71" spans="1:13" x14ac:dyDescent="0.15">
      <c r="A71" s="1" t="s">
        <v>1393</v>
      </c>
      <c r="B71" s="1" t="s">
        <v>1394</v>
      </c>
      <c r="C71" s="1" t="s">
        <v>1406</v>
      </c>
      <c r="D71" s="1" t="s">
        <v>3465</v>
      </c>
      <c r="E71" s="1" t="s">
        <v>3472</v>
      </c>
      <c r="F71" s="3">
        <v>0</v>
      </c>
      <c r="G71" s="24" t="s">
        <v>7191</v>
      </c>
      <c r="H71" s="24" t="s">
        <v>3473</v>
      </c>
      <c r="I71" s="24" t="s">
        <v>2965</v>
      </c>
      <c r="J71" s="24" t="s">
        <v>2919</v>
      </c>
      <c r="K71" s="3">
        <v>30</v>
      </c>
      <c r="L71" s="3" t="s">
        <v>6750</v>
      </c>
      <c r="M71" s="3" t="str">
        <f>HYPERLINK("http://ictvonline.org/taxonomyHistory.asp?taxnode_id=20150079","ICTVonline=20150079")</f>
        <v>ICTVonline=20150079</v>
      </c>
    </row>
    <row r="72" spans="1:13" x14ac:dyDescent="0.15">
      <c r="A72" s="1" t="s">
        <v>1393</v>
      </c>
      <c r="B72" s="1" t="s">
        <v>1394</v>
      </c>
      <c r="C72" s="1" t="s">
        <v>1406</v>
      </c>
      <c r="D72" s="1" t="s">
        <v>3465</v>
      </c>
      <c r="E72" s="1" t="s">
        <v>3474</v>
      </c>
      <c r="F72" s="3">
        <v>0</v>
      </c>
      <c r="G72" s="24" t="s">
        <v>7192</v>
      </c>
      <c r="H72" s="24" t="s">
        <v>3475</v>
      </c>
      <c r="I72" s="24" t="s">
        <v>2965</v>
      </c>
      <c r="J72" s="24" t="s">
        <v>2919</v>
      </c>
      <c r="K72" s="3">
        <v>30</v>
      </c>
      <c r="L72" s="3" t="s">
        <v>6750</v>
      </c>
      <c r="M72" s="3" t="str">
        <f>HYPERLINK("http://ictvonline.org/taxonomyHistory.asp?taxnode_id=20150077","ICTVonline=20150077")</f>
        <v>ICTVonline=20150077</v>
      </c>
    </row>
    <row r="73" spans="1:13" x14ac:dyDescent="0.15">
      <c r="A73" s="1" t="s">
        <v>1393</v>
      </c>
      <c r="B73" s="1" t="s">
        <v>1394</v>
      </c>
      <c r="C73" s="1" t="s">
        <v>1406</v>
      </c>
      <c r="D73" s="1" t="s">
        <v>3465</v>
      </c>
      <c r="E73" s="1" t="s">
        <v>3476</v>
      </c>
      <c r="F73" s="3">
        <v>0</v>
      </c>
      <c r="G73" s="24" t="s">
        <v>7193</v>
      </c>
      <c r="H73" s="24" t="s">
        <v>3477</v>
      </c>
      <c r="I73" s="24" t="s">
        <v>2965</v>
      </c>
      <c r="J73" s="24" t="s">
        <v>2919</v>
      </c>
      <c r="K73" s="3">
        <v>30</v>
      </c>
      <c r="L73" s="3" t="s">
        <v>6750</v>
      </c>
      <c r="M73" s="3" t="str">
        <f>HYPERLINK("http://ictvonline.org/taxonomyHistory.asp?taxnode_id=20150080","ICTVonline=20150080")</f>
        <v>ICTVonline=20150080</v>
      </c>
    </row>
    <row r="74" spans="1:13" x14ac:dyDescent="0.15">
      <c r="A74" s="1" t="s">
        <v>1393</v>
      </c>
      <c r="B74" s="1" t="s">
        <v>1394</v>
      </c>
      <c r="C74" s="1" t="s">
        <v>1406</v>
      </c>
      <c r="D74" s="1" t="s">
        <v>3465</v>
      </c>
      <c r="E74" s="1" t="s">
        <v>3478</v>
      </c>
      <c r="F74" s="3">
        <v>0</v>
      </c>
      <c r="I74" s="24" t="s">
        <v>2965</v>
      </c>
      <c r="J74" s="24" t="s">
        <v>2923</v>
      </c>
      <c r="K74" s="3">
        <v>30</v>
      </c>
      <c r="L74" s="3" t="s">
        <v>6745</v>
      </c>
      <c r="M74" s="3" t="str">
        <f>HYPERLINK("http://ictvonline.org/taxonomyHistory.asp?taxnode_id=20150065","ICTVonline=20150065")</f>
        <v>ICTVonline=20150065</v>
      </c>
    </row>
    <row r="75" spans="1:13" x14ac:dyDescent="0.15">
      <c r="A75" s="1" t="s">
        <v>1393</v>
      </c>
      <c r="B75" s="1" t="s">
        <v>1394</v>
      </c>
      <c r="C75" s="1" t="s">
        <v>1406</v>
      </c>
      <c r="D75" s="1" t="s">
        <v>3465</v>
      </c>
      <c r="E75" s="1" t="s">
        <v>3479</v>
      </c>
      <c r="F75" s="3">
        <v>1</v>
      </c>
      <c r="I75" s="24" t="s">
        <v>2965</v>
      </c>
      <c r="J75" s="24" t="s">
        <v>2923</v>
      </c>
      <c r="K75" s="3">
        <v>30</v>
      </c>
      <c r="L75" s="3" t="s">
        <v>6745</v>
      </c>
      <c r="M75" s="3" t="str">
        <f>HYPERLINK("http://ictvonline.org/taxonomyHistory.asp?taxnode_id=20150062","ICTVonline=20150062")</f>
        <v>ICTVonline=20150062</v>
      </c>
    </row>
    <row r="76" spans="1:13" x14ac:dyDescent="0.15">
      <c r="A76" s="1" t="s">
        <v>1393</v>
      </c>
      <c r="B76" s="1" t="s">
        <v>1394</v>
      </c>
      <c r="C76" s="1" t="s">
        <v>1406</v>
      </c>
      <c r="D76" s="1" t="s">
        <v>3465</v>
      </c>
      <c r="E76" s="1" t="s">
        <v>3480</v>
      </c>
      <c r="F76" s="3">
        <v>0</v>
      </c>
      <c r="G76" s="24" t="s">
        <v>7194</v>
      </c>
      <c r="H76" s="24" t="s">
        <v>3481</v>
      </c>
      <c r="I76" s="24" t="s">
        <v>2965</v>
      </c>
      <c r="J76" s="24" t="s">
        <v>2919</v>
      </c>
      <c r="K76" s="3">
        <v>30</v>
      </c>
      <c r="L76" s="3" t="s">
        <v>6750</v>
      </c>
      <c r="M76" s="3" t="str">
        <f>HYPERLINK("http://ictvonline.org/taxonomyHistory.asp?taxnode_id=20150083","ICTVonline=20150083")</f>
        <v>ICTVonline=20150083</v>
      </c>
    </row>
    <row r="77" spans="1:13" x14ac:dyDescent="0.15">
      <c r="A77" s="1" t="s">
        <v>1393</v>
      </c>
      <c r="B77" s="1" t="s">
        <v>1394</v>
      </c>
      <c r="C77" s="1" t="s">
        <v>1406</v>
      </c>
      <c r="D77" s="1" t="s">
        <v>3465</v>
      </c>
      <c r="E77" s="1" t="s">
        <v>3482</v>
      </c>
      <c r="F77" s="3">
        <v>0</v>
      </c>
      <c r="G77" s="24" t="s">
        <v>7195</v>
      </c>
      <c r="H77" s="24" t="s">
        <v>3483</v>
      </c>
      <c r="I77" s="24" t="s">
        <v>2965</v>
      </c>
      <c r="J77" s="24" t="s">
        <v>2919</v>
      </c>
      <c r="K77" s="3">
        <v>30</v>
      </c>
      <c r="L77" s="3" t="s">
        <v>6750</v>
      </c>
      <c r="M77" s="3" t="str">
        <f>HYPERLINK("http://ictvonline.org/taxonomyHistory.asp?taxnode_id=20150082","ICTVonline=20150082")</f>
        <v>ICTVonline=20150082</v>
      </c>
    </row>
    <row r="78" spans="1:13" x14ac:dyDescent="0.15">
      <c r="A78" s="1" t="s">
        <v>1393</v>
      </c>
      <c r="B78" s="1" t="s">
        <v>1394</v>
      </c>
      <c r="C78" s="1" t="s">
        <v>1406</v>
      </c>
      <c r="D78" s="1" t="s">
        <v>3465</v>
      </c>
      <c r="E78" s="1" t="s">
        <v>3484</v>
      </c>
      <c r="F78" s="3">
        <v>0</v>
      </c>
      <c r="G78" s="24" t="s">
        <v>7196</v>
      </c>
      <c r="H78" s="24" t="s">
        <v>3485</v>
      </c>
      <c r="I78" s="24" t="s">
        <v>2965</v>
      </c>
      <c r="J78" s="24" t="s">
        <v>2919</v>
      </c>
      <c r="K78" s="3">
        <v>30</v>
      </c>
      <c r="L78" s="3" t="s">
        <v>6750</v>
      </c>
      <c r="M78" s="3" t="str">
        <f>HYPERLINK("http://ictvonline.org/taxonomyHistory.asp?taxnode_id=20150085","ICTVonline=20150085")</f>
        <v>ICTVonline=20150085</v>
      </c>
    </row>
    <row r="79" spans="1:13" x14ac:dyDescent="0.15">
      <c r="A79" s="1" t="s">
        <v>1393</v>
      </c>
      <c r="B79" s="1" t="s">
        <v>1394</v>
      </c>
      <c r="C79" s="1" t="s">
        <v>1406</v>
      </c>
      <c r="D79" s="1" t="s">
        <v>3465</v>
      </c>
      <c r="E79" s="1" t="s">
        <v>3486</v>
      </c>
      <c r="F79" s="3">
        <v>0</v>
      </c>
      <c r="G79" s="24" t="s">
        <v>7197</v>
      </c>
      <c r="H79" s="24" t="s">
        <v>3487</v>
      </c>
      <c r="I79" s="24" t="s">
        <v>2965</v>
      </c>
      <c r="J79" s="24" t="s">
        <v>2919</v>
      </c>
      <c r="K79" s="3">
        <v>30</v>
      </c>
      <c r="L79" s="3" t="s">
        <v>6750</v>
      </c>
      <c r="M79" s="3" t="str">
        <f>HYPERLINK("http://ictvonline.org/taxonomyHistory.asp?taxnode_id=20150084","ICTVonline=20150084")</f>
        <v>ICTVonline=20150084</v>
      </c>
    </row>
    <row r="80" spans="1:13" x14ac:dyDescent="0.15">
      <c r="A80" s="1" t="s">
        <v>1393</v>
      </c>
      <c r="B80" s="1" t="s">
        <v>1394</v>
      </c>
      <c r="C80" s="1" t="s">
        <v>1406</v>
      </c>
      <c r="D80" s="1" t="s">
        <v>934</v>
      </c>
      <c r="E80" s="1" t="s">
        <v>3488</v>
      </c>
      <c r="F80" s="3">
        <v>0</v>
      </c>
      <c r="I80" s="24" t="s">
        <v>2965</v>
      </c>
      <c r="J80" s="24" t="s">
        <v>2924</v>
      </c>
      <c r="K80" s="3">
        <v>30</v>
      </c>
      <c r="L80" s="3" t="s">
        <v>6745</v>
      </c>
      <c r="M80" s="3" t="str">
        <f>HYPERLINK("http://ictvonline.org/taxonomyHistory.asp?taxnode_id=20150073","ICTVonline=20150073")</f>
        <v>ICTVonline=20150073</v>
      </c>
    </row>
    <row r="81" spans="1:13" x14ac:dyDescent="0.15">
      <c r="A81" s="1" t="s">
        <v>1393</v>
      </c>
      <c r="B81" s="1" t="s">
        <v>1394</v>
      </c>
      <c r="C81" s="1" t="s">
        <v>1406</v>
      </c>
      <c r="D81" s="1" t="s">
        <v>934</v>
      </c>
      <c r="E81" s="1" t="s">
        <v>3489</v>
      </c>
      <c r="F81" s="3">
        <v>0</v>
      </c>
      <c r="I81" s="24" t="s">
        <v>2965</v>
      </c>
      <c r="J81" s="24" t="s">
        <v>2924</v>
      </c>
      <c r="K81" s="3">
        <v>30</v>
      </c>
      <c r="L81" s="3" t="s">
        <v>6745</v>
      </c>
      <c r="M81" s="3" t="str">
        <f>HYPERLINK("http://ictvonline.org/taxonomyHistory.asp?taxnode_id=20150074","ICTVonline=20150074")</f>
        <v>ICTVonline=20150074</v>
      </c>
    </row>
    <row r="82" spans="1:13" x14ac:dyDescent="0.15">
      <c r="A82" s="1" t="s">
        <v>1393</v>
      </c>
      <c r="B82" s="1" t="s">
        <v>1394</v>
      </c>
      <c r="C82" s="1" t="s">
        <v>1406</v>
      </c>
      <c r="D82" s="1" t="s">
        <v>934</v>
      </c>
      <c r="E82" s="1" t="s">
        <v>3490</v>
      </c>
      <c r="F82" s="3">
        <v>0</v>
      </c>
      <c r="I82" s="24" t="s">
        <v>2965</v>
      </c>
      <c r="J82" s="24" t="s">
        <v>2924</v>
      </c>
      <c r="K82" s="3">
        <v>30</v>
      </c>
      <c r="L82" s="3" t="s">
        <v>6745</v>
      </c>
      <c r="M82" s="3" t="str">
        <f>HYPERLINK("http://ictvonline.org/taxonomyHistory.asp?taxnode_id=20150075","ICTVonline=20150075")</f>
        <v>ICTVonline=20150075</v>
      </c>
    </row>
    <row r="83" spans="1:13" x14ac:dyDescent="0.15">
      <c r="A83" s="1" t="s">
        <v>1393</v>
      </c>
      <c r="B83" s="1" t="s">
        <v>1394</v>
      </c>
      <c r="C83" s="1" t="s">
        <v>1406</v>
      </c>
      <c r="D83" s="1" t="s">
        <v>934</v>
      </c>
      <c r="E83" s="1" t="s">
        <v>3491</v>
      </c>
      <c r="F83" s="3">
        <v>0</v>
      </c>
      <c r="I83" s="24" t="s">
        <v>2965</v>
      </c>
      <c r="J83" s="24" t="s">
        <v>2923</v>
      </c>
      <c r="K83" s="3">
        <v>30</v>
      </c>
      <c r="L83" s="3" t="s">
        <v>6750</v>
      </c>
      <c r="M83" s="3" t="str">
        <f>HYPERLINK("http://ictvonline.org/taxonomyHistory.asp?taxnode_id=20150061","ICTVonline=20150061")</f>
        <v>ICTVonline=20150061</v>
      </c>
    </row>
    <row r="84" spans="1:13" x14ac:dyDescent="0.15">
      <c r="A84" s="1" t="s">
        <v>1393</v>
      </c>
      <c r="B84" s="1" t="s">
        <v>1394</v>
      </c>
      <c r="C84" s="1" t="s">
        <v>1406</v>
      </c>
      <c r="D84" s="1" t="s">
        <v>934</v>
      </c>
      <c r="E84" s="1" t="s">
        <v>3492</v>
      </c>
      <c r="F84" s="3">
        <v>0</v>
      </c>
      <c r="I84" s="24" t="s">
        <v>2965</v>
      </c>
      <c r="J84" s="24" t="s">
        <v>2923</v>
      </c>
      <c r="K84" s="3">
        <v>30</v>
      </c>
      <c r="L84" s="3" t="s">
        <v>6750</v>
      </c>
      <c r="M84" s="3" t="str">
        <f>HYPERLINK("http://ictvonline.org/taxonomyHistory.asp?taxnode_id=20150066","ICTVonline=20150066")</f>
        <v>ICTVonline=20150066</v>
      </c>
    </row>
    <row r="85" spans="1:13" x14ac:dyDescent="0.15">
      <c r="A85" s="1" t="s">
        <v>1393</v>
      </c>
      <c r="B85" s="1" t="s">
        <v>1394</v>
      </c>
      <c r="C85" s="1" t="s">
        <v>1406</v>
      </c>
      <c r="D85" s="1" t="s">
        <v>934</v>
      </c>
      <c r="E85" s="1" t="s">
        <v>3493</v>
      </c>
      <c r="F85" s="3">
        <v>0</v>
      </c>
      <c r="I85" s="24" t="s">
        <v>2965</v>
      </c>
      <c r="J85" s="24" t="s">
        <v>2923</v>
      </c>
      <c r="K85" s="3">
        <v>30</v>
      </c>
      <c r="L85" s="3" t="s">
        <v>6750</v>
      </c>
      <c r="M85" s="3" t="str">
        <f>HYPERLINK("http://ictvonline.org/taxonomyHistory.asp?taxnode_id=20150067","ICTVonline=20150067")</f>
        <v>ICTVonline=20150067</v>
      </c>
    </row>
    <row r="86" spans="1:13" x14ac:dyDescent="0.15">
      <c r="A86" s="1" t="s">
        <v>1393</v>
      </c>
      <c r="B86" s="1" t="s">
        <v>1394</v>
      </c>
      <c r="C86" s="1" t="s">
        <v>1406</v>
      </c>
      <c r="D86" s="1" t="s">
        <v>934</v>
      </c>
      <c r="E86" s="1" t="s">
        <v>3494</v>
      </c>
      <c r="F86" s="3">
        <v>0</v>
      </c>
      <c r="I86" s="24" t="s">
        <v>2965</v>
      </c>
      <c r="J86" s="24" t="s">
        <v>2923</v>
      </c>
      <c r="K86" s="3">
        <v>30</v>
      </c>
      <c r="L86" s="3" t="s">
        <v>6750</v>
      </c>
      <c r="M86" s="3" t="str">
        <f>HYPERLINK("http://ictvonline.org/taxonomyHistory.asp?taxnode_id=20150068","ICTVonline=20150068")</f>
        <v>ICTVonline=20150068</v>
      </c>
    </row>
    <row r="87" spans="1:13" x14ac:dyDescent="0.15">
      <c r="A87" s="1" t="s">
        <v>1393</v>
      </c>
      <c r="B87" s="1" t="s">
        <v>1394</v>
      </c>
      <c r="C87" s="1" t="s">
        <v>1406</v>
      </c>
      <c r="D87" s="1" t="s">
        <v>934</v>
      </c>
      <c r="E87" s="1" t="s">
        <v>3495</v>
      </c>
      <c r="F87" s="3">
        <v>0</v>
      </c>
      <c r="I87" s="24" t="s">
        <v>2965</v>
      </c>
      <c r="J87" s="24" t="s">
        <v>2923</v>
      </c>
      <c r="K87" s="3">
        <v>30</v>
      </c>
      <c r="L87" s="3" t="s">
        <v>6750</v>
      </c>
      <c r="M87" s="3" t="str">
        <f>HYPERLINK("http://ictvonline.org/taxonomyHistory.asp?taxnode_id=20150071","ICTVonline=20150071")</f>
        <v>ICTVonline=20150071</v>
      </c>
    </row>
    <row r="88" spans="1:13" x14ac:dyDescent="0.15">
      <c r="A88" s="1" t="s">
        <v>1393</v>
      </c>
      <c r="B88" s="1" t="s">
        <v>1394</v>
      </c>
      <c r="C88" s="1" t="s">
        <v>3496</v>
      </c>
      <c r="D88" s="1" t="s">
        <v>3497</v>
      </c>
      <c r="E88" s="1" t="s">
        <v>3498</v>
      </c>
      <c r="F88" s="3">
        <v>1</v>
      </c>
      <c r="G88" s="24" t="s">
        <v>7198</v>
      </c>
      <c r="H88" s="24" t="s">
        <v>3499</v>
      </c>
      <c r="I88" s="24" t="s">
        <v>2965</v>
      </c>
      <c r="J88" s="24" t="s">
        <v>2919</v>
      </c>
      <c r="K88" s="3">
        <v>30</v>
      </c>
      <c r="L88" s="3" t="s">
        <v>6752</v>
      </c>
      <c r="M88" s="3" t="str">
        <f>HYPERLINK("http://ictvonline.org/taxonomyHistory.asp?taxnode_id=20150247","ICTVonline=20150247")</f>
        <v>ICTVonline=20150247</v>
      </c>
    </row>
    <row r="89" spans="1:13" x14ac:dyDescent="0.15">
      <c r="A89" s="1" t="s">
        <v>1393</v>
      </c>
      <c r="B89" s="1" t="s">
        <v>1394</v>
      </c>
      <c r="C89" s="1" t="s">
        <v>3496</v>
      </c>
      <c r="D89" s="1" t="s">
        <v>3497</v>
      </c>
      <c r="E89" s="1" t="s">
        <v>3500</v>
      </c>
      <c r="F89" s="3">
        <v>0</v>
      </c>
      <c r="G89" s="24" t="s">
        <v>7199</v>
      </c>
      <c r="H89" s="24" t="s">
        <v>3501</v>
      </c>
      <c r="I89" s="24" t="s">
        <v>2965</v>
      </c>
      <c r="J89" s="24" t="s">
        <v>2919</v>
      </c>
      <c r="K89" s="3">
        <v>30</v>
      </c>
      <c r="L89" s="3" t="s">
        <v>6752</v>
      </c>
      <c r="M89" s="3" t="str">
        <f>HYPERLINK("http://ictvonline.org/taxonomyHistory.asp?taxnode_id=20150248","ICTVonline=20150248")</f>
        <v>ICTVonline=20150248</v>
      </c>
    </row>
    <row r="90" spans="1:13" x14ac:dyDescent="0.15">
      <c r="A90" s="1" t="s">
        <v>1393</v>
      </c>
      <c r="B90" s="1" t="s">
        <v>1394</v>
      </c>
      <c r="C90" s="1" t="s">
        <v>3496</v>
      </c>
      <c r="D90" s="1" t="s">
        <v>3497</v>
      </c>
      <c r="E90" s="1" t="s">
        <v>3502</v>
      </c>
      <c r="F90" s="3">
        <v>0</v>
      </c>
      <c r="G90" s="24" t="s">
        <v>7200</v>
      </c>
      <c r="H90" s="24" t="s">
        <v>3503</v>
      </c>
      <c r="I90" s="24" t="s">
        <v>2965</v>
      </c>
      <c r="J90" s="24" t="s">
        <v>2919</v>
      </c>
      <c r="K90" s="3">
        <v>30</v>
      </c>
      <c r="L90" s="3" t="s">
        <v>6752</v>
      </c>
      <c r="M90" s="3" t="str">
        <f>HYPERLINK("http://ictvonline.org/taxonomyHistory.asp?taxnode_id=20150249","ICTVonline=20150249")</f>
        <v>ICTVonline=20150249</v>
      </c>
    </row>
    <row r="91" spans="1:13" x14ac:dyDescent="0.15">
      <c r="A91" s="1" t="s">
        <v>1393</v>
      </c>
      <c r="B91" s="1" t="s">
        <v>1394</v>
      </c>
      <c r="C91" s="1" t="s">
        <v>3496</v>
      </c>
      <c r="D91" s="1" t="s">
        <v>3504</v>
      </c>
      <c r="E91" s="1" t="s">
        <v>3505</v>
      </c>
      <c r="F91" s="3">
        <v>0</v>
      </c>
      <c r="G91" s="24" t="s">
        <v>7201</v>
      </c>
      <c r="H91" s="24" t="s">
        <v>3506</v>
      </c>
      <c r="I91" s="24" t="s">
        <v>2965</v>
      </c>
      <c r="J91" s="24" t="s">
        <v>2919</v>
      </c>
      <c r="K91" s="3">
        <v>30</v>
      </c>
      <c r="L91" s="3" t="s">
        <v>6752</v>
      </c>
      <c r="M91" s="3" t="str">
        <f>HYPERLINK("http://ictvonline.org/taxonomyHistory.asp?taxnode_id=20150245","ICTVonline=20150245")</f>
        <v>ICTVonline=20150245</v>
      </c>
    </row>
    <row r="92" spans="1:13" x14ac:dyDescent="0.15">
      <c r="A92" s="1" t="s">
        <v>1393</v>
      </c>
      <c r="B92" s="1" t="s">
        <v>1394</v>
      </c>
      <c r="C92" s="1" t="s">
        <v>3496</v>
      </c>
      <c r="D92" s="1" t="s">
        <v>3504</v>
      </c>
      <c r="E92" s="1" t="s">
        <v>3507</v>
      </c>
      <c r="F92" s="3">
        <v>0</v>
      </c>
      <c r="G92" s="24" t="s">
        <v>7202</v>
      </c>
      <c r="H92" s="24" t="s">
        <v>3508</v>
      </c>
      <c r="I92" s="24" t="s">
        <v>2965</v>
      </c>
      <c r="J92" s="24" t="s">
        <v>2919</v>
      </c>
      <c r="K92" s="3">
        <v>30</v>
      </c>
      <c r="L92" s="3" t="s">
        <v>6752</v>
      </c>
      <c r="M92" s="3" t="str">
        <f>HYPERLINK("http://ictvonline.org/taxonomyHistory.asp?taxnode_id=20150244","ICTVonline=20150244")</f>
        <v>ICTVonline=20150244</v>
      </c>
    </row>
    <row r="93" spans="1:13" x14ac:dyDescent="0.15">
      <c r="A93" s="1" t="s">
        <v>1393</v>
      </c>
      <c r="B93" s="1" t="s">
        <v>1394</v>
      </c>
      <c r="C93" s="1" t="s">
        <v>3496</v>
      </c>
      <c r="D93" s="1" t="s">
        <v>3504</v>
      </c>
      <c r="E93" s="1" t="s">
        <v>3509</v>
      </c>
      <c r="F93" s="3">
        <v>1</v>
      </c>
      <c r="G93" s="24" t="s">
        <v>7203</v>
      </c>
      <c r="H93" s="24" t="s">
        <v>3510</v>
      </c>
      <c r="I93" s="24" t="s">
        <v>2965</v>
      </c>
      <c r="J93" s="24" t="s">
        <v>2919</v>
      </c>
      <c r="K93" s="3">
        <v>30</v>
      </c>
      <c r="L93" s="3" t="s">
        <v>6752</v>
      </c>
      <c r="M93" s="3" t="str">
        <f>HYPERLINK("http://ictvonline.org/taxonomyHistory.asp?taxnode_id=20150242","ICTVonline=20150242")</f>
        <v>ICTVonline=20150242</v>
      </c>
    </row>
    <row r="94" spans="1:13" x14ac:dyDescent="0.15">
      <c r="A94" s="1" t="s">
        <v>1393</v>
      </c>
      <c r="B94" s="1" t="s">
        <v>1394</v>
      </c>
      <c r="C94" s="1" t="s">
        <v>3496</v>
      </c>
      <c r="D94" s="1" t="s">
        <v>3504</v>
      </c>
      <c r="E94" s="1" t="s">
        <v>3511</v>
      </c>
      <c r="F94" s="3">
        <v>0</v>
      </c>
      <c r="G94" s="24" t="s">
        <v>7204</v>
      </c>
      <c r="H94" s="24" t="s">
        <v>3512</v>
      </c>
      <c r="I94" s="24" t="s">
        <v>2965</v>
      </c>
      <c r="J94" s="24" t="s">
        <v>2919</v>
      </c>
      <c r="K94" s="3">
        <v>30</v>
      </c>
      <c r="L94" s="3" t="s">
        <v>6752</v>
      </c>
      <c r="M94" s="3" t="str">
        <f>HYPERLINK("http://ictvonline.org/taxonomyHistory.asp?taxnode_id=20150243","ICTVonline=20150243")</f>
        <v>ICTVonline=20150243</v>
      </c>
    </row>
    <row r="95" spans="1:13" x14ac:dyDescent="0.15">
      <c r="A95" s="1" t="s">
        <v>1393</v>
      </c>
      <c r="B95" s="1" t="s">
        <v>1394</v>
      </c>
      <c r="C95" s="1" t="s">
        <v>3496</v>
      </c>
      <c r="D95" s="1" t="s">
        <v>3513</v>
      </c>
      <c r="E95" s="1" t="s">
        <v>3514</v>
      </c>
      <c r="F95" s="3">
        <v>0</v>
      </c>
      <c r="G95" s="24" t="s">
        <v>7205</v>
      </c>
      <c r="H95" s="24" t="s">
        <v>3515</v>
      </c>
      <c r="I95" s="24" t="s">
        <v>2965</v>
      </c>
      <c r="J95" s="24" t="s">
        <v>2919</v>
      </c>
      <c r="K95" s="3">
        <v>30</v>
      </c>
      <c r="L95" s="3" t="s">
        <v>6752</v>
      </c>
      <c r="M95" s="3" t="str">
        <f>HYPERLINK("http://ictvonline.org/taxonomyHistory.asp?taxnode_id=20150240","ICTVonline=20150240")</f>
        <v>ICTVonline=20150240</v>
      </c>
    </row>
    <row r="96" spans="1:13" x14ac:dyDescent="0.15">
      <c r="A96" s="1" t="s">
        <v>1393</v>
      </c>
      <c r="B96" s="1" t="s">
        <v>1394</v>
      </c>
      <c r="C96" s="1" t="s">
        <v>3496</v>
      </c>
      <c r="D96" s="1" t="s">
        <v>3513</v>
      </c>
      <c r="E96" s="1" t="s">
        <v>3516</v>
      </c>
      <c r="F96" s="3">
        <v>0</v>
      </c>
      <c r="G96" s="24" t="s">
        <v>7206</v>
      </c>
      <c r="H96" s="24" t="s">
        <v>3517</v>
      </c>
      <c r="I96" s="24" t="s">
        <v>2965</v>
      </c>
      <c r="J96" s="24" t="s">
        <v>2919</v>
      </c>
      <c r="K96" s="3">
        <v>30</v>
      </c>
      <c r="L96" s="3" t="s">
        <v>6752</v>
      </c>
      <c r="M96" s="3" t="str">
        <f>HYPERLINK("http://ictvonline.org/taxonomyHistory.asp?taxnode_id=20150239","ICTVonline=20150239")</f>
        <v>ICTVonline=20150239</v>
      </c>
    </row>
    <row r="97" spans="1:13" x14ac:dyDescent="0.15">
      <c r="A97" s="1" t="s">
        <v>1393</v>
      </c>
      <c r="B97" s="1" t="s">
        <v>1394</v>
      </c>
      <c r="C97" s="1" t="s">
        <v>3496</v>
      </c>
      <c r="D97" s="1" t="s">
        <v>3513</v>
      </c>
      <c r="E97" s="1" t="s">
        <v>3518</v>
      </c>
      <c r="F97" s="3">
        <v>0</v>
      </c>
      <c r="G97" s="24" t="s">
        <v>7207</v>
      </c>
      <c r="H97" s="24" t="s">
        <v>3519</v>
      </c>
      <c r="I97" s="24" t="s">
        <v>2965</v>
      </c>
      <c r="J97" s="24" t="s">
        <v>2919</v>
      </c>
      <c r="K97" s="3">
        <v>30</v>
      </c>
      <c r="L97" s="3" t="s">
        <v>6752</v>
      </c>
      <c r="M97" s="3" t="str">
        <f>HYPERLINK("http://ictvonline.org/taxonomyHistory.asp?taxnode_id=20150238","ICTVonline=20150238")</f>
        <v>ICTVonline=20150238</v>
      </c>
    </row>
    <row r="98" spans="1:13" x14ac:dyDescent="0.15">
      <c r="A98" s="1" t="s">
        <v>1393</v>
      </c>
      <c r="B98" s="1" t="s">
        <v>1394</v>
      </c>
      <c r="C98" s="1" t="s">
        <v>3496</v>
      </c>
      <c r="D98" s="1" t="s">
        <v>3513</v>
      </c>
      <c r="E98" s="1" t="s">
        <v>3520</v>
      </c>
      <c r="F98" s="3">
        <v>1</v>
      </c>
      <c r="G98" s="24" t="s">
        <v>7208</v>
      </c>
      <c r="H98" s="24" t="s">
        <v>3521</v>
      </c>
      <c r="I98" s="24" t="s">
        <v>2965</v>
      </c>
      <c r="J98" s="24" t="s">
        <v>2919</v>
      </c>
      <c r="K98" s="3">
        <v>30</v>
      </c>
      <c r="L98" s="3" t="s">
        <v>6752</v>
      </c>
      <c r="M98" s="3" t="str">
        <f>HYPERLINK("http://ictvonline.org/taxonomyHistory.asp?taxnode_id=20150237","ICTVonline=20150237")</f>
        <v>ICTVonline=20150237</v>
      </c>
    </row>
    <row r="99" spans="1:13" x14ac:dyDescent="0.15">
      <c r="A99" s="1" t="s">
        <v>1393</v>
      </c>
      <c r="B99" s="1" t="s">
        <v>1394</v>
      </c>
      <c r="D99" s="1" t="s">
        <v>3522</v>
      </c>
      <c r="E99" s="1" t="s">
        <v>3523</v>
      </c>
      <c r="F99" s="3">
        <v>1</v>
      </c>
      <c r="G99" s="24" t="s">
        <v>7209</v>
      </c>
      <c r="H99" s="24" t="s">
        <v>3524</v>
      </c>
      <c r="I99" s="24" t="s">
        <v>2965</v>
      </c>
      <c r="J99" s="24" t="s">
        <v>2919</v>
      </c>
      <c r="K99" s="3">
        <v>30</v>
      </c>
      <c r="L99" s="3" t="s">
        <v>6753</v>
      </c>
      <c r="M99" s="3" t="str">
        <f>HYPERLINK("http://ictvonline.org/taxonomyHistory.asp?taxnode_id=20150209","ICTVonline=20150209")</f>
        <v>ICTVonline=20150209</v>
      </c>
    </row>
    <row r="100" spans="1:13" x14ac:dyDescent="0.15">
      <c r="A100" s="1" t="s">
        <v>1393</v>
      </c>
      <c r="B100" s="1" t="s">
        <v>1394</v>
      </c>
      <c r="D100" s="1" t="s">
        <v>3522</v>
      </c>
      <c r="E100" s="1" t="s">
        <v>3525</v>
      </c>
      <c r="F100" s="3">
        <v>0</v>
      </c>
      <c r="G100" s="24" t="s">
        <v>7210</v>
      </c>
      <c r="H100" s="24" t="s">
        <v>3526</v>
      </c>
      <c r="I100" s="24" t="s">
        <v>2965</v>
      </c>
      <c r="J100" s="24" t="s">
        <v>2919</v>
      </c>
      <c r="K100" s="3">
        <v>30</v>
      </c>
      <c r="L100" s="3" t="s">
        <v>6753</v>
      </c>
      <c r="M100" s="3" t="str">
        <f>HYPERLINK("http://ictvonline.org/taxonomyHistory.asp?taxnode_id=20150210","ICTVonline=20150210")</f>
        <v>ICTVonline=20150210</v>
      </c>
    </row>
    <row r="101" spans="1:13" x14ac:dyDescent="0.15">
      <c r="A101" s="1" t="s">
        <v>1393</v>
      </c>
      <c r="B101" s="1" t="s">
        <v>1394</v>
      </c>
      <c r="D101" s="1" t="s">
        <v>3522</v>
      </c>
      <c r="E101" s="1" t="s">
        <v>3527</v>
      </c>
      <c r="F101" s="3">
        <v>0</v>
      </c>
      <c r="G101" s="24" t="s">
        <v>7211</v>
      </c>
      <c r="H101" s="24" t="s">
        <v>3528</v>
      </c>
      <c r="I101" s="24" t="s">
        <v>2965</v>
      </c>
      <c r="J101" s="24" t="s">
        <v>2919</v>
      </c>
      <c r="K101" s="3">
        <v>30</v>
      </c>
      <c r="L101" s="3" t="s">
        <v>6753</v>
      </c>
      <c r="M101" s="3" t="str">
        <f>HYPERLINK("http://ictvonline.org/taxonomyHistory.asp?taxnode_id=20150211","ICTVonline=20150211")</f>
        <v>ICTVonline=20150211</v>
      </c>
    </row>
    <row r="102" spans="1:13" x14ac:dyDescent="0.15">
      <c r="A102" s="1" t="s">
        <v>1393</v>
      </c>
      <c r="B102" s="1" t="s">
        <v>1394</v>
      </c>
      <c r="D102" s="1" t="s">
        <v>3529</v>
      </c>
      <c r="E102" s="1" t="s">
        <v>3530</v>
      </c>
      <c r="F102" s="3">
        <v>0</v>
      </c>
      <c r="G102" s="24" t="s">
        <v>7212</v>
      </c>
      <c r="H102" s="24" t="s">
        <v>3531</v>
      </c>
      <c r="I102" s="24" t="s">
        <v>2965</v>
      </c>
      <c r="J102" s="24" t="s">
        <v>2919</v>
      </c>
      <c r="K102" s="3">
        <v>30</v>
      </c>
      <c r="L102" s="3" t="s">
        <v>6754</v>
      </c>
      <c r="M102" s="3" t="str">
        <f>HYPERLINK("http://ictvonline.org/taxonomyHistory.asp?taxnode_id=20150182","ICTVonline=20150182")</f>
        <v>ICTVonline=20150182</v>
      </c>
    </row>
    <row r="103" spans="1:13" x14ac:dyDescent="0.15">
      <c r="A103" s="1" t="s">
        <v>1393</v>
      </c>
      <c r="B103" s="1" t="s">
        <v>1394</v>
      </c>
      <c r="D103" s="1" t="s">
        <v>3529</v>
      </c>
      <c r="E103" s="1" t="s">
        <v>3532</v>
      </c>
      <c r="F103" s="3">
        <v>0</v>
      </c>
      <c r="G103" s="24" t="s">
        <v>7213</v>
      </c>
      <c r="H103" s="24" t="s">
        <v>3533</v>
      </c>
      <c r="I103" s="24" t="s">
        <v>2965</v>
      </c>
      <c r="J103" s="24" t="s">
        <v>2919</v>
      </c>
      <c r="K103" s="3">
        <v>30</v>
      </c>
      <c r="L103" s="3" t="s">
        <v>6754</v>
      </c>
      <c r="M103" s="3" t="str">
        <f>HYPERLINK("http://ictvonline.org/taxonomyHistory.asp?taxnode_id=20150181","ICTVonline=20150181")</f>
        <v>ICTVonline=20150181</v>
      </c>
    </row>
    <row r="104" spans="1:13" x14ac:dyDescent="0.15">
      <c r="A104" s="1" t="s">
        <v>1393</v>
      </c>
      <c r="B104" s="1" t="s">
        <v>1394</v>
      </c>
      <c r="D104" s="1" t="s">
        <v>3529</v>
      </c>
      <c r="E104" s="1" t="s">
        <v>3534</v>
      </c>
      <c r="F104" s="3">
        <v>0</v>
      </c>
      <c r="G104" s="24" t="s">
        <v>7214</v>
      </c>
      <c r="H104" s="24" t="s">
        <v>3535</v>
      </c>
      <c r="I104" s="24" t="s">
        <v>2965</v>
      </c>
      <c r="J104" s="24" t="s">
        <v>2919</v>
      </c>
      <c r="K104" s="3">
        <v>30</v>
      </c>
      <c r="L104" s="3" t="s">
        <v>6754</v>
      </c>
      <c r="M104" s="3" t="str">
        <f>HYPERLINK("http://ictvonline.org/taxonomyHistory.asp?taxnode_id=20150180","ICTVonline=20150180")</f>
        <v>ICTVonline=20150180</v>
      </c>
    </row>
    <row r="105" spans="1:13" x14ac:dyDescent="0.15">
      <c r="A105" s="1" t="s">
        <v>1393</v>
      </c>
      <c r="B105" s="1" t="s">
        <v>1394</v>
      </c>
      <c r="D105" s="1" t="s">
        <v>3529</v>
      </c>
      <c r="E105" s="1" t="s">
        <v>3536</v>
      </c>
      <c r="F105" s="3">
        <v>1</v>
      </c>
      <c r="G105" s="24" t="s">
        <v>7215</v>
      </c>
      <c r="H105" s="24" t="s">
        <v>3537</v>
      </c>
      <c r="I105" s="24" t="s">
        <v>2965</v>
      </c>
      <c r="J105" s="24" t="s">
        <v>2919</v>
      </c>
      <c r="K105" s="3">
        <v>30</v>
      </c>
      <c r="L105" s="3" t="s">
        <v>6754</v>
      </c>
      <c r="M105" s="3" t="str">
        <f>HYPERLINK("http://ictvonline.org/taxonomyHistory.asp?taxnode_id=20150183","ICTVonline=20150183")</f>
        <v>ICTVonline=20150183</v>
      </c>
    </row>
    <row r="106" spans="1:13" x14ac:dyDescent="0.15">
      <c r="A106" s="1" t="s">
        <v>1393</v>
      </c>
      <c r="B106" s="1" t="s">
        <v>1394</v>
      </c>
      <c r="D106" s="1" t="s">
        <v>3538</v>
      </c>
      <c r="E106" s="1" t="s">
        <v>3539</v>
      </c>
      <c r="F106" s="3">
        <v>1</v>
      </c>
      <c r="G106" s="24" t="s">
        <v>7216</v>
      </c>
      <c r="H106" s="24" t="s">
        <v>3540</v>
      </c>
      <c r="I106" s="24" t="s">
        <v>2965</v>
      </c>
      <c r="J106" s="24" t="s">
        <v>2919</v>
      </c>
      <c r="K106" s="3">
        <v>30</v>
      </c>
      <c r="L106" s="3" t="s">
        <v>6755</v>
      </c>
      <c r="M106" s="3" t="str">
        <f>HYPERLINK("http://ictvonline.org/taxonomyHistory.asp?taxnode_id=20150203","ICTVonline=20150203")</f>
        <v>ICTVonline=20150203</v>
      </c>
    </row>
    <row r="107" spans="1:13" x14ac:dyDescent="0.15">
      <c r="A107" s="1" t="s">
        <v>1393</v>
      </c>
      <c r="B107" s="1" t="s">
        <v>1394</v>
      </c>
      <c r="D107" s="1" t="s">
        <v>3538</v>
      </c>
      <c r="E107" s="1" t="s">
        <v>3541</v>
      </c>
      <c r="F107" s="3">
        <v>0</v>
      </c>
      <c r="G107" s="24" t="s">
        <v>7217</v>
      </c>
      <c r="H107" s="24" t="s">
        <v>3542</v>
      </c>
      <c r="I107" s="24" t="s">
        <v>2965</v>
      </c>
      <c r="J107" s="24" t="s">
        <v>2919</v>
      </c>
      <c r="K107" s="3">
        <v>30</v>
      </c>
      <c r="L107" s="3" t="s">
        <v>6755</v>
      </c>
      <c r="M107" s="3" t="str">
        <f>HYPERLINK("http://ictvonline.org/taxonomyHistory.asp?taxnode_id=20150205","ICTVonline=20150205")</f>
        <v>ICTVonline=20150205</v>
      </c>
    </row>
    <row r="108" spans="1:13" x14ac:dyDescent="0.15">
      <c r="A108" s="1" t="s">
        <v>1393</v>
      </c>
      <c r="B108" s="1" t="s">
        <v>1394</v>
      </c>
      <c r="D108" s="1" t="s">
        <v>3538</v>
      </c>
      <c r="E108" s="1" t="s">
        <v>3543</v>
      </c>
      <c r="F108" s="3">
        <v>0</v>
      </c>
      <c r="G108" s="24" t="s">
        <v>7218</v>
      </c>
      <c r="H108" s="24" t="s">
        <v>3544</v>
      </c>
      <c r="I108" s="24" t="s">
        <v>2965</v>
      </c>
      <c r="J108" s="24" t="s">
        <v>2919</v>
      </c>
      <c r="K108" s="3">
        <v>30</v>
      </c>
      <c r="L108" s="3" t="s">
        <v>6755</v>
      </c>
      <c r="M108" s="3" t="str">
        <f>HYPERLINK("http://ictvonline.org/taxonomyHistory.asp?taxnode_id=20150207","ICTVonline=20150207")</f>
        <v>ICTVonline=20150207</v>
      </c>
    </row>
    <row r="109" spans="1:13" x14ac:dyDescent="0.15">
      <c r="A109" s="1" t="s">
        <v>1393</v>
      </c>
      <c r="B109" s="1" t="s">
        <v>1394</v>
      </c>
      <c r="D109" s="1" t="s">
        <v>3538</v>
      </c>
      <c r="E109" s="1" t="s">
        <v>3545</v>
      </c>
      <c r="F109" s="3">
        <v>0</v>
      </c>
      <c r="G109" s="24" t="s">
        <v>7219</v>
      </c>
      <c r="H109" s="24" t="s">
        <v>3546</v>
      </c>
      <c r="I109" s="24" t="s">
        <v>2965</v>
      </c>
      <c r="J109" s="24" t="s">
        <v>2919</v>
      </c>
      <c r="K109" s="3">
        <v>30</v>
      </c>
      <c r="L109" s="3" t="s">
        <v>6755</v>
      </c>
      <c r="M109" s="3" t="str">
        <f>HYPERLINK("http://ictvonline.org/taxonomyHistory.asp?taxnode_id=20150204","ICTVonline=20150204")</f>
        <v>ICTVonline=20150204</v>
      </c>
    </row>
    <row r="110" spans="1:13" x14ac:dyDescent="0.15">
      <c r="A110" s="1" t="s">
        <v>1393</v>
      </c>
      <c r="B110" s="1" t="s">
        <v>1394</v>
      </c>
      <c r="D110" s="1" t="s">
        <v>3538</v>
      </c>
      <c r="E110" s="1" t="s">
        <v>3547</v>
      </c>
      <c r="F110" s="3">
        <v>0</v>
      </c>
      <c r="G110" s="24" t="s">
        <v>7220</v>
      </c>
      <c r="H110" s="24" t="s">
        <v>3548</v>
      </c>
      <c r="I110" s="24" t="s">
        <v>2965</v>
      </c>
      <c r="J110" s="24" t="s">
        <v>2919</v>
      </c>
      <c r="K110" s="3">
        <v>30</v>
      </c>
      <c r="L110" s="3" t="s">
        <v>6755</v>
      </c>
      <c r="M110" s="3" t="str">
        <f>HYPERLINK("http://ictvonline.org/taxonomyHistory.asp?taxnode_id=20150206","ICTVonline=20150206")</f>
        <v>ICTVonline=20150206</v>
      </c>
    </row>
    <row r="111" spans="1:13" x14ac:dyDescent="0.15">
      <c r="A111" s="1" t="s">
        <v>1393</v>
      </c>
      <c r="B111" s="1" t="s">
        <v>1394</v>
      </c>
      <c r="D111" s="1" t="s">
        <v>3549</v>
      </c>
      <c r="E111" s="1" t="s">
        <v>3550</v>
      </c>
      <c r="F111" s="3">
        <v>1</v>
      </c>
      <c r="G111" s="24" t="s">
        <v>7221</v>
      </c>
      <c r="H111" s="24" t="s">
        <v>3551</v>
      </c>
      <c r="I111" s="24" t="s">
        <v>2965</v>
      </c>
      <c r="J111" s="24" t="s">
        <v>2919</v>
      </c>
      <c r="K111" s="3">
        <v>30</v>
      </c>
      <c r="L111" s="3" t="s">
        <v>6756</v>
      </c>
      <c r="M111" s="3" t="str">
        <f>HYPERLINK("http://ictvonline.org/taxonomyHistory.asp?taxnode_id=20150200","ICTVonline=20150200")</f>
        <v>ICTVonline=20150200</v>
      </c>
    </row>
    <row r="112" spans="1:13" x14ac:dyDescent="0.15">
      <c r="A112" s="1" t="s">
        <v>1393</v>
      </c>
      <c r="B112" s="1" t="s">
        <v>1394</v>
      </c>
      <c r="D112" s="1" t="s">
        <v>3549</v>
      </c>
      <c r="E112" s="1" t="s">
        <v>3552</v>
      </c>
      <c r="F112" s="3">
        <v>0</v>
      </c>
      <c r="G112" s="24" t="s">
        <v>7222</v>
      </c>
      <c r="H112" s="24" t="s">
        <v>3553</v>
      </c>
      <c r="I112" s="24" t="s">
        <v>2965</v>
      </c>
      <c r="J112" s="24" t="s">
        <v>2919</v>
      </c>
      <c r="K112" s="3">
        <v>30</v>
      </c>
      <c r="L112" s="3" t="s">
        <v>6756</v>
      </c>
      <c r="M112" s="3" t="str">
        <f>HYPERLINK("http://ictvonline.org/taxonomyHistory.asp?taxnode_id=20150201","ICTVonline=20150201")</f>
        <v>ICTVonline=20150201</v>
      </c>
    </row>
    <row r="113" spans="1:13" x14ac:dyDescent="0.15">
      <c r="A113" s="1" t="s">
        <v>1393</v>
      </c>
      <c r="B113" s="1" t="s">
        <v>1394</v>
      </c>
      <c r="D113" s="1" t="s">
        <v>3554</v>
      </c>
      <c r="E113" s="1" t="s">
        <v>3555</v>
      </c>
      <c r="F113" s="3">
        <v>1</v>
      </c>
      <c r="G113" s="24" t="s">
        <v>7223</v>
      </c>
      <c r="H113" s="24" t="s">
        <v>3556</v>
      </c>
      <c r="I113" s="24" t="s">
        <v>2965</v>
      </c>
      <c r="J113" s="24" t="s">
        <v>2919</v>
      </c>
      <c r="K113" s="3">
        <v>30</v>
      </c>
      <c r="L113" s="3" t="s">
        <v>6757</v>
      </c>
      <c r="M113" s="3" t="str">
        <f>HYPERLINK("http://ictvonline.org/taxonomyHistory.asp?taxnode_id=20150196","ICTVonline=20150196")</f>
        <v>ICTVonline=20150196</v>
      </c>
    </row>
    <row r="114" spans="1:13" x14ac:dyDescent="0.15">
      <c r="A114" s="1" t="s">
        <v>1393</v>
      </c>
      <c r="B114" s="1" t="s">
        <v>1394</v>
      </c>
      <c r="D114" s="1" t="s">
        <v>3554</v>
      </c>
      <c r="E114" s="1" t="s">
        <v>3557</v>
      </c>
      <c r="F114" s="3">
        <v>0</v>
      </c>
      <c r="G114" s="24" t="s">
        <v>7224</v>
      </c>
      <c r="H114" s="24" t="s">
        <v>3558</v>
      </c>
      <c r="I114" s="24" t="s">
        <v>2965</v>
      </c>
      <c r="J114" s="24" t="s">
        <v>2919</v>
      </c>
      <c r="K114" s="3">
        <v>30</v>
      </c>
      <c r="L114" s="3" t="s">
        <v>6757</v>
      </c>
      <c r="M114" s="3" t="str">
        <f>HYPERLINK("http://ictvonline.org/taxonomyHistory.asp?taxnode_id=20150195","ICTVonline=20150195")</f>
        <v>ICTVonline=20150195</v>
      </c>
    </row>
    <row r="115" spans="1:13" x14ac:dyDescent="0.15">
      <c r="A115" s="1" t="s">
        <v>1393</v>
      </c>
      <c r="B115" s="1" t="s">
        <v>1394</v>
      </c>
      <c r="D115" s="1" t="s">
        <v>3554</v>
      </c>
      <c r="E115" s="1" t="s">
        <v>3559</v>
      </c>
      <c r="F115" s="3">
        <v>0</v>
      </c>
      <c r="G115" s="24" t="s">
        <v>7225</v>
      </c>
      <c r="H115" s="24" t="s">
        <v>3560</v>
      </c>
      <c r="I115" s="24" t="s">
        <v>2965</v>
      </c>
      <c r="J115" s="24" t="s">
        <v>2919</v>
      </c>
      <c r="K115" s="3">
        <v>30</v>
      </c>
      <c r="L115" s="3" t="s">
        <v>6757</v>
      </c>
      <c r="M115" s="3" t="str">
        <f>HYPERLINK("http://ictvonline.org/taxonomyHistory.asp?taxnode_id=20150198","ICTVonline=20150198")</f>
        <v>ICTVonline=20150198</v>
      </c>
    </row>
    <row r="116" spans="1:13" x14ac:dyDescent="0.15">
      <c r="A116" s="1" t="s">
        <v>1393</v>
      </c>
      <c r="B116" s="1" t="s">
        <v>1394</v>
      </c>
      <c r="D116" s="1" t="s">
        <v>3554</v>
      </c>
      <c r="E116" s="1" t="s">
        <v>3561</v>
      </c>
      <c r="F116" s="3">
        <v>0</v>
      </c>
      <c r="G116" s="24" t="s">
        <v>7226</v>
      </c>
      <c r="H116" s="24" t="s">
        <v>3562</v>
      </c>
      <c r="I116" s="24" t="s">
        <v>2965</v>
      </c>
      <c r="J116" s="24" t="s">
        <v>2919</v>
      </c>
      <c r="K116" s="3">
        <v>30</v>
      </c>
      <c r="L116" s="3" t="s">
        <v>6757</v>
      </c>
      <c r="M116" s="3" t="str">
        <f>HYPERLINK("http://ictvonline.org/taxonomyHistory.asp?taxnode_id=20150197","ICTVonline=20150197")</f>
        <v>ICTVonline=20150197</v>
      </c>
    </row>
    <row r="117" spans="1:13" x14ac:dyDescent="0.15">
      <c r="A117" s="1" t="s">
        <v>1393</v>
      </c>
      <c r="B117" s="1" t="s">
        <v>1394</v>
      </c>
      <c r="D117" s="1" t="s">
        <v>3563</v>
      </c>
      <c r="E117" s="4" t="s">
        <v>3564</v>
      </c>
      <c r="F117" s="3">
        <v>0</v>
      </c>
      <c r="G117" s="25"/>
      <c r="H117" s="25"/>
      <c r="I117" s="25" t="s">
        <v>2965</v>
      </c>
      <c r="J117" s="25" t="s">
        <v>2923</v>
      </c>
      <c r="K117" s="3">
        <v>30</v>
      </c>
      <c r="L117" s="3" t="s">
        <v>6745</v>
      </c>
      <c r="M117" s="3" t="str">
        <f>HYPERLINK("http://ictvonline.org/taxonomyHistory.asp?taxnode_id=20150110","ICTVonline=20150110")</f>
        <v>ICTVonline=20150110</v>
      </c>
    </row>
    <row r="118" spans="1:13" x14ac:dyDescent="0.15">
      <c r="A118" s="1" t="s">
        <v>1393</v>
      </c>
      <c r="B118" s="1" t="s">
        <v>1394</v>
      </c>
      <c r="D118" s="1" t="s">
        <v>3563</v>
      </c>
      <c r="E118" s="1" t="s">
        <v>3565</v>
      </c>
      <c r="F118" s="3">
        <v>0</v>
      </c>
      <c r="I118" s="24" t="s">
        <v>2965</v>
      </c>
      <c r="J118" s="24" t="s">
        <v>2923</v>
      </c>
      <c r="K118" s="3">
        <v>30</v>
      </c>
      <c r="L118" s="3" t="s">
        <v>6745</v>
      </c>
      <c r="M118" s="3" t="str">
        <f>HYPERLINK("http://ictvonline.org/taxonomyHistory.asp?taxnode_id=20150111","ICTVonline=20150111")</f>
        <v>ICTVonline=20150111</v>
      </c>
    </row>
    <row r="119" spans="1:13" x14ac:dyDescent="0.15">
      <c r="A119" s="1" t="s">
        <v>1393</v>
      </c>
      <c r="B119" s="1" t="s">
        <v>1394</v>
      </c>
      <c r="D119" s="1" t="s">
        <v>3563</v>
      </c>
      <c r="E119" s="1" t="s">
        <v>3566</v>
      </c>
      <c r="F119" s="3">
        <v>1</v>
      </c>
      <c r="I119" s="24" t="s">
        <v>2965</v>
      </c>
      <c r="J119" s="24" t="s">
        <v>2923</v>
      </c>
      <c r="K119" s="3">
        <v>30</v>
      </c>
      <c r="L119" s="3" t="s">
        <v>6745</v>
      </c>
      <c r="M119" s="3" t="str">
        <f>HYPERLINK("http://ictvonline.org/taxonomyHistory.asp?taxnode_id=20150112","ICTVonline=20150112")</f>
        <v>ICTVonline=20150112</v>
      </c>
    </row>
    <row r="120" spans="1:13" x14ac:dyDescent="0.15">
      <c r="A120" s="1" t="s">
        <v>1393</v>
      </c>
      <c r="B120" s="1" t="s">
        <v>1394</v>
      </c>
      <c r="D120" s="1" t="s">
        <v>3563</v>
      </c>
      <c r="E120" s="1" t="s">
        <v>3567</v>
      </c>
      <c r="F120" s="3">
        <v>0</v>
      </c>
      <c r="I120" s="24" t="s">
        <v>2965</v>
      </c>
      <c r="J120" s="24" t="s">
        <v>2923</v>
      </c>
      <c r="K120" s="3">
        <v>30</v>
      </c>
      <c r="L120" s="3" t="s">
        <v>6745</v>
      </c>
      <c r="M120" s="3" t="str">
        <f>HYPERLINK("http://ictvonline.org/taxonomyHistory.asp?taxnode_id=20150113","ICTVonline=20150113")</f>
        <v>ICTVonline=20150113</v>
      </c>
    </row>
    <row r="121" spans="1:13" x14ac:dyDescent="0.15">
      <c r="A121" s="1" t="s">
        <v>1393</v>
      </c>
      <c r="B121" s="1" t="s">
        <v>1394</v>
      </c>
      <c r="D121" s="1" t="s">
        <v>3563</v>
      </c>
      <c r="E121" s="1" t="s">
        <v>3568</v>
      </c>
      <c r="F121" s="3">
        <v>0</v>
      </c>
      <c r="I121" s="24" t="s">
        <v>2965</v>
      </c>
      <c r="J121" s="24" t="s">
        <v>2923</v>
      </c>
      <c r="K121" s="3">
        <v>30</v>
      </c>
      <c r="L121" s="3" t="s">
        <v>6745</v>
      </c>
      <c r="M121" s="3" t="str">
        <f>HYPERLINK("http://ictvonline.org/taxonomyHistory.asp?taxnode_id=20150114","ICTVonline=20150114")</f>
        <v>ICTVonline=20150114</v>
      </c>
    </row>
    <row r="122" spans="1:13" x14ac:dyDescent="0.15">
      <c r="A122" s="1" t="s">
        <v>1393</v>
      </c>
      <c r="B122" s="1" t="s">
        <v>1394</v>
      </c>
      <c r="D122" s="1" t="s">
        <v>3569</v>
      </c>
      <c r="E122" s="1" t="s">
        <v>3570</v>
      </c>
      <c r="F122" s="3">
        <v>1</v>
      </c>
      <c r="I122" s="24" t="s">
        <v>2965</v>
      </c>
      <c r="J122" s="24" t="s">
        <v>2923</v>
      </c>
      <c r="K122" s="3">
        <v>30</v>
      </c>
      <c r="L122" s="3" t="s">
        <v>6745</v>
      </c>
      <c r="M122" s="3" t="str">
        <f>HYPERLINK("http://ictvonline.org/taxonomyHistory.asp?taxnode_id=20150116","ICTVonline=20150116")</f>
        <v>ICTVonline=20150116</v>
      </c>
    </row>
    <row r="123" spans="1:13" x14ac:dyDescent="0.15">
      <c r="A123" s="1" t="s">
        <v>1393</v>
      </c>
      <c r="B123" s="1" t="s">
        <v>1394</v>
      </c>
      <c r="D123" s="1" t="s">
        <v>3569</v>
      </c>
      <c r="E123" s="1" t="s">
        <v>3571</v>
      </c>
      <c r="F123" s="3">
        <v>0</v>
      </c>
      <c r="I123" s="24" t="s">
        <v>2965</v>
      </c>
      <c r="J123" s="24" t="s">
        <v>2923</v>
      </c>
      <c r="K123" s="3">
        <v>30</v>
      </c>
      <c r="L123" s="3" t="s">
        <v>6745</v>
      </c>
      <c r="M123" s="3" t="str">
        <f>HYPERLINK("http://ictvonline.org/taxonomyHistory.asp?taxnode_id=20150117","ICTVonline=20150117")</f>
        <v>ICTVonline=20150117</v>
      </c>
    </row>
    <row r="124" spans="1:13" x14ac:dyDescent="0.15">
      <c r="A124" s="1" t="s">
        <v>1393</v>
      </c>
      <c r="B124" s="1" t="s">
        <v>1394</v>
      </c>
      <c r="D124" s="1" t="s">
        <v>3572</v>
      </c>
      <c r="E124" s="1" t="s">
        <v>3573</v>
      </c>
      <c r="F124" s="3">
        <v>1</v>
      </c>
      <c r="G124" s="24" t="s">
        <v>7227</v>
      </c>
      <c r="H124" s="24" t="s">
        <v>7228</v>
      </c>
      <c r="I124" s="24" t="s">
        <v>2965</v>
      </c>
      <c r="J124" s="24" t="s">
        <v>2923</v>
      </c>
      <c r="K124" s="3">
        <v>30</v>
      </c>
      <c r="L124" s="3" t="s">
        <v>6750</v>
      </c>
      <c r="M124" s="3" t="str">
        <f>HYPERLINK("http://ictvonline.org/taxonomyHistory.asp?taxnode_id=20150060","ICTVonline=20150060")</f>
        <v>ICTVonline=20150060</v>
      </c>
    </row>
    <row r="125" spans="1:13" x14ac:dyDescent="0.15">
      <c r="A125" s="1" t="s">
        <v>1393</v>
      </c>
      <c r="B125" s="1" t="s">
        <v>1394</v>
      </c>
      <c r="D125" s="1" t="s">
        <v>3574</v>
      </c>
      <c r="E125" s="1" t="s">
        <v>3575</v>
      </c>
      <c r="F125" s="3">
        <v>1</v>
      </c>
      <c r="I125" s="24" t="s">
        <v>2965</v>
      </c>
      <c r="J125" s="24" t="s">
        <v>2923</v>
      </c>
      <c r="K125" s="3">
        <v>30</v>
      </c>
      <c r="L125" s="3" t="s">
        <v>6745</v>
      </c>
      <c r="M125" s="3" t="str">
        <f>HYPERLINK("http://ictvonline.org/taxonomyHistory.asp?taxnode_id=20150133","ICTVonline=20150133")</f>
        <v>ICTVonline=20150133</v>
      </c>
    </row>
    <row r="126" spans="1:13" x14ac:dyDescent="0.15">
      <c r="A126" s="1" t="s">
        <v>1393</v>
      </c>
      <c r="B126" s="1" t="s">
        <v>1394</v>
      </c>
      <c r="D126" s="1" t="s">
        <v>3576</v>
      </c>
      <c r="E126" s="1" t="s">
        <v>3577</v>
      </c>
      <c r="F126" s="3">
        <v>0</v>
      </c>
      <c r="I126" s="24" t="s">
        <v>2965</v>
      </c>
      <c r="J126" s="24" t="s">
        <v>2923</v>
      </c>
      <c r="K126" s="3">
        <v>30</v>
      </c>
      <c r="L126" s="3" t="s">
        <v>6745</v>
      </c>
      <c r="M126" s="3" t="str">
        <f>HYPERLINK("http://ictvonline.org/taxonomyHistory.asp?taxnode_id=20150145","ICTVonline=20150145")</f>
        <v>ICTVonline=20150145</v>
      </c>
    </row>
    <row r="127" spans="1:13" x14ac:dyDescent="0.15">
      <c r="A127" s="1" t="s">
        <v>1393</v>
      </c>
      <c r="B127" s="1" t="s">
        <v>1394</v>
      </c>
      <c r="D127" s="1" t="s">
        <v>3576</v>
      </c>
      <c r="E127" s="1" t="s">
        <v>3578</v>
      </c>
      <c r="F127" s="3">
        <v>0</v>
      </c>
      <c r="I127" s="24" t="s">
        <v>2965</v>
      </c>
      <c r="J127" s="24" t="s">
        <v>2923</v>
      </c>
      <c r="K127" s="3">
        <v>30</v>
      </c>
      <c r="L127" s="3" t="s">
        <v>6745</v>
      </c>
      <c r="M127" s="3" t="str">
        <f>HYPERLINK("http://ictvonline.org/taxonomyHistory.asp?taxnode_id=20150146","ICTVonline=20150146")</f>
        <v>ICTVonline=20150146</v>
      </c>
    </row>
    <row r="128" spans="1:13" x14ac:dyDescent="0.15">
      <c r="A128" s="1" t="s">
        <v>1393</v>
      </c>
      <c r="B128" s="1" t="s">
        <v>1394</v>
      </c>
      <c r="D128" s="1" t="s">
        <v>3576</v>
      </c>
      <c r="E128" s="1" t="s">
        <v>3579</v>
      </c>
      <c r="F128" s="3">
        <v>1</v>
      </c>
      <c r="I128" s="24" t="s">
        <v>2965</v>
      </c>
      <c r="J128" s="24" t="s">
        <v>2923</v>
      </c>
      <c r="K128" s="3">
        <v>30</v>
      </c>
      <c r="L128" s="3" t="s">
        <v>6745</v>
      </c>
      <c r="M128" s="3" t="str">
        <f>HYPERLINK("http://ictvonline.org/taxonomyHistory.asp?taxnode_id=20150147","ICTVonline=20150147")</f>
        <v>ICTVonline=20150147</v>
      </c>
    </row>
    <row r="129" spans="1:13" x14ac:dyDescent="0.15">
      <c r="A129" s="1" t="s">
        <v>1393</v>
      </c>
      <c r="B129" s="1" t="s">
        <v>1394</v>
      </c>
      <c r="D129" s="1" t="s">
        <v>3580</v>
      </c>
      <c r="E129" s="1" t="s">
        <v>3581</v>
      </c>
      <c r="F129" s="3">
        <v>1</v>
      </c>
      <c r="G129" s="24" t="s">
        <v>7229</v>
      </c>
      <c r="H129" s="24" t="s">
        <v>3582</v>
      </c>
      <c r="I129" s="24" t="s">
        <v>2965</v>
      </c>
      <c r="J129" s="24" t="s">
        <v>2919</v>
      </c>
      <c r="K129" s="3">
        <v>30</v>
      </c>
      <c r="L129" s="3" t="s">
        <v>6758</v>
      </c>
      <c r="M129" s="3" t="str">
        <f>HYPERLINK("http://ictvonline.org/taxonomyHistory.asp?taxnode_id=20150191","ICTVonline=20150191")</f>
        <v>ICTVonline=20150191</v>
      </c>
    </row>
    <row r="130" spans="1:13" x14ac:dyDescent="0.15">
      <c r="A130" s="1" t="s">
        <v>1393</v>
      </c>
      <c r="B130" s="1" t="s">
        <v>1394</v>
      </c>
      <c r="D130" s="1" t="s">
        <v>3580</v>
      </c>
      <c r="E130" s="1" t="s">
        <v>3583</v>
      </c>
      <c r="F130" s="3">
        <v>0</v>
      </c>
      <c r="G130" s="24" t="s">
        <v>7230</v>
      </c>
      <c r="H130" s="24" t="s">
        <v>3584</v>
      </c>
      <c r="I130" s="24" t="s">
        <v>2965</v>
      </c>
      <c r="J130" s="24" t="s">
        <v>2919</v>
      </c>
      <c r="K130" s="3">
        <v>30</v>
      </c>
      <c r="L130" s="3" t="s">
        <v>6758</v>
      </c>
      <c r="M130" s="3" t="str">
        <f>HYPERLINK("http://ictvonline.org/taxonomyHistory.asp?taxnode_id=20150193","ICTVonline=20150193")</f>
        <v>ICTVonline=20150193</v>
      </c>
    </row>
    <row r="131" spans="1:13" x14ac:dyDescent="0.15">
      <c r="A131" s="1" t="s">
        <v>1393</v>
      </c>
      <c r="B131" s="1" t="s">
        <v>1394</v>
      </c>
      <c r="D131" s="1" t="s">
        <v>3580</v>
      </c>
      <c r="E131" s="1" t="s">
        <v>3585</v>
      </c>
      <c r="F131" s="3">
        <v>0</v>
      </c>
      <c r="G131" s="24" t="s">
        <v>7231</v>
      </c>
      <c r="H131" s="24" t="s">
        <v>3586</v>
      </c>
      <c r="I131" s="24" t="s">
        <v>2965</v>
      </c>
      <c r="J131" s="24" t="s">
        <v>2919</v>
      </c>
      <c r="K131" s="3">
        <v>30</v>
      </c>
      <c r="L131" s="3" t="s">
        <v>6758</v>
      </c>
      <c r="M131" s="3" t="str">
        <f>HYPERLINK("http://ictvonline.org/taxonomyHistory.asp?taxnode_id=20150192","ICTVonline=20150192")</f>
        <v>ICTVonline=20150192</v>
      </c>
    </row>
    <row r="132" spans="1:13" x14ac:dyDescent="0.15">
      <c r="A132" s="1" t="s">
        <v>1393</v>
      </c>
      <c r="B132" s="1" t="s">
        <v>1394</v>
      </c>
      <c r="D132" s="1" t="s">
        <v>3587</v>
      </c>
      <c r="E132" s="1" t="s">
        <v>3588</v>
      </c>
      <c r="F132" s="3">
        <v>1</v>
      </c>
      <c r="G132" s="24" t="s">
        <v>7232</v>
      </c>
      <c r="H132" s="24" t="s">
        <v>3589</v>
      </c>
      <c r="I132" s="24" t="s">
        <v>2965</v>
      </c>
      <c r="J132" s="24" t="s">
        <v>2919</v>
      </c>
      <c r="K132" s="3">
        <v>30</v>
      </c>
      <c r="L132" s="3" t="s">
        <v>6759</v>
      </c>
      <c r="M132" s="3" t="str">
        <f>HYPERLINK("http://ictvonline.org/taxonomyHistory.asp?taxnode_id=20150175","ICTVonline=20150175")</f>
        <v>ICTVonline=20150175</v>
      </c>
    </row>
    <row r="133" spans="1:13" x14ac:dyDescent="0.15">
      <c r="A133" s="1" t="s">
        <v>1393</v>
      </c>
      <c r="B133" s="1" t="s">
        <v>1394</v>
      </c>
      <c r="D133" s="1" t="s">
        <v>3587</v>
      </c>
      <c r="E133" s="1" t="s">
        <v>3590</v>
      </c>
      <c r="F133" s="3">
        <v>0</v>
      </c>
      <c r="G133" s="24" t="s">
        <v>7233</v>
      </c>
      <c r="H133" s="24" t="s">
        <v>3591</v>
      </c>
      <c r="I133" s="24" t="s">
        <v>2965</v>
      </c>
      <c r="J133" s="24" t="s">
        <v>2919</v>
      </c>
      <c r="K133" s="3">
        <v>30</v>
      </c>
      <c r="L133" s="3" t="s">
        <v>6759</v>
      </c>
      <c r="M133" s="3" t="str">
        <f>HYPERLINK("http://ictvonline.org/taxonomyHistory.asp?taxnode_id=20150176","ICTVonline=20150176")</f>
        <v>ICTVonline=20150176</v>
      </c>
    </row>
    <row r="134" spans="1:13" x14ac:dyDescent="0.15">
      <c r="A134" s="1" t="s">
        <v>1393</v>
      </c>
      <c r="B134" s="1" t="s">
        <v>1394</v>
      </c>
      <c r="D134" s="1" t="s">
        <v>3592</v>
      </c>
      <c r="E134" s="1" t="s">
        <v>3593</v>
      </c>
      <c r="F134" s="3">
        <v>0</v>
      </c>
      <c r="I134" s="24" t="s">
        <v>2965</v>
      </c>
      <c r="J134" s="24" t="s">
        <v>2923</v>
      </c>
      <c r="K134" s="3">
        <v>30</v>
      </c>
      <c r="L134" s="3" t="s">
        <v>6745</v>
      </c>
      <c r="M134" s="3" t="str">
        <f>HYPERLINK("http://ictvonline.org/taxonomyHistory.asp?taxnode_id=20150119","ICTVonline=20150119")</f>
        <v>ICTVonline=20150119</v>
      </c>
    </row>
    <row r="135" spans="1:13" x14ac:dyDescent="0.15">
      <c r="A135" s="1" t="s">
        <v>1393</v>
      </c>
      <c r="B135" s="1" t="s">
        <v>1394</v>
      </c>
      <c r="D135" s="1" t="s">
        <v>3592</v>
      </c>
      <c r="E135" s="1" t="s">
        <v>3594</v>
      </c>
      <c r="F135" s="3">
        <v>0</v>
      </c>
      <c r="G135" s="24" t="s">
        <v>7234</v>
      </c>
      <c r="H135" s="24" t="s">
        <v>3595</v>
      </c>
      <c r="I135" s="24" t="s">
        <v>2965</v>
      </c>
      <c r="J135" s="24" t="s">
        <v>2919</v>
      </c>
      <c r="K135" s="3">
        <v>30</v>
      </c>
      <c r="L135" s="3" t="s">
        <v>6760</v>
      </c>
      <c r="M135" s="3" t="str">
        <f>HYPERLINK("http://ictvonline.org/taxonomyHistory.asp?taxnode_id=20150126","ICTVonline=20150126")</f>
        <v>ICTVonline=20150126</v>
      </c>
    </row>
    <row r="136" spans="1:13" x14ac:dyDescent="0.15">
      <c r="A136" s="1" t="s">
        <v>1393</v>
      </c>
      <c r="B136" s="1" t="s">
        <v>1394</v>
      </c>
      <c r="D136" s="1" t="s">
        <v>3592</v>
      </c>
      <c r="E136" s="1" t="s">
        <v>3596</v>
      </c>
      <c r="F136" s="3">
        <v>0</v>
      </c>
      <c r="G136" s="24" t="s">
        <v>7235</v>
      </c>
      <c r="H136" s="24" t="s">
        <v>3597</v>
      </c>
      <c r="I136" s="24" t="s">
        <v>2965</v>
      </c>
      <c r="J136" s="24" t="s">
        <v>2919</v>
      </c>
      <c r="K136" s="3">
        <v>30</v>
      </c>
      <c r="L136" s="3" t="s">
        <v>6760</v>
      </c>
      <c r="M136" s="3" t="str">
        <f>HYPERLINK("http://ictvonline.org/taxonomyHistory.asp?taxnode_id=20150128","ICTVonline=20150128")</f>
        <v>ICTVonline=20150128</v>
      </c>
    </row>
    <row r="137" spans="1:13" x14ac:dyDescent="0.15">
      <c r="A137" s="1" t="s">
        <v>1393</v>
      </c>
      <c r="B137" s="1" t="s">
        <v>1394</v>
      </c>
      <c r="D137" s="1" t="s">
        <v>3592</v>
      </c>
      <c r="E137" s="1" t="s">
        <v>3598</v>
      </c>
      <c r="F137" s="3">
        <v>0</v>
      </c>
      <c r="G137" s="24" t="s">
        <v>7236</v>
      </c>
      <c r="H137" s="24" t="s">
        <v>3599</v>
      </c>
      <c r="I137" s="24" t="s">
        <v>2965</v>
      </c>
      <c r="J137" s="24" t="s">
        <v>2919</v>
      </c>
      <c r="K137" s="3">
        <v>30</v>
      </c>
      <c r="L137" s="3" t="s">
        <v>6760</v>
      </c>
      <c r="M137" s="3" t="str">
        <f>HYPERLINK("http://ictvonline.org/taxonomyHistory.asp?taxnode_id=20150125","ICTVonline=20150125")</f>
        <v>ICTVonline=20150125</v>
      </c>
    </row>
    <row r="138" spans="1:13" x14ac:dyDescent="0.15">
      <c r="A138" s="1" t="s">
        <v>1393</v>
      </c>
      <c r="B138" s="1" t="s">
        <v>1394</v>
      </c>
      <c r="D138" s="1" t="s">
        <v>3592</v>
      </c>
      <c r="E138" s="1" t="s">
        <v>3600</v>
      </c>
      <c r="F138" s="3">
        <v>0</v>
      </c>
      <c r="G138" s="24" t="s">
        <v>7237</v>
      </c>
      <c r="H138" s="24" t="s">
        <v>3601</v>
      </c>
      <c r="I138" s="24" t="s">
        <v>2965</v>
      </c>
      <c r="J138" s="24" t="s">
        <v>2919</v>
      </c>
      <c r="K138" s="3">
        <v>30</v>
      </c>
      <c r="L138" s="3" t="s">
        <v>6760</v>
      </c>
      <c r="M138" s="3" t="str">
        <f>HYPERLINK("http://ictvonline.org/taxonomyHistory.asp?taxnode_id=20150123","ICTVonline=20150123")</f>
        <v>ICTVonline=20150123</v>
      </c>
    </row>
    <row r="139" spans="1:13" x14ac:dyDescent="0.15">
      <c r="A139" s="1" t="s">
        <v>1393</v>
      </c>
      <c r="B139" s="1" t="s">
        <v>1394</v>
      </c>
      <c r="D139" s="1" t="s">
        <v>3592</v>
      </c>
      <c r="E139" s="1" t="s">
        <v>3602</v>
      </c>
      <c r="F139" s="3">
        <v>0</v>
      </c>
      <c r="I139" s="24" t="s">
        <v>2965</v>
      </c>
      <c r="J139" s="24" t="s">
        <v>2923</v>
      </c>
      <c r="K139" s="3">
        <v>30</v>
      </c>
      <c r="L139" s="3" t="s">
        <v>6745</v>
      </c>
      <c r="M139" s="3" t="str">
        <f>HYPERLINK("http://ictvonline.org/taxonomyHistory.asp?taxnode_id=20150120","ICTVonline=20150120")</f>
        <v>ICTVonline=20150120</v>
      </c>
    </row>
    <row r="140" spans="1:13" x14ac:dyDescent="0.15">
      <c r="A140" s="1" t="s">
        <v>1393</v>
      </c>
      <c r="B140" s="1" t="s">
        <v>1394</v>
      </c>
      <c r="D140" s="1" t="s">
        <v>3592</v>
      </c>
      <c r="E140" s="1" t="s">
        <v>3603</v>
      </c>
      <c r="F140" s="3">
        <v>1</v>
      </c>
      <c r="I140" s="24" t="s">
        <v>2965</v>
      </c>
      <c r="J140" s="24" t="s">
        <v>2923</v>
      </c>
      <c r="K140" s="3">
        <v>30</v>
      </c>
      <c r="L140" s="3" t="s">
        <v>6745</v>
      </c>
      <c r="M140" s="3" t="str">
        <f>HYPERLINK("http://ictvonline.org/taxonomyHistory.asp?taxnode_id=20150121","ICTVonline=20150121")</f>
        <v>ICTVonline=20150121</v>
      </c>
    </row>
    <row r="141" spans="1:13" x14ac:dyDescent="0.15">
      <c r="A141" s="1" t="s">
        <v>1393</v>
      </c>
      <c r="B141" s="1" t="s">
        <v>1394</v>
      </c>
      <c r="D141" s="1" t="s">
        <v>3592</v>
      </c>
      <c r="E141" s="1" t="s">
        <v>3604</v>
      </c>
      <c r="F141" s="3">
        <v>0</v>
      </c>
      <c r="G141" s="24" t="s">
        <v>7238</v>
      </c>
      <c r="H141" s="24" t="s">
        <v>3605</v>
      </c>
      <c r="I141" s="24" t="s">
        <v>2965</v>
      </c>
      <c r="J141" s="24" t="s">
        <v>2919</v>
      </c>
      <c r="K141" s="3">
        <v>30</v>
      </c>
      <c r="L141" s="3" t="s">
        <v>6760</v>
      </c>
      <c r="M141" s="3" t="str">
        <f>HYPERLINK("http://ictvonline.org/taxonomyHistory.asp?taxnode_id=20150127","ICTVonline=20150127")</f>
        <v>ICTVonline=20150127</v>
      </c>
    </row>
    <row r="142" spans="1:13" x14ac:dyDescent="0.15">
      <c r="A142" s="1" t="s">
        <v>1393</v>
      </c>
      <c r="B142" s="1" t="s">
        <v>1394</v>
      </c>
      <c r="D142" s="1" t="s">
        <v>3592</v>
      </c>
      <c r="E142" s="1" t="s">
        <v>3606</v>
      </c>
      <c r="F142" s="3">
        <v>0</v>
      </c>
      <c r="G142" s="24" t="s">
        <v>7239</v>
      </c>
      <c r="H142" s="24" t="s">
        <v>3607</v>
      </c>
      <c r="I142" s="24" t="s">
        <v>2965</v>
      </c>
      <c r="J142" s="24" t="s">
        <v>2919</v>
      </c>
      <c r="K142" s="3">
        <v>30</v>
      </c>
      <c r="L142" s="3" t="s">
        <v>6760</v>
      </c>
      <c r="M142" s="3" t="str">
        <f>HYPERLINK("http://ictvonline.org/taxonomyHistory.asp?taxnode_id=20150124","ICTVonline=20150124")</f>
        <v>ICTVonline=20150124</v>
      </c>
    </row>
    <row r="143" spans="1:13" x14ac:dyDescent="0.15">
      <c r="A143" s="1" t="s">
        <v>1393</v>
      </c>
      <c r="B143" s="1" t="s">
        <v>1394</v>
      </c>
      <c r="D143" s="1" t="s">
        <v>3592</v>
      </c>
      <c r="E143" s="1" t="s">
        <v>3608</v>
      </c>
      <c r="F143" s="3">
        <v>0</v>
      </c>
      <c r="G143" s="24" t="s">
        <v>7240</v>
      </c>
      <c r="H143" s="24" t="s">
        <v>3609</v>
      </c>
      <c r="I143" s="24" t="s">
        <v>2965</v>
      </c>
      <c r="J143" s="24" t="s">
        <v>2919</v>
      </c>
      <c r="K143" s="3">
        <v>30</v>
      </c>
      <c r="L143" s="3" t="s">
        <v>6760</v>
      </c>
      <c r="M143" s="3" t="str">
        <f>HYPERLINK("http://ictvonline.org/taxonomyHistory.asp?taxnode_id=20150122","ICTVonline=20150122")</f>
        <v>ICTVonline=20150122</v>
      </c>
    </row>
    <row r="144" spans="1:13" x14ac:dyDescent="0.15">
      <c r="A144" s="1" t="s">
        <v>1393</v>
      </c>
      <c r="B144" s="1" t="s">
        <v>1394</v>
      </c>
      <c r="D144" s="1" t="s">
        <v>3610</v>
      </c>
      <c r="E144" s="1" t="s">
        <v>3611</v>
      </c>
      <c r="F144" s="3">
        <v>1</v>
      </c>
      <c r="I144" s="24" t="s">
        <v>2965</v>
      </c>
      <c r="J144" s="24" t="s">
        <v>2923</v>
      </c>
      <c r="K144" s="3">
        <v>30</v>
      </c>
      <c r="L144" s="3" t="s">
        <v>6745</v>
      </c>
      <c r="M144" s="3" t="str">
        <f>HYPERLINK("http://ictvonline.org/taxonomyHistory.asp?taxnode_id=20150130","ICTVonline=20150130")</f>
        <v>ICTVonline=20150130</v>
      </c>
    </row>
    <row r="145" spans="1:13" x14ac:dyDescent="0.15">
      <c r="A145" s="1" t="s">
        <v>1393</v>
      </c>
      <c r="B145" s="1" t="s">
        <v>1394</v>
      </c>
      <c r="D145" s="1" t="s">
        <v>3610</v>
      </c>
      <c r="E145" s="1" t="s">
        <v>3612</v>
      </c>
      <c r="F145" s="3">
        <v>0</v>
      </c>
      <c r="I145" s="24" t="s">
        <v>2965</v>
      </c>
      <c r="J145" s="24" t="s">
        <v>2923</v>
      </c>
      <c r="K145" s="3">
        <v>30</v>
      </c>
      <c r="L145" s="3" t="s">
        <v>6745</v>
      </c>
      <c r="M145" s="3" t="str">
        <f>HYPERLINK("http://ictvonline.org/taxonomyHistory.asp?taxnode_id=20150131","ICTVonline=20150131")</f>
        <v>ICTVonline=20150131</v>
      </c>
    </row>
    <row r="146" spans="1:13" x14ac:dyDescent="0.15">
      <c r="A146" s="1" t="s">
        <v>1393</v>
      </c>
      <c r="B146" s="1" t="s">
        <v>1394</v>
      </c>
      <c r="D146" s="1" t="s">
        <v>3613</v>
      </c>
      <c r="E146" s="1" t="s">
        <v>3614</v>
      </c>
      <c r="F146" s="3">
        <v>0</v>
      </c>
      <c r="G146" s="24" t="s">
        <v>7241</v>
      </c>
      <c r="H146" s="24" t="s">
        <v>3615</v>
      </c>
      <c r="I146" s="24" t="s">
        <v>2965</v>
      </c>
      <c r="J146" s="24" t="s">
        <v>2919</v>
      </c>
      <c r="K146" s="3">
        <v>30</v>
      </c>
      <c r="L146" s="3" t="s">
        <v>6761</v>
      </c>
      <c r="M146" s="3" t="str">
        <f>HYPERLINK("http://ictvonline.org/taxonomyHistory.asp?taxnode_id=20150257","ICTVonline=20150257")</f>
        <v>ICTVonline=20150257</v>
      </c>
    </row>
    <row r="147" spans="1:13" x14ac:dyDescent="0.15">
      <c r="A147" s="1" t="s">
        <v>1393</v>
      </c>
      <c r="B147" s="1" t="s">
        <v>1394</v>
      </c>
      <c r="D147" s="1" t="s">
        <v>3613</v>
      </c>
      <c r="E147" s="1" t="s">
        <v>3616</v>
      </c>
      <c r="F147" s="3">
        <v>1</v>
      </c>
      <c r="G147" s="24" t="s">
        <v>7242</v>
      </c>
      <c r="H147" s="24" t="s">
        <v>3617</v>
      </c>
      <c r="I147" s="24" t="s">
        <v>2965</v>
      </c>
      <c r="J147" s="24" t="s">
        <v>2919</v>
      </c>
      <c r="K147" s="3">
        <v>30</v>
      </c>
      <c r="L147" s="3" t="s">
        <v>6761</v>
      </c>
      <c r="M147" s="3" t="str">
        <f>HYPERLINK("http://ictvonline.org/taxonomyHistory.asp?taxnode_id=20150255","ICTVonline=20150255")</f>
        <v>ICTVonline=20150255</v>
      </c>
    </row>
    <row r="148" spans="1:13" x14ac:dyDescent="0.15">
      <c r="A148" s="1" t="s">
        <v>1393</v>
      </c>
      <c r="B148" s="1" t="s">
        <v>1394</v>
      </c>
      <c r="D148" s="1" t="s">
        <v>3613</v>
      </c>
      <c r="E148" s="1" t="s">
        <v>3618</v>
      </c>
      <c r="F148" s="3">
        <v>0</v>
      </c>
      <c r="G148" s="24" t="s">
        <v>7243</v>
      </c>
      <c r="H148" s="24" t="s">
        <v>3619</v>
      </c>
      <c r="I148" s="24" t="s">
        <v>2965</v>
      </c>
      <c r="J148" s="24" t="s">
        <v>2919</v>
      </c>
      <c r="K148" s="3">
        <v>30</v>
      </c>
      <c r="L148" s="3" t="s">
        <v>6761</v>
      </c>
      <c r="M148" s="3" t="str">
        <f>HYPERLINK("http://ictvonline.org/taxonomyHistory.asp?taxnode_id=20150256","ICTVonline=20150256")</f>
        <v>ICTVonline=20150256</v>
      </c>
    </row>
    <row r="149" spans="1:13" x14ac:dyDescent="0.15">
      <c r="A149" s="1" t="s">
        <v>1393</v>
      </c>
      <c r="B149" s="1" t="s">
        <v>1394</v>
      </c>
      <c r="D149" s="1" t="s">
        <v>3620</v>
      </c>
      <c r="E149" s="1" t="s">
        <v>3621</v>
      </c>
      <c r="F149" s="3">
        <v>1</v>
      </c>
      <c r="I149" s="24" t="s">
        <v>2965</v>
      </c>
      <c r="J149" s="24" t="s">
        <v>2923</v>
      </c>
      <c r="K149" s="3">
        <v>30</v>
      </c>
      <c r="L149" s="3" t="s">
        <v>6745</v>
      </c>
      <c r="M149" s="3" t="str">
        <f>HYPERLINK("http://ictvonline.org/taxonomyHistory.asp?taxnode_id=20150135","ICTVonline=20150135")</f>
        <v>ICTVonline=20150135</v>
      </c>
    </row>
    <row r="150" spans="1:13" x14ac:dyDescent="0.15">
      <c r="A150" s="1" t="s">
        <v>1393</v>
      </c>
      <c r="B150" s="1" t="s">
        <v>1394</v>
      </c>
      <c r="D150" s="1" t="s">
        <v>3622</v>
      </c>
      <c r="E150" s="1" t="s">
        <v>3623</v>
      </c>
      <c r="F150" s="3">
        <v>1</v>
      </c>
      <c r="I150" s="24" t="s">
        <v>2965</v>
      </c>
      <c r="J150" s="24" t="s">
        <v>2923</v>
      </c>
      <c r="K150" s="3">
        <v>30</v>
      </c>
      <c r="L150" s="3" t="s">
        <v>6745</v>
      </c>
      <c r="M150" s="3" t="str">
        <f>HYPERLINK("http://ictvonline.org/taxonomyHistory.asp?taxnode_id=20150149","ICTVonline=20150149")</f>
        <v>ICTVonline=20150149</v>
      </c>
    </row>
    <row r="151" spans="1:13" x14ac:dyDescent="0.15">
      <c r="A151" s="1" t="s">
        <v>1393</v>
      </c>
      <c r="B151" s="1" t="s">
        <v>1394</v>
      </c>
      <c r="D151" s="1" t="s">
        <v>3624</v>
      </c>
      <c r="E151" s="1" t="s">
        <v>3625</v>
      </c>
      <c r="F151" s="3">
        <v>0</v>
      </c>
      <c r="G151" s="24" t="s">
        <v>7244</v>
      </c>
      <c r="H151" s="24" t="s">
        <v>3626</v>
      </c>
      <c r="I151" s="24" t="s">
        <v>2965</v>
      </c>
      <c r="J151" s="24" t="s">
        <v>2919</v>
      </c>
      <c r="K151" s="3">
        <v>30</v>
      </c>
      <c r="L151" s="3" t="s">
        <v>6762</v>
      </c>
      <c r="M151" s="3" t="str">
        <f>HYPERLINK("http://ictvonline.org/taxonomyHistory.asp?taxnode_id=20150188","ICTVonline=20150188")</f>
        <v>ICTVonline=20150188</v>
      </c>
    </row>
    <row r="152" spans="1:13" x14ac:dyDescent="0.15">
      <c r="A152" s="1" t="s">
        <v>1393</v>
      </c>
      <c r="B152" s="1" t="s">
        <v>1394</v>
      </c>
      <c r="D152" s="1" t="s">
        <v>3624</v>
      </c>
      <c r="E152" s="1" t="s">
        <v>3627</v>
      </c>
      <c r="F152" s="3">
        <v>1</v>
      </c>
      <c r="G152" s="24" t="s">
        <v>7245</v>
      </c>
      <c r="H152" s="24" t="s">
        <v>3628</v>
      </c>
      <c r="I152" s="24" t="s">
        <v>2965</v>
      </c>
      <c r="J152" s="24" t="s">
        <v>2919</v>
      </c>
      <c r="K152" s="3">
        <v>30</v>
      </c>
      <c r="L152" s="3" t="s">
        <v>6762</v>
      </c>
      <c r="M152" s="3" t="str">
        <f>HYPERLINK("http://ictvonline.org/taxonomyHistory.asp?taxnode_id=20150187","ICTVonline=20150187")</f>
        <v>ICTVonline=20150187</v>
      </c>
    </row>
    <row r="153" spans="1:13" x14ac:dyDescent="0.15">
      <c r="A153" s="1" t="s">
        <v>1393</v>
      </c>
      <c r="B153" s="1" t="s">
        <v>1394</v>
      </c>
      <c r="D153" s="1" t="s">
        <v>3624</v>
      </c>
      <c r="E153" s="1" t="s">
        <v>3629</v>
      </c>
      <c r="F153" s="3">
        <v>0</v>
      </c>
      <c r="G153" s="24" t="s">
        <v>7246</v>
      </c>
      <c r="H153" s="24" t="s">
        <v>3630</v>
      </c>
      <c r="I153" s="24" t="s">
        <v>2965</v>
      </c>
      <c r="J153" s="24" t="s">
        <v>2919</v>
      </c>
      <c r="K153" s="3">
        <v>30</v>
      </c>
      <c r="L153" s="3" t="s">
        <v>6762</v>
      </c>
      <c r="M153" s="3" t="str">
        <f>HYPERLINK("http://ictvonline.org/taxonomyHistory.asp?taxnode_id=20150189","ICTVonline=20150189")</f>
        <v>ICTVonline=20150189</v>
      </c>
    </row>
    <row r="154" spans="1:13" x14ac:dyDescent="0.15">
      <c r="A154" s="1" t="s">
        <v>1393</v>
      </c>
      <c r="B154" s="1" t="s">
        <v>1394</v>
      </c>
      <c r="D154" s="1" t="s">
        <v>3631</v>
      </c>
      <c r="E154" s="1" t="s">
        <v>3632</v>
      </c>
      <c r="F154" s="3">
        <v>0</v>
      </c>
      <c r="I154" s="24" t="s">
        <v>2965</v>
      </c>
      <c r="J154" s="24" t="s">
        <v>2923</v>
      </c>
      <c r="K154" s="3">
        <v>30</v>
      </c>
      <c r="L154" s="3" t="s">
        <v>6745</v>
      </c>
      <c r="M154" s="3" t="str">
        <f>HYPERLINK("http://ictvonline.org/taxonomyHistory.asp?taxnode_id=20150155","ICTVonline=20150155")</f>
        <v>ICTVonline=20150155</v>
      </c>
    </row>
    <row r="155" spans="1:13" x14ac:dyDescent="0.15">
      <c r="A155" s="1" t="s">
        <v>1393</v>
      </c>
      <c r="B155" s="1" t="s">
        <v>1394</v>
      </c>
      <c r="D155" s="1" t="s">
        <v>3631</v>
      </c>
      <c r="E155" s="1" t="s">
        <v>3633</v>
      </c>
      <c r="F155" s="3">
        <v>1</v>
      </c>
      <c r="I155" s="24" t="s">
        <v>2965</v>
      </c>
      <c r="J155" s="24" t="s">
        <v>2923</v>
      </c>
      <c r="K155" s="3">
        <v>30</v>
      </c>
      <c r="L155" s="3" t="s">
        <v>6745</v>
      </c>
      <c r="M155" s="3" t="str">
        <f>HYPERLINK("http://ictvonline.org/taxonomyHistory.asp?taxnode_id=20150156","ICTVonline=20150156")</f>
        <v>ICTVonline=20150156</v>
      </c>
    </row>
    <row r="156" spans="1:13" x14ac:dyDescent="0.15">
      <c r="A156" s="1" t="s">
        <v>1393</v>
      </c>
      <c r="B156" s="1" t="s">
        <v>1394</v>
      </c>
      <c r="D156" s="1" t="s">
        <v>3634</v>
      </c>
      <c r="E156" s="1" t="s">
        <v>3635</v>
      </c>
      <c r="F156" s="3">
        <v>0</v>
      </c>
      <c r="G156" s="24" t="s">
        <v>7247</v>
      </c>
      <c r="H156" s="24" t="s">
        <v>3636</v>
      </c>
      <c r="I156" s="24" t="s">
        <v>2965</v>
      </c>
      <c r="J156" s="24" t="s">
        <v>2919</v>
      </c>
      <c r="K156" s="3">
        <v>30</v>
      </c>
      <c r="L156" s="3" t="s">
        <v>6763</v>
      </c>
      <c r="M156" s="3" t="str">
        <f>HYPERLINK("http://ictvonline.org/taxonomyHistory.asp?taxnode_id=20150264","ICTVonline=20150264")</f>
        <v>ICTVonline=20150264</v>
      </c>
    </row>
    <row r="157" spans="1:13" x14ac:dyDescent="0.15">
      <c r="A157" s="1" t="s">
        <v>1393</v>
      </c>
      <c r="B157" s="1" t="s">
        <v>1394</v>
      </c>
      <c r="D157" s="1" t="s">
        <v>3634</v>
      </c>
      <c r="E157" s="1" t="s">
        <v>3637</v>
      </c>
      <c r="F157" s="3">
        <v>0</v>
      </c>
      <c r="G157" s="24" t="s">
        <v>7248</v>
      </c>
      <c r="H157" s="24" t="s">
        <v>3638</v>
      </c>
      <c r="I157" s="24" t="s">
        <v>2965</v>
      </c>
      <c r="J157" s="24" t="s">
        <v>2919</v>
      </c>
      <c r="K157" s="3">
        <v>30</v>
      </c>
      <c r="L157" s="3" t="s">
        <v>6763</v>
      </c>
      <c r="M157" s="3" t="str">
        <f>HYPERLINK("http://ictvonline.org/taxonomyHistory.asp?taxnode_id=20150262","ICTVonline=20150262")</f>
        <v>ICTVonline=20150262</v>
      </c>
    </row>
    <row r="158" spans="1:13" x14ac:dyDescent="0.15">
      <c r="A158" s="1" t="s">
        <v>1393</v>
      </c>
      <c r="B158" s="1" t="s">
        <v>1394</v>
      </c>
      <c r="D158" s="1" t="s">
        <v>3634</v>
      </c>
      <c r="E158" s="1" t="s">
        <v>3639</v>
      </c>
      <c r="F158" s="3">
        <v>0</v>
      </c>
      <c r="G158" s="24" t="s">
        <v>7249</v>
      </c>
      <c r="H158" s="24" t="s">
        <v>3640</v>
      </c>
      <c r="I158" s="24" t="s">
        <v>2965</v>
      </c>
      <c r="J158" s="24" t="s">
        <v>2919</v>
      </c>
      <c r="K158" s="3">
        <v>30</v>
      </c>
      <c r="L158" s="3" t="s">
        <v>6763</v>
      </c>
      <c r="M158" s="3" t="str">
        <f>HYPERLINK("http://ictvonline.org/taxonomyHistory.asp?taxnode_id=20150261","ICTVonline=20150261")</f>
        <v>ICTVonline=20150261</v>
      </c>
    </row>
    <row r="159" spans="1:13" x14ac:dyDescent="0.15">
      <c r="A159" s="1" t="s">
        <v>1393</v>
      </c>
      <c r="B159" s="1" t="s">
        <v>1394</v>
      </c>
      <c r="D159" s="1" t="s">
        <v>3634</v>
      </c>
      <c r="E159" s="1" t="s">
        <v>3641</v>
      </c>
      <c r="F159" s="3">
        <v>1</v>
      </c>
      <c r="G159" s="24" t="s">
        <v>7250</v>
      </c>
      <c r="H159" s="24" t="s">
        <v>3642</v>
      </c>
      <c r="I159" s="24" t="s">
        <v>2965</v>
      </c>
      <c r="J159" s="24" t="s">
        <v>2919</v>
      </c>
      <c r="K159" s="3">
        <v>30</v>
      </c>
      <c r="L159" s="3" t="s">
        <v>6763</v>
      </c>
      <c r="M159" s="3" t="str">
        <f>HYPERLINK("http://ictvonline.org/taxonomyHistory.asp?taxnode_id=20150259","ICTVonline=20150259")</f>
        <v>ICTVonline=20150259</v>
      </c>
    </row>
    <row r="160" spans="1:13" x14ac:dyDescent="0.15">
      <c r="A160" s="1" t="s">
        <v>1393</v>
      </c>
      <c r="B160" s="1" t="s">
        <v>1394</v>
      </c>
      <c r="D160" s="1" t="s">
        <v>3634</v>
      </c>
      <c r="E160" s="1" t="s">
        <v>3643</v>
      </c>
      <c r="F160" s="3">
        <v>0</v>
      </c>
      <c r="G160" s="24" t="s">
        <v>7251</v>
      </c>
      <c r="H160" s="24" t="s">
        <v>3644</v>
      </c>
      <c r="I160" s="24" t="s">
        <v>2965</v>
      </c>
      <c r="J160" s="24" t="s">
        <v>2919</v>
      </c>
      <c r="K160" s="3">
        <v>30</v>
      </c>
      <c r="L160" s="3" t="s">
        <v>6763</v>
      </c>
      <c r="M160" s="3" t="str">
        <f>HYPERLINK("http://ictvonline.org/taxonomyHistory.asp?taxnode_id=20150260","ICTVonline=20150260")</f>
        <v>ICTVonline=20150260</v>
      </c>
    </row>
    <row r="161" spans="1:13" x14ac:dyDescent="0.15">
      <c r="A161" s="1" t="s">
        <v>1393</v>
      </c>
      <c r="B161" s="1" t="s">
        <v>1394</v>
      </c>
      <c r="D161" s="1" t="s">
        <v>3634</v>
      </c>
      <c r="E161" s="1" t="s">
        <v>3645</v>
      </c>
      <c r="F161" s="3">
        <v>0</v>
      </c>
      <c r="G161" s="24" t="s">
        <v>7252</v>
      </c>
      <c r="H161" s="24" t="s">
        <v>3646</v>
      </c>
      <c r="I161" s="24" t="s">
        <v>2965</v>
      </c>
      <c r="J161" s="24" t="s">
        <v>2919</v>
      </c>
      <c r="K161" s="3">
        <v>30</v>
      </c>
      <c r="L161" s="3" t="s">
        <v>6763</v>
      </c>
      <c r="M161" s="3" t="str">
        <f>HYPERLINK("http://ictvonline.org/taxonomyHistory.asp?taxnode_id=20150263","ICTVonline=20150263")</f>
        <v>ICTVonline=20150263</v>
      </c>
    </row>
    <row r="162" spans="1:13" x14ac:dyDescent="0.15">
      <c r="A162" s="1" t="s">
        <v>1393</v>
      </c>
      <c r="B162" s="1" t="s">
        <v>1394</v>
      </c>
      <c r="D162" s="1" t="s">
        <v>3647</v>
      </c>
      <c r="E162" s="1" t="s">
        <v>3648</v>
      </c>
      <c r="F162" s="3">
        <v>0</v>
      </c>
      <c r="I162" s="24" t="s">
        <v>2965</v>
      </c>
      <c r="J162" s="24" t="s">
        <v>2923</v>
      </c>
      <c r="K162" s="3">
        <v>30</v>
      </c>
      <c r="L162" s="3" t="s">
        <v>6745</v>
      </c>
      <c r="M162" s="3" t="str">
        <f>HYPERLINK("http://ictvonline.org/taxonomyHistory.asp?taxnode_id=20150137","ICTVonline=20150137")</f>
        <v>ICTVonline=20150137</v>
      </c>
    </row>
    <row r="163" spans="1:13" x14ac:dyDescent="0.15">
      <c r="A163" s="1" t="s">
        <v>1393</v>
      </c>
      <c r="B163" s="1" t="s">
        <v>1394</v>
      </c>
      <c r="D163" s="1" t="s">
        <v>3647</v>
      </c>
      <c r="E163" s="1" t="s">
        <v>3649</v>
      </c>
      <c r="F163" s="3">
        <v>0</v>
      </c>
      <c r="I163" s="24" t="s">
        <v>2965</v>
      </c>
      <c r="J163" s="24" t="s">
        <v>2923</v>
      </c>
      <c r="K163" s="3">
        <v>30</v>
      </c>
      <c r="L163" s="3" t="s">
        <v>6745</v>
      </c>
      <c r="M163" s="3" t="str">
        <f>HYPERLINK("http://ictvonline.org/taxonomyHistory.asp?taxnode_id=20150138","ICTVonline=20150138")</f>
        <v>ICTVonline=20150138</v>
      </c>
    </row>
    <row r="164" spans="1:13" x14ac:dyDescent="0.15">
      <c r="A164" s="1" t="s">
        <v>1393</v>
      </c>
      <c r="B164" s="1" t="s">
        <v>1394</v>
      </c>
      <c r="D164" s="1" t="s">
        <v>3647</v>
      </c>
      <c r="E164" s="1" t="s">
        <v>3650</v>
      </c>
      <c r="F164" s="3">
        <v>0</v>
      </c>
      <c r="G164" s="24" t="s">
        <v>7253</v>
      </c>
      <c r="H164" s="24" t="s">
        <v>3651</v>
      </c>
      <c r="I164" s="24" t="s">
        <v>2965</v>
      </c>
      <c r="J164" s="24" t="s">
        <v>2919</v>
      </c>
      <c r="K164" s="3">
        <v>30</v>
      </c>
      <c r="L164" s="3" t="s">
        <v>6764</v>
      </c>
      <c r="M164" s="3" t="str">
        <f>HYPERLINK("http://ictvonline.org/taxonomyHistory.asp?taxnode_id=20150161","ICTVonline=20150161")</f>
        <v>ICTVonline=20150161</v>
      </c>
    </row>
    <row r="165" spans="1:13" x14ac:dyDescent="0.15">
      <c r="A165" s="1" t="s">
        <v>1393</v>
      </c>
      <c r="B165" s="1" t="s">
        <v>1394</v>
      </c>
      <c r="D165" s="1" t="s">
        <v>3647</v>
      </c>
      <c r="E165" s="1" t="s">
        <v>3652</v>
      </c>
      <c r="F165" s="3">
        <v>0</v>
      </c>
      <c r="G165" s="24" t="s">
        <v>7254</v>
      </c>
      <c r="H165" s="24" t="s">
        <v>3653</v>
      </c>
      <c r="I165" s="24" t="s">
        <v>2965</v>
      </c>
      <c r="J165" s="24" t="s">
        <v>2919</v>
      </c>
      <c r="K165" s="3">
        <v>30</v>
      </c>
      <c r="L165" s="3" t="s">
        <v>6764</v>
      </c>
      <c r="M165" s="3" t="str">
        <f>HYPERLINK("http://ictvonline.org/taxonomyHistory.asp?taxnode_id=20150157","ICTVonline=20150157")</f>
        <v>ICTVonline=20150157</v>
      </c>
    </row>
    <row r="166" spans="1:13" x14ac:dyDescent="0.15">
      <c r="A166" s="1" t="s">
        <v>1393</v>
      </c>
      <c r="B166" s="1" t="s">
        <v>1394</v>
      </c>
      <c r="D166" s="1" t="s">
        <v>3647</v>
      </c>
      <c r="E166" s="1" t="s">
        <v>3654</v>
      </c>
      <c r="F166" s="3">
        <v>0</v>
      </c>
      <c r="G166" s="24" t="s">
        <v>7255</v>
      </c>
      <c r="H166" s="24" t="s">
        <v>3655</v>
      </c>
      <c r="I166" s="24" t="s">
        <v>2965</v>
      </c>
      <c r="J166" s="24" t="s">
        <v>2919</v>
      </c>
      <c r="K166" s="3">
        <v>30</v>
      </c>
      <c r="L166" s="3" t="s">
        <v>6764</v>
      </c>
      <c r="M166" s="3" t="str">
        <f>HYPERLINK("http://ictvonline.org/taxonomyHistory.asp?taxnode_id=20150158","ICTVonline=20150158")</f>
        <v>ICTVonline=20150158</v>
      </c>
    </row>
    <row r="167" spans="1:13" x14ac:dyDescent="0.15">
      <c r="A167" s="1" t="s">
        <v>1393</v>
      </c>
      <c r="B167" s="1" t="s">
        <v>1394</v>
      </c>
      <c r="D167" s="1" t="s">
        <v>3647</v>
      </c>
      <c r="E167" s="1" t="s">
        <v>3656</v>
      </c>
      <c r="F167" s="3">
        <v>0</v>
      </c>
      <c r="I167" s="24" t="s">
        <v>2965</v>
      </c>
      <c r="J167" s="24" t="s">
        <v>2923</v>
      </c>
      <c r="K167" s="3">
        <v>30</v>
      </c>
      <c r="L167" s="3" t="s">
        <v>6745</v>
      </c>
      <c r="M167" s="3" t="str">
        <f>HYPERLINK("http://ictvonline.org/taxonomyHistory.asp?taxnode_id=20150139","ICTVonline=20150139")</f>
        <v>ICTVonline=20150139</v>
      </c>
    </row>
    <row r="168" spans="1:13" x14ac:dyDescent="0.15">
      <c r="A168" s="1" t="s">
        <v>1393</v>
      </c>
      <c r="B168" s="1" t="s">
        <v>1394</v>
      </c>
      <c r="D168" s="1" t="s">
        <v>3647</v>
      </c>
      <c r="E168" s="1" t="s">
        <v>3657</v>
      </c>
      <c r="F168" s="3">
        <v>0</v>
      </c>
      <c r="G168" s="24" t="s">
        <v>7256</v>
      </c>
      <c r="H168" s="24" t="s">
        <v>3658</v>
      </c>
      <c r="I168" s="24" t="s">
        <v>2965</v>
      </c>
      <c r="J168" s="24" t="s">
        <v>2919</v>
      </c>
      <c r="K168" s="3">
        <v>30</v>
      </c>
      <c r="L168" s="3" t="s">
        <v>6764</v>
      </c>
      <c r="M168" s="3" t="str">
        <f>HYPERLINK("http://ictvonline.org/taxonomyHistory.asp?taxnode_id=20150159","ICTVonline=20150159")</f>
        <v>ICTVonline=20150159</v>
      </c>
    </row>
    <row r="169" spans="1:13" x14ac:dyDescent="0.15">
      <c r="A169" s="1" t="s">
        <v>1393</v>
      </c>
      <c r="B169" s="1" t="s">
        <v>1394</v>
      </c>
      <c r="D169" s="1" t="s">
        <v>3647</v>
      </c>
      <c r="E169" s="1" t="s">
        <v>3659</v>
      </c>
      <c r="F169" s="3">
        <v>0</v>
      </c>
      <c r="G169" s="24" t="s">
        <v>7257</v>
      </c>
      <c r="H169" s="24" t="s">
        <v>3660</v>
      </c>
      <c r="I169" s="24" t="s">
        <v>2965</v>
      </c>
      <c r="J169" s="24" t="s">
        <v>2919</v>
      </c>
      <c r="K169" s="3">
        <v>30</v>
      </c>
      <c r="L169" s="3" t="s">
        <v>6764</v>
      </c>
      <c r="M169" s="3" t="str">
        <f>HYPERLINK("http://ictvonline.org/taxonomyHistory.asp?taxnode_id=20150160","ICTVonline=20150160")</f>
        <v>ICTVonline=20150160</v>
      </c>
    </row>
    <row r="170" spans="1:13" x14ac:dyDescent="0.15">
      <c r="A170" s="1" t="s">
        <v>1393</v>
      </c>
      <c r="B170" s="1" t="s">
        <v>1394</v>
      </c>
      <c r="D170" s="1" t="s">
        <v>3647</v>
      </c>
      <c r="E170" s="1" t="s">
        <v>3661</v>
      </c>
      <c r="F170" s="3">
        <v>0</v>
      </c>
      <c r="I170" s="24" t="s">
        <v>2965</v>
      </c>
      <c r="J170" s="24" t="s">
        <v>2923</v>
      </c>
      <c r="K170" s="3">
        <v>30</v>
      </c>
      <c r="L170" s="3" t="s">
        <v>6745</v>
      </c>
      <c r="M170" s="3" t="str">
        <f>HYPERLINK("http://ictvonline.org/taxonomyHistory.asp?taxnode_id=20150140","ICTVonline=20150140")</f>
        <v>ICTVonline=20150140</v>
      </c>
    </row>
    <row r="171" spans="1:13" x14ac:dyDescent="0.15">
      <c r="A171" s="1" t="s">
        <v>1393</v>
      </c>
      <c r="B171" s="1" t="s">
        <v>1394</v>
      </c>
      <c r="D171" s="1" t="s">
        <v>3647</v>
      </c>
      <c r="E171" s="1" t="s">
        <v>3662</v>
      </c>
      <c r="F171" s="3">
        <v>0</v>
      </c>
      <c r="I171" s="24" t="s">
        <v>2965</v>
      </c>
      <c r="J171" s="24" t="s">
        <v>2923</v>
      </c>
      <c r="K171" s="3">
        <v>30</v>
      </c>
      <c r="L171" s="3" t="s">
        <v>6745</v>
      </c>
      <c r="M171" s="3" t="str">
        <f>HYPERLINK("http://ictvonline.org/taxonomyHistory.asp?taxnode_id=20150141","ICTVonline=20150141")</f>
        <v>ICTVonline=20150141</v>
      </c>
    </row>
    <row r="172" spans="1:13" x14ac:dyDescent="0.15">
      <c r="A172" s="1" t="s">
        <v>1393</v>
      </c>
      <c r="B172" s="1" t="s">
        <v>1394</v>
      </c>
      <c r="D172" s="1" t="s">
        <v>3647</v>
      </c>
      <c r="E172" s="1" t="s">
        <v>3663</v>
      </c>
      <c r="F172" s="3">
        <v>1</v>
      </c>
      <c r="I172" s="24" t="s">
        <v>2965</v>
      </c>
      <c r="J172" s="24" t="s">
        <v>2923</v>
      </c>
      <c r="K172" s="3">
        <v>30</v>
      </c>
      <c r="L172" s="3" t="s">
        <v>6745</v>
      </c>
      <c r="M172" s="3" t="str">
        <f>HYPERLINK("http://ictvonline.org/taxonomyHistory.asp?taxnode_id=20150142","ICTVonline=20150142")</f>
        <v>ICTVonline=20150142</v>
      </c>
    </row>
    <row r="173" spans="1:13" x14ac:dyDescent="0.15">
      <c r="A173" s="1" t="s">
        <v>1393</v>
      </c>
      <c r="B173" s="1" t="s">
        <v>1394</v>
      </c>
      <c r="D173" s="1" t="s">
        <v>3647</v>
      </c>
      <c r="E173" s="1" t="s">
        <v>3664</v>
      </c>
      <c r="F173" s="3">
        <v>0</v>
      </c>
      <c r="I173" s="24" t="s">
        <v>2965</v>
      </c>
      <c r="J173" s="24" t="s">
        <v>2923</v>
      </c>
      <c r="K173" s="3">
        <v>30</v>
      </c>
      <c r="L173" s="3" t="s">
        <v>6745</v>
      </c>
      <c r="M173" s="3" t="str">
        <f>HYPERLINK("http://ictvonline.org/taxonomyHistory.asp?taxnode_id=20150143","ICTVonline=20150143")</f>
        <v>ICTVonline=20150143</v>
      </c>
    </row>
    <row r="174" spans="1:13" x14ac:dyDescent="0.15">
      <c r="A174" s="1" t="s">
        <v>1393</v>
      </c>
      <c r="B174" s="1" t="s">
        <v>1394</v>
      </c>
      <c r="D174" s="1" t="s">
        <v>3665</v>
      </c>
      <c r="E174" s="1" t="s">
        <v>3666</v>
      </c>
      <c r="F174" s="3">
        <v>0</v>
      </c>
      <c r="I174" s="24" t="s">
        <v>2965</v>
      </c>
      <c r="J174" s="24" t="s">
        <v>2923</v>
      </c>
      <c r="K174" s="3">
        <v>30</v>
      </c>
      <c r="L174" s="3" t="s">
        <v>6745</v>
      </c>
      <c r="M174" s="3" t="str">
        <f>HYPERLINK("http://ictvonline.org/taxonomyHistory.asp?taxnode_id=20150151","ICTVonline=20150151")</f>
        <v>ICTVonline=20150151</v>
      </c>
    </row>
    <row r="175" spans="1:13" x14ac:dyDescent="0.15">
      <c r="A175" s="1" t="s">
        <v>1393</v>
      </c>
      <c r="B175" s="1" t="s">
        <v>1394</v>
      </c>
      <c r="D175" s="1" t="s">
        <v>3665</v>
      </c>
      <c r="E175" s="1" t="s">
        <v>3667</v>
      </c>
      <c r="F175" s="3">
        <v>0</v>
      </c>
      <c r="I175" s="24" t="s">
        <v>2965</v>
      </c>
      <c r="J175" s="24" t="s">
        <v>2923</v>
      </c>
      <c r="K175" s="3">
        <v>30</v>
      </c>
      <c r="L175" s="3" t="s">
        <v>6745</v>
      </c>
      <c r="M175" s="3" t="str">
        <f>HYPERLINK("http://ictvonline.org/taxonomyHistory.asp?taxnode_id=20150152","ICTVonline=20150152")</f>
        <v>ICTVonline=20150152</v>
      </c>
    </row>
    <row r="176" spans="1:13" x14ac:dyDescent="0.15">
      <c r="A176" s="1" t="s">
        <v>1393</v>
      </c>
      <c r="B176" s="1" t="s">
        <v>1394</v>
      </c>
      <c r="D176" s="1" t="s">
        <v>3665</v>
      </c>
      <c r="E176" s="1" t="s">
        <v>3668</v>
      </c>
      <c r="F176" s="3">
        <v>1</v>
      </c>
      <c r="I176" s="24" t="s">
        <v>2965</v>
      </c>
      <c r="J176" s="24" t="s">
        <v>2923</v>
      </c>
      <c r="K176" s="3">
        <v>30</v>
      </c>
      <c r="L176" s="3" t="s">
        <v>6745</v>
      </c>
      <c r="M176" s="3" t="str">
        <f>HYPERLINK("http://ictvonline.org/taxonomyHistory.asp?taxnode_id=20150153","ICTVonline=20150153")</f>
        <v>ICTVonline=20150153</v>
      </c>
    </row>
    <row r="177" spans="1:13" x14ac:dyDescent="0.15">
      <c r="A177" s="1" t="s">
        <v>1393</v>
      </c>
      <c r="B177" s="1" t="s">
        <v>1394</v>
      </c>
      <c r="D177" s="1" t="s">
        <v>3669</v>
      </c>
      <c r="E177" s="1" t="s">
        <v>3670</v>
      </c>
      <c r="F177" s="3">
        <v>1</v>
      </c>
      <c r="G177" s="24" t="s">
        <v>7258</v>
      </c>
      <c r="H177" s="24" t="s">
        <v>3671</v>
      </c>
      <c r="I177" s="24" t="s">
        <v>2965</v>
      </c>
      <c r="J177" s="24" t="s">
        <v>2919</v>
      </c>
      <c r="K177" s="3">
        <v>30</v>
      </c>
      <c r="L177" s="3" t="s">
        <v>6765</v>
      </c>
      <c r="M177" s="3" t="str">
        <f>HYPERLINK("http://ictvonline.org/taxonomyHistory.asp?taxnode_id=20150178","ICTVonline=20150178")</f>
        <v>ICTVonline=20150178</v>
      </c>
    </row>
    <row r="178" spans="1:13" x14ac:dyDescent="0.15">
      <c r="A178" s="1" t="s">
        <v>1393</v>
      </c>
      <c r="B178" s="1" t="s">
        <v>1394</v>
      </c>
      <c r="D178" s="1" t="s">
        <v>3672</v>
      </c>
      <c r="E178" s="1" t="s">
        <v>3673</v>
      </c>
      <c r="F178" s="3">
        <v>1</v>
      </c>
      <c r="G178" s="24" t="s">
        <v>7259</v>
      </c>
      <c r="H178" s="24" t="s">
        <v>1407</v>
      </c>
      <c r="I178" s="24" t="s">
        <v>2965</v>
      </c>
      <c r="J178" s="24" t="s">
        <v>2923</v>
      </c>
      <c r="K178" s="3">
        <v>30</v>
      </c>
      <c r="L178" s="3" t="s">
        <v>6750</v>
      </c>
      <c r="M178" s="3" t="str">
        <f>HYPERLINK("http://ictvonline.org/taxonomyHistory.asp?taxnode_id=20150058","ICTVonline=20150058")</f>
        <v>ICTVonline=20150058</v>
      </c>
    </row>
    <row r="179" spans="1:13" x14ac:dyDescent="0.15">
      <c r="A179" s="1" t="s">
        <v>1393</v>
      </c>
      <c r="B179" s="1" t="s">
        <v>1394</v>
      </c>
      <c r="D179" s="1" t="s">
        <v>3672</v>
      </c>
      <c r="E179" s="1" t="s">
        <v>3674</v>
      </c>
      <c r="F179" s="3">
        <v>0</v>
      </c>
      <c r="I179" s="24" t="s">
        <v>2965</v>
      </c>
      <c r="J179" s="24" t="s">
        <v>2923</v>
      </c>
      <c r="K179" s="3">
        <v>30</v>
      </c>
      <c r="L179" s="3" t="s">
        <v>6750</v>
      </c>
      <c r="M179" s="3" t="str">
        <f>HYPERLINK("http://ictvonline.org/taxonomyHistory.asp?taxnode_id=20150059","ICTVonline=20150059")</f>
        <v>ICTVonline=20150059</v>
      </c>
    </row>
    <row r="180" spans="1:13" x14ac:dyDescent="0.15">
      <c r="A180" s="1" t="s">
        <v>1393</v>
      </c>
      <c r="B180" s="1" t="s">
        <v>1394</v>
      </c>
      <c r="D180" s="1" t="s">
        <v>3672</v>
      </c>
      <c r="E180" s="1" t="s">
        <v>3675</v>
      </c>
      <c r="F180" s="3">
        <v>0</v>
      </c>
      <c r="G180" s="24" t="s">
        <v>7260</v>
      </c>
      <c r="H180" s="24" t="s">
        <v>3676</v>
      </c>
      <c r="I180" s="24" t="s">
        <v>2965</v>
      </c>
      <c r="J180" s="24" t="s">
        <v>2919</v>
      </c>
      <c r="K180" s="3">
        <v>30</v>
      </c>
      <c r="L180" s="3" t="s">
        <v>6766</v>
      </c>
      <c r="M180" s="3" t="str">
        <f>HYPERLINK("http://ictvonline.org/taxonomyHistory.asp?taxnode_id=20150222","ICTVonline=20150222")</f>
        <v>ICTVonline=20150222</v>
      </c>
    </row>
    <row r="181" spans="1:13" x14ac:dyDescent="0.15">
      <c r="A181" s="1" t="s">
        <v>1393</v>
      </c>
      <c r="B181" s="1" t="s">
        <v>1394</v>
      </c>
      <c r="D181" s="1" t="s">
        <v>3672</v>
      </c>
      <c r="E181" s="1" t="s">
        <v>3677</v>
      </c>
      <c r="F181" s="3">
        <v>0</v>
      </c>
      <c r="G181" s="24" t="s">
        <v>7261</v>
      </c>
      <c r="H181" s="24" t="s">
        <v>3678</v>
      </c>
      <c r="I181" s="24" t="s">
        <v>2965</v>
      </c>
      <c r="J181" s="24" t="s">
        <v>2919</v>
      </c>
      <c r="K181" s="3">
        <v>30</v>
      </c>
      <c r="L181" s="3" t="s">
        <v>6766</v>
      </c>
      <c r="M181" s="3" t="str">
        <f>HYPERLINK("http://ictvonline.org/taxonomyHistory.asp?taxnode_id=20150223","ICTVonline=20150223")</f>
        <v>ICTVonline=20150223</v>
      </c>
    </row>
    <row r="182" spans="1:13" x14ac:dyDescent="0.15">
      <c r="A182" s="1" t="s">
        <v>1393</v>
      </c>
      <c r="B182" s="1" t="s">
        <v>1394</v>
      </c>
      <c r="D182" s="1" t="s">
        <v>3672</v>
      </c>
      <c r="E182" s="1" t="s">
        <v>3679</v>
      </c>
      <c r="F182" s="3">
        <v>0</v>
      </c>
      <c r="G182" s="24" t="s">
        <v>7262</v>
      </c>
      <c r="H182" s="24" t="s">
        <v>3680</v>
      </c>
      <c r="I182" s="24" t="s">
        <v>2965</v>
      </c>
      <c r="J182" s="24" t="s">
        <v>2919</v>
      </c>
      <c r="K182" s="3">
        <v>30</v>
      </c>
      <c r="L182" s="3" t="s">
        <v>6766</v>
      </c>
      <c r="M182" s="3" t="str">
        <f>HYPERLINK("http://ictvonline.org/taxonomyHistory.asp?taxnode_id=20150220","ICTVonline=20150220")</f>
        <v>ICTVonline=20150220</v>
      </c>
    </row>
    <row r="183" spans="1:13" x14ac:dyDescent="0.15">
      <c r="A183" s="1" t="s">
        <v>1393</v>
      </c>
      <c r="B183" s="1" t="s">
        <v>1394</v>
      </c>
      <c r="D183" s="1" t="s">
        <v>3672</v>
      </c>
      <c r="E183" s="1" t="s">
        <v>3681</v>
      </c>
      <c r="F183" s="3">
        <v>0</v>
      </c>
      <c r="G183" s="24" t="s">
        <v>7263</v>
      </c>
      <c r="H183" s="24" t="s">
        <v>3682</v>
      </c>
      <c r="I183" s="24" t="s">
        <v>2965</v>
      </c>
      <c r="J183" s="24" t="s">
        <v>2919</v>
      </c>
      <c r="K183" s="3">
        <v>30</v>
      </c>
      <c r="L183" s="3" t="s">
        <v>6766</v>
      </c>
      <c r="M183" s="3" t="str">
        <f>HYPERLINK("http://ictvonline.org/taxonomyHistory.asp?taxnode_id=20150221","ICTVonline=20150221")</f>
        <v>ICTVonline=20150221</v>
      </c>
    </row>
    <row r="184" spans="1:13" x14ac:dyDescent="0.15">
      <c r="A184" s="1" t="s">
        <v>1393</v>
      </c>
      <c r="B184" s="1" t="s">
        <v>1394</v>
      </c>
      <c r="D184" s="1" t="s">
        <v>3683</v>
      </c>
      <c r="E184" s="1" t="s">
        <v>3684</v>
      </c>
      <c r="F184" s="3">
        <v>0</v>
      </c>
      <c r="G184" s="24" t="s">
        <v>7264</v>
      </c>
      <c r="H184" s="24" t="s">
        <v>3685</v>
      </c>
      <c r="I184" s="24" t="s">
        <v>2965</v>
      </c>
      <c r="J184" s="24" t="s">
        <v>2919</v>
      </c>
      <c r="K184" s="3">
        <v>30</v>
      </c>
      <c r="L184" s="3" t="s">
        <v>6767</v>
      </c>
      <c r="M184" s="3" t="str">
        <f>HYPERLINK("http://ictvonline.org/taxonomyHistory.asp?taxnode_id=20150234","ICTVonline=20150234")</f>
        <v>ICTVonline=20150234</v>
      </c>
    </row>
    <row r="185" spans="1:13" x14ac:dyDescent="0.15">
      <c r="A185" s="1" t="s">
        <v>1393</v>
      </c>
      <c r="B185" s="1" t="s">
        <v>1394</v>
      </c>
      <c r="D185" s="1" t="s">
        <v>3683</v>
      </c>
      <c r="E185" s="1" t="s">
        <v>3686</v>
      </c>
      <c r="F185" s="3">
        <v>1</v>
      </c>
      <c r="G185" s="24" t="s">
        <v>7265</v>
      </c>
      <c r="H185" s="24" t="s">
        <v>3687</v>
      </c>
      <c r="I185" s="24" t="s">
        <v>2965</v>
      </c>
      <c r="J185" s="24" t="s">
        <v>2919</v>
      </c>
      <c r="K185" s="3">
        <v>30</v>
      </c>
      <c r="L185" s="3" t="s">
        <v>6767</v>
      </c>
      <c r="M185" s="3" t="str">
        <f>HYPERLINK("http://ictvonline.org/taxonomyHistory.asp?taxnode_id=20150233","ICTVonline=20150233")</f>
        <v>ICTVonline=20150233</v>
      </c>
    </row>
    <row r="186" spans="1:13" x14ac:dyDescent="0.15">
      <c r="A186" s="1" t="s">
        <v>1393</v>
      </c>
      <c r="B186" s="1" t="s">
        <v>1394</v>
      </c>
      <c r="D186" s="1" t="s">
        <v>934</v>
      </c>
      <c r="E186" s="1" t="s">
        <v>3688</v>
      </c>
      <c r="F186" s="3">
        <v>0</v>
      </c>
      <c r="I186" s="24" t="s">
        <v>2965</v>
      </c>
      <c r="J186" s="24" t="s">
        <v>2924</v>
      </c>
      <c r="K186" s="3">
        <v>30</v>
      </c>
      <c r="L186" s="3" t="s">
        <v>6745</v>
      </c>
      <c r="M186" s="3" t="str">
        <f>HYPERLINK("http://ictvonline.org/taxonomyHistory.asp?taxnode_id=20150163","ICTVonline=20150163")</f>
        <v>ICTVonline=20150163</v>
      </c>
    </row>
    <row r="187" spans="1:13" x14ac:dyDescent="0.15">
      <c r="A187" s="1" t="s">
        <v>1393</v>
      </c>
      <c r="B187" s="1" t="s">
        <v>1394</v>
      </c>
      <c r="D187" s="1" t="s">
        <v>934</v>
      </c>
      <c r="E187" s="1" t="s">
        <v>3689</v>
      </c>
      <c r="F187" s="3">
        <v>0</v>
      </c>
      <c r="I187" s="24" t="s">
        <v>2965</v>
      </c>
      <c r="J187" s="24" t="s">
        <v>2924</v>
      </c>
      <c r="K187" s="3">
        <v>30</v>
      </c>
      <c r="L187" s="3" t="s">
        <v>6745</v>
      </c>
      <c r="M187" s="3" t="str">
        <f>HYPERLINK("http://ictvonline.org/taxonomyHistory.asp?taxnode_id=20150164","ICTVonline=20150164")</f>
        <v>ICTVonline=20150164</v>
      </c>
    </row>
    <row r="188" spans="1:13" x14ac:dyDescent="0.15">
      <c r="A188" s="1" t="s">
        <v>1393</v>
      </c>
      <c r="B188" s="1" t="s">
        <v>1394</v>
      </c>
      <c r="D188" s="1" t="s">
        <v>934</v>
      </c>
      <c r="E188" s="1" t="s">
        <v>3690</v>
      </c>
      <c r="F188" s="3">
        <v>0</v>
      </c>
      <c r="I188" s="24" t="s">
        <v>2965</v>
      </c>
      <c r="J188" s="24" t="s">
        <v>2924</v>
      </c>
      <c r="K188" s="3">
        <v>30</v>
      </c>
      <c r="L188" s="3" t="s">
        <v>6745</v>
      </c>
      <c r="M188" s="3" t="str">
        <f>HYPERLINK("http://ictvonline.org/taxonomyHistory.asp?taxnode_id=20150165","ICTVonline=20150165")</f>
        <v>ICTVonline=20150165</v>
      </c>
    </row>
    <row r="189" spans="1:13" x14ac:dyDescent="0.15">
      <c r="A189" s="1" t="s">
        <v>1393</v>
      </c>
      <c r="B189" s="1" t="s">
        <v>1394</v>
      </c>
      <c r="D189" s="1" t="s">
        <v>3691</v>
      </c>
      <c r="E189" s="1" t="s">
        <v>3692</v>
      </c>
      <c r="F189" s="3">
        <v>0</v>
      </c>
      <c r="G189" s="24" t="s">
        <v>7266</v>
      </c>
      <c r="H189" s="24" t="s">
        <v>3693</v>
      </c>
      <c r="I189" s="24" t="s">
        <v>2965</v>
      </c>
      <c r="J189" s="24" t="s">
        <v>2919</v>
      </c>
      <c r="K189" s="3">
        <v>30</v>
      </c>
      <c r="L189" s="3" t="s">
        <v>6768</v>
      </c>
      <c r="M189" s="3" t="str">
        <f>HYPERLINK("http://ictvonline.org/taxonomyHistory.asp?taxnode_id=20150252","ICTVonline=20150252")</f>
        <v>ICTVonline=20150252</v>
      </c>
    </row>
    <row r="190" spans="1:13" x14ac:dyDescent="0.15">
      <c r="A190" s="1" t="s">
        <v>1393</v>
      </c>
      <c r="B190" s="1" t="s">
        <v>1394</v>
      </c>
      <c r="D190" s="1" t="s">
        <v>3691</v>
      </c>
      <c r="E190" s="1" t="s">
        <v>3694</v>
      </c>
      <c r="F190" s="3">
        <v>1</v>
      </c>
      <c r="G190" s="24" t="s">
        <v>7267</v>
      </c>
      <c r="H190" s="24" t="s">
        <v>3695</v>
      </c>
      <c r="I190" s="24" t="s">
        <v>2965</v>
      </c>
      <c r="J190" s="24" t="s">
        <v>2919</v>
      </c>
      <c r="K190" s="3">
        <v>30</v>
      </c>
      <c r="L190" s="3" t="s">
        <v>6768</v>
      </c>
      <c r="M190" s="3" t="str">
        <f>HYPERLINK("http://ictvonline.org/taxonomyHistory.asp?taxnode_id=20150251","ICTVonline=20150251")</f>
        <v>ICTVonline=20150251</v>
      </c>
    </row>
    <row r="191" spans="1:13" x14ac:dyDescent="0.15">
      <c r="A191" s="1" t="s">
        <v>1393</v>
      </c>
      <c r="B191" s="1" t="s">
        <v>1394</v>
      </c>
      <c r="D191" s="1" t="s">
        <v>3691</v>
      </c>
      <c r="E191" s="1" t="s">
        <v>3696</v>
      </c>
      <c r="F191" s="3">
        <v>0</v>
      </c>
      <c r="G191" s="24" t="s">
        <v>7268</v>
      </c>
      <c r="H191" s="24" t="s">
        <v>3697</v>
      </c>
      <c r="I191" s="24" t="s">
        <v>2965</v>
      </c>
      <c r="J191" s="24" t="s">
        <v>2919</v>
      </c>
      <c r="K191" s="3">
        <v>30</v>
      </c>
      <c r="L191" s="3" t="s">
        <v>6768</v>
      </c>
      <c r="M191" s="3" t="str">
        <f>HYPERLINK("http://ictvonline.org/taxonomyHistory.asp?taxnode_id=20150253","ICTVonline=20150253")</f>
        <v>ICTVonline=20150253</v>
      </c>
    </row>
    <row r="192" spans="1:13" x14ac:dyDescent="0.15">
      <c r="A192" s="1" t="s">
        <v>1393</v>
      </c>
      <c r="B192" s="1" t="s">
        <v>1394</v>
      </c>
      <c r="D192" s="1" t="s">
        <v>3698</v>
      </c>
      <c r="E192" s="1" t="s">
        <v>3699</v>
      </c>
      <c r="F192" s="3">
        <v>0</v>
      </c>
      <c r="I192" s="24" t="s">
        <v>2965</v>
      </c>
      <c r="J192" s="24" t="s">
        <v>2923</v>
      </c>
      <c r="K192" s="3">
        <v>30</v>
      </c>
      <c r="L192" s="3" t="s">
        <v>6745</v>
      </c>
      <c r="M192" s="3" t="str">
        <f>HYPERLINK("http://ictvonline.org/taxonomyHistory.asp?taxnode_id=20150167","ICTVonline=20150167")</f>
        <v>ICTVonline=20150167</v>
      </c>
    </row>
    <row r="193" spans="1:13" x14ac:dyDescent="0.15">
      <c r="A193" s="1" t="s">
        <v>1393</v>
      </c>
      <c r="B193" s="1" t="s">
        <v>1394</v>
      </c>
      <c r="D193" s="1" t="s">
        <v>3698</v>
      </c>
      <c r="E193" s="1" t="s">
        <v>3700</v>
      </c>
      <c r="F193" s="3">
        <v>0</v>
      </c>
      <c r="I193" s="24" t="s">
        <v>2965</v>
      </c>
      <c r="J193" s="24" t="s">
        <v>2923</v>
      </c>
      <c r="K193" s="3">
        <v>30</v>
      </c>
      <c r="L193" s="3" t="s">
        <v>6745</v>
      </c>
      <c r="M193" s="3" t="str">
        <f>HYPERLINK("http://ictvonline.org/taxonomyHistory.asp?taxnode_id=20150168","ICTVonline=20150168")</f>
        <v>ICTVonline=20150168</v>
      </c>
    </row>
    <row r="194" spans="1:13" x14ac:dyDescent="0.15">
      <c r="A194" s="1" t="s">
        <v>1393</v>
      </c>
      <c r="B194" s="1" t="s">
        <v>1394</v>
      </c>
      <c r="D194" s="1" t="s">
        <v>3698</v>
      </c>
      <c r="E194" s="1" t="s">
        <v>3701</v>
      </c>
      <c r="F194" s="3">
        <v>0</v>
      </c>
      <c r="G194" s="24" t="s">
        <v>7269</v>
      </c>
      <c r="H194" s="24" t="s">
        <v>3702</v>
      </c>
      <c r="I194" s="24" t="s">
        <v>2965</v>
      </c>
      <c r="J194" s="24" t="s">
        <v>2919</v>
      </c>
      <c r="K194" s="3">
        <v>30</v>
      </c>
      <c r="L194" s="3" t="s">
        <v>6769</v>
      </c>
      <c r="M194" s="3" t="str">
        <f>HYPERLINK("http://ictvonline.org/taxonomyHistory.asp?taxnode_id=20150212","ICTVonline=20150212")</f>
        <v>ICTVonline=20150212</v>
      </c>
    </row>
    <row r="195" spans="1:13" x14ac:dyDescent="0.15">
      <c r="A195" s="1" t="s">
        <v>1393</v>
      </c>
      <c r="B195" s="1" t="s">
        <v>1394</v>
      </c>
      <c r="D195" s="1" t="s">
        <v>3698</v>
      </c>
      <c r="E195" s="1" t="s">
        <v>3703</v>
      </c>
      <c r="F195" s="3">
        <v>0</v>
      </c>
      <c r="I195" s="24" t="s">
        <v>2965</v>
      </c>
      <c r="J195" s="24" t="s">
        <v>2923</v>
      </c>
      <c r="K195" s="3">
        <v>30</v>
      </c>
      <c r="L195" s="3" t="s">
        <v>6745</v>
      </c>
      <c r="M195" s="3" t="str">
        <f>HYPERLINK("http://ictvonline.org/taxonomyHistory.asp?taxnode_id=20150169","ICTVonline=20150169")</f>
        <v>ICTVonline=20150169</v>
      </c>
    </row>
    <row r="196" spans="1:13" x14ac:dyDescent="0.15">
      <c r="A196" s="1" t="s">
        <v>1393</v>
      </c>
      <c r="B196" s="1" t="s">
        <v>1394</v>
      </c>
      <c r="D196" s="1" t="s">
        <v>3698</v>
      </c>
      <c r="E196" s="1" t="s">
        <v>3704</v>
      </c>
      <c r="F196" s="3">
        <v>0</v>
      </c>
      <c r="G196" s="24" t="s">
        <v>7270</v>
      </c>
      <c r="H196" s="24" t="s">
        <v>3705</v>
      </c>
      <c r="I196" s="24" t="s">
        <v>2965</v>
      </c>
      <c r="J196" s="24" t="s">
        <v>2919</v>
      </c>
      <c r="K196" s="3">
        <v>30</v>
      </c>
      <c r="L196" s="3" t="s">
        <v>6769</v>
      </c>
      <c r="M196" s="3" t="str">
        <f>HYPERLINK("http://ictvonline.org/taxonomyHistory.asp?taxnode_id=20150217","ICTVonline=20150217")</f>
        <v>ICTVonline=20150217</v>
      </c>
    </row>
    <row r="197" spans="1:13" x14ac:dyDescent="0.15">
      <c r="A197" s="1" t="s">
        <v>1393</v>
      </c>
      <c r="B197" s="1" t="s">
        <v>1394</v>
      </c>
      <c r="D197" s="1" t="s">
        <v>3698</v>
      </c>
      <c r="E197" s="1" t="s">
        <v>3706</v>
      </c>
      <c r="F197" s="3">
        <v>0</v>
      </c>
      <c r="G197" s="24" t="s">
        <v>7271</v>
      </c>
      <c r="H197" s="24" t="s">
        <v>3707</v>
      </c>
      <c r="I197" s="24" t="s">
        <v>2965</v>
      </c>
      <c r="J197" s="24" t="s">
        <v>2919</v>
      </c>
      <c r="K197" s="3">
        <v>30</v>
      </c>
      <c r="L197" s="3" t="s">
        <v>6769</v>
      </c>
      <c r="M197" s="3" t="str">
        <f>HYPERLINK("http://ictvonline.org/taxonomyHistory.asp?taxnode_id=20150213","ICTVonline=20150213")</f>
        <v>ICTVonline=20150213</v>
      </c>
    </row>
    <row r="198" spans="1:13" x14ac:dyDescent="0.15">
      <c r="A198" s="1" t="s">
        <v>1393</v>
      </c>
      <c r="B198" s="1" t="s">
        <v>1394</v>
      </c>
      <c r="D198" s="1" t="s">
        <v>3698</v>
      </c>
      <c r="E198" s="1" t="s">
        <v>3708</v>
      </c>
      <c r="F198" s="3">
        <v>0</v>
      </c>
      <c r="G198" s="24" t="s">
        <v>7272</v>
      </c>
      <c r="H198" s="24" t="s">
        <v>3709</v>
      </c>
      <c r="I198" s="24" t="s">
        <v>2965</v>
      </c>
      <c r="J198" s="24" t="s">
        <v>2919</v>
      </c>
      <c r="K198" s="3">
        <v>30</v>
      </c>
      <c r="L198" s="3" t="s">
        <v>6769</v>
      </c>
      <c r="M198" s="3" t="str">
        <f>HYPERLINK("http://ictvonline.org/taxonomyHistory.asp?taxnode_id=20150216","ICTVonline=20150216")</f>
        <v>ICTVonline=20150216</v>
      </c>
    </row>
    <row r="199" spans="1:13" x14ac:dyDescent="0.15">
      <c r="A199" s="1" t="s">
        <v>1393</v>
      </c>
      <c r="B199" s="1" t="s">
        <v>1394</v>
      </c>
      <c r="D199" s="1" t="s">
        <v>3698</v>
      </c>
      <c r="E199" s="1" t="s">
        <v>3710</v>
      </c>
      <c r="F199" s="3">
        <v>0</v>
      </c>
      <c r="I199" s="24" t="s">
        <v>2965</v>
      </c>
      <c r="J199" s="24" t="s">
        <v>2923</v>
      </c>
      <c r="K199" s="3">
        <v>30</v>
      </c>
      <c r="L199" s="3" t="s">
        <v>6745</v>
      </c>
      <c r="M199" s="3" t="str">
        <f>HYPERLINK("http://ictvonline.org/taxonomyHistory.asp?taxnode_id=20150170","ICTVonline=20150170")</f>
        <v>ICTVonline=20150170</v>
      </c>
    </row>
    <row r="200" spans="1:13" x14ac:dyDescent="0.15">
      <c r="A200" s="1" t="s">
        <v>1393</v>
      </c>
      <c r="B200" s="1" t="s">
        <v>1394</v>
      </c>
      <c r="D200" s="1" t="s">
        <v>3698</v>
      </c>
      <c r="E200" s="1" t="s">
        <v>3711</v>
      </c>
      <c r="F200" s="3">
        <v>0</v>
      </c>
      <c r="I200" s="24" t="s">
        <v>2965</v>
      </c>
      <c r="J200" s="24" t="s">
        <v>2923</v>
      </c>
      <c r="K200" s="3">
        <v>30</v>
      </c>
      <c r="L200" s="3" t="s">
        <v>6745</v>
      </c>
      <c r="M200" s="3" t="str">
        <f>HYPERLINK("http://ictvonline.org/taxonomyHistory.asp?taxnode_id=20150171","ICTVonline=20150171")</f>
        <v>ICTVonline=20150171</v>
      </c>
    </row>
    <row r="201" spans="1:13" x14ac:dyDescent="0.15">
      <c r="A201" s="1" t="s">
        <v>1393</v>
      </c>
      <c r="B201" s="1" t="s">
        <v>1394</v>
      </c>
      <c r="D201" s="1" t="s">
        <v>3698</v>
      </c>
      <c r="E201" s="1" t="s">
        <v>3712</v>
      </c>
      <c r="F201" s="3">
        <v>0</v>
      </c>
      <c r="G201" s="24" t="s">
        <v>7273</v>
      </c>
      <c r="H201" s="24" t="s">
        <v>3713</v>
      </c>
      <c r="I201" s="24" t="s">
        <v>2965</v>
      </c>
      <c r="J201" s="24" t="s">
        <v>2919</v>
      </c>
      <c r="K201" s="3">
        <v>30</v>
      </c>
      <c r="L201" s="3" t="s">
        <v>6769</v>
      </c>
      <c r="M201" s="3" t="str">
        <f>HYPERLINK("http://ictvonline.org/taxonomyHistory.asp?taxnode_id=20150218","ICTVonline=20150218")</f>
        <v>ICTVonline=20150218</v>
      </c>
    </row>
    <row r="202" spans="1:13" x14ac:dyDescent="0.15">
      <c r="A202" s="1" t="s">
        <v>1393</v>
      </c>
      <c r="B202" s="1" t="s">
        <v>1394</v>
      </c>
      <c r="D202" s="1" t="s">
        <v>3698</v>
      </c>
      <c r="E202" s="1" t="s">
        <v>3714</v>
      </c>
      <c r="F202" s="3">
        <v>0</v>
      </c>
      <c r="G202" s="24" t="s">
        <v>7274</v>
      </c>
      <c r="H202" s="24" t="s">
        <v>3715</v>
      </c>
      <c r="I202" s="24" t="s">
        <v>2965</v>
      </c>
      <c r="J202" s="24" t="s">
        <v>2919</v>
      </c>
      <c r="K202" s="3">
        <v>30</v>
      </c>
      <c r="L202" s="3" t="s">
        <v>6769</v>
      </c>
      <c r="M202" s="3" t="str">
        <f>HYPERLINK("http://ictvonline.org/taxonomyHistory.asp?taxnode_id=20150215","ICTVonline=20150215")</f>
        <v>ICTVonline=20150215</v>
      </c>
    </row>
    <row r="203" spans="1:13" x14ac:dyDescent="0.15">
      <c r="A203" s="1" t="s">
        <v>1393</v>
      </c>
      <c r="B203" s="1" t="s">
        <v>1394</v>
      </c>
      <c r="D203" s="1" t="s">
        <v>3698</v>
      </c>
      <c r="E203" s="1" t="s">
        <v>3716</v>
      </c>
      <c r="F203" s="3">
        <v>0</v>
      </c>
      <c r="G203" s="24" t="s">
        <v>7275</v>
      </c>
      <c r="H203" s="24" t="s">
        <v>3717</v>
      </c>
      <c r="I203" s="24" t="s">
        <v>2965</v>
      </c>
      <c r="J203" s="24" t="s">
        <v>2919</v>
      </c>
      <c r="K203" s="3">
        <v>30</v>
      </c>
      <c r="L203" s="3" t="s">
        <v>6769</v>
      </c>
      <c r="M203" s="3" t="str">
        <f>HYPERLINK("http://ictvonline.org/taxonomyHistory.asp?taxnode_id=20150214","ICTVonline=20150214")</f>
        <v>ICTVonline=20150214</v>
      </c>
    </row>
    <row r="204" spans="1:13" x14ac:dyDescent="0.15">
      <c r="A204" s="1" t="s">
        <v>1393</v>
      </c>
      <c r="B204" s="1" t="s">
        <v>1394</v>
      </c>
      <c r="D204" s="1" t="s">
        <v>3698</v>
      </c>
      <c r="E204" s="1" t="s">
        <v>3718</v>
      </c>
      <c r="F204" s="3">
        <v>1</v>
      </c>
      <c r="I204" s="24" t="s">
        <v>2965</v>
      </c>
      <c r="J204" s="24" t="s">
        <v>2923</v>
      </c>
      <c r="K204" s="3">
        <v>30</v>
      </c>
      <c r="L204" s="3" t="s">
        <v>6745</v>
      </c>
      <c r="M204" s="3" t="str">
        <f>HYPERLINK("http://ictvonline.org/taxonomyHistory.asp?taxnode_id=20150172","ICTVonline=20150172")</f>
        <v>ICTVonline=20150172</v>
      </c>
    </row>
    <row r="205" spans="1:13" x14ac:dyDescent="0.15">
      <c r="A205" s="1" t="s">
        <v>1393</v>
      </c>
      <c r="B205" s="1" t="s">
        <v>1394</v>
      </c>
      <c r="D205" s="1" t="s">
        <v>3698</v>
      </c>
      <c r="E205" s="1" t="s">
        <v>3719</v>
      </c>
      <c r="F205" s="3">
        <v>0</v>
      </c>
      <c r="I205" s="24" t="s">
        <v>2965</v>
      </c>
      <c r="J205" s="24" t="s">
        <v>2923</v>
      </c>
      <c r="K205" s="3">
        <v>30</v>
      </c>
      <c r="L205" s="3" t="s">
        <v>6745</v>
      </c>
      <c r="M205" s="3" t="str">
        <f>HYPERLINK("http://ictvonline.org/taxonomyHistory.asp?taxnode_id=20150173","ICTVonline=20150173")</f>
        <v>ICTVonline=20150173</v>
      </c>
    </row>
    <row r="206" spans="1:13" x14ac:dyDescent="0.15">
      <c r="A206" s="1" t="s">
        <v>1393</v>
      </c>
      <c r="B206" s="1" t="s">
        <v>1394</v>
      </c>
      <c r="D206" s="1" t="s">
        <v>3720</v>
      </c>
      <c r="E206" s="1" t="s">
        <v>3721</v>
      </c>
      <c r="F206" s="3">
        <v>1</v>
      </c>
      <c r="G206" s="24" t="s">
        <v>7276</v>
      </c>
      <c r="H206" s="24" t="s">
        <v>7277</v>
      </c>
      <c r="I206" s="24" t="s">
        <v>2965</v>
      </c>
      <c r="J206" s="24" t="s">
        <v>2919</v>
      </c>
      <c r="K206" s="3">
        <v>30</v>
      </c>
      <c r="L206" s="3" t="s">
        <v>6770</v>
      </c>
      <c r="M206" s="3" t="str">
        <f>HYPERLINK("http://ictvonline.org/taxonomyHistory.asp?taxnode_id=20150185","ICTVonline=20150185")</f>
        <v>ICTVonline=20150185</v>
      </c>
    </row>
    <row r="207" spans="1:13" x14ac:dyDescent="0.15">
      <c r="A207" s="1" t="s">
        <v>1393</v>
      </c>
      <c r="B207" s="1" t="s">
        <v>927</v>
      </c>
      <c r="C207" s="1" t="s">
        <v>1423</v>
      </c>
      <c r="D207" s="1" t="s">
        <v>3722</v>
      </c>
      <c r="E207" s="1" t="s">
        <v>3723</v>
      </c>
      <c r="F207" s="3">
        <v>0</v>
      </c>
      <c r="G207" s="24" t="s">
        <v>7278</v>
      </c>
      <c r="H207" s="24" t="s">
        <v>3724</v>
      </c>
      <c r="I207" s="24" t="s">
        <v>2965</v>
      </c>
      <c r="J207" s="24" t="s">
        <v>2919</v>
      </c>
      <c r="K207" s="3">
        <v>30</v>
      </c>
      <c r="L207" s="3" t="s">
        <v>6771</v>
      </c>
      <c r="M207" s="3" t="str">
        <f>HYPERLINK("http://ictvonline.org/taxonomyHistory.asp?taxnode_id=20150290","ICTVonline=20150290")</f>
        <v>ICTVonline=20150290</v>
      </c>
    </row>
    <row r="208" spans="1:13" x14ac:dyDescent="0.15">
      <c r="A208" s="1" t="s">
        <v>1393</v>
      </c>
      <c r="B208" s="1" t="s">
        <v>927</v>
      </c>
      <c r="C208" s="1" t="s">
        <v>1423</v>
      </c>
      <c r="D208" s="1" t="s">
        <v>3722</v>
      </c>
      <c r="E208" s="1" t="s">
        <v>3725</v>
      </c>
      <c r="F208" s="3">
        <v>0</v>
      </c>
      <c r="G208" s="24" t="s">
        <v>7279</v>
      </c>
      <c r="H208" s="24" t="s">
        <v>3726</v>
      </c>
      <c r="I208" s="24" t="s">
        <v>2965</v>
      </c>
      <c r="J208" s="24" t="s">
        <v>2919</v>
      </c>
      <c r="K208" s="3">
        <v>30</v>
      </c>
      <c r="L208" s="3" t="s">
        <v>6771</v>
      </c>
      <c r="M208" s="3" t="str">
        <f>HYPERLINK("http://ictvonline.org/taxonomyHistory.asp?taxnode_id=20150291","ICTVonline=20150291")</f>
        <v>ICTVonline=20150291</v>
      </c>
    </row>
    <row r="209" spans="1:13" x14ac:dyDescent="0.15">
      <c r="A209" s="1" t="s">
        <v>1393</v>
      </c>
      <c r="B209" s="1" t="s">
        <v>927</v>
      </c>
      <c r="C209" s="1" t="s">
        <v>1423</v>
      </c>
      <c r="D209" s="1" t="s">
        <v>3722</v>
      </c>
      <c r="E209" s="1" t="s">
        <v>3727</v>
      </c>
      <c r="F209" s="3">
        <v>1</v>
      </c>
      <c r="G209" s="24" t="s">
        <v>7280</v>
      </c>
      <c r="H209" s="24" t="s">
        <v>3728</v>
      </c>
      <c r="I209" s="24" t="s">
        <v>2965</v>
      </c>
      <c r="J209" s="24" t="s">
        <v>2919</v>
      </c>
      <c r="K209" s="3">
        <v>30</v>
      </c>
      <c r="L209" s="3" t="s">
        <v>6771</v>
      </c>
      <c r="M209" s="3" t="str">
        <f>HYPERLINK("http://ictvonline.org/taxonomyHistory.asp?taxnode_id=20150287","ICTVonline=20150287")</f>
        <v>ICTVonline=20150287</v>
      </c>
    </row>
    <row r="210" spans="1:13" x14ac:dyDescent="0.15">
      <c r="A210" s="1" t="s">
        <v>1393</v>
      </c>
      <c r="B210" s="1" t="s">
        <v>927</v>
      </c>
      <c r="C210" s="1" t="s">
        <v>1423</v>
      </c>
      <c r="D210" s="1" t="s">
        <v>3722</v>
      </c>
      <c r="E210" s="1" t="s">
        <v>3729</v>
      </c>
      <c r="F210" s="3">
        <v>0</v>
      </c>
      <c r="G210" s="24" t="s">
        <v>7281</v>
      </c>
      <c r="H210" s="24" t="s">
        <v>3730</v>
      </c>
      <c r="I210" s="24" t="s">
        <v>2965</v>
      </c>
      <c r="J210" s="24" t="s">
        <v>2919</v>
      </c>
      <c r="K210" s="3">
        <v>30</v>
      </c>
      <c r="L210" s="3" t="s">
        <v>6771</v>
      </c>
      <c r="M210" s="3" t="str">
        <f>HYPERLINK("http://ictvonline.org/taxonomyHistory.asp?taxnode_id=20150288","ICTVonline=20150288")</f>
        <v>ICTVonline=20150288</v>
      </c>
    </row>
    <row r="211" spans="1:13" x14ac:dyDescent="0.15">
      <c r="A211" s="1" t="s">
        <v>1393</v>
      </c>
      <c r="B211" s="1" t="s">
        <v>927</v>
      </c>
      <c r="C211" s="1" t="s">
        <v>1423</v>
      </c>
      <c r="D211" s="1" t="s">
        <v>3722</v>
      </c>
      <c r="E211" s="1" t="s">
        <v>3731</v>
      </c>
      <c r="F211" s="3">
        <v>0</v>
      </c>
      <c r="G211" s="24" t="s">
        <v>7282</v>
      </c>
      <c r="H211" s="24" t="s">
        <v>3732</v>
      </c>
      <c r="I211" s="24" t="s">
        <v>2965</v>
      </c>
      <c r="J211" s="24" t="s">
        <v>2919</v>
      </c>
      <c r="K211" s="3">
        <v>30</v>
      </c>
      <c r="L211" s="3" t="s">
        <v>6771</v>
      </c>
      <c r="M211" s="3" t="str">
        <f>HYPERLINK("http://ictvonline.org/taxonomyHistory.asp?taxnode_id=20150289","ICTVonline=20150289")</f>
        <v>ICTVonline=20150289</v>
      </c>
    </row>
    <row r="212" spans="1:13" x14ac:dyDescent="0.15">
      <c r="A212" s="1" t="s">
        <v>1393</v>
      </c>
      <c r="B212" s="1" t="s">
        <v>927</v>
      </c>
      <c r="C212" s="1" t="s">
        <v>1423</v>
      </c>
      <c r="D212" s="1" t="s">
        <v>3733</v>
      </c>
      <c r="E212" s="1" t="s">
        <v>3734</v>
      </c>
      <c r="F212" s="3">
        <v>0</v>
      </c>
      <c r="I212" s="24" t="s">
        <v>2965</v>
      </c>
      <c r="J212" s="24" t="s">
        <v>2923</v>
      </c>
      <c r="K212" s="3">
        <v>30</v>
      </c>
      <c r="L212" s="3" t="s">
        <v>6745</v>
      </c>
      <c r="M212" s="3" t="str">
        <f>HYPERLINK("http://ictvonline.org/taxonomyHistory.asp?taxnode_id=20150268","ICTVonline=20150268")</f>
        <v>ICTVonline=20150268</v>
      </c>
    </row>
    <row r="213" spans="1:13" x14ac:dyDescent="0.15">
      <c r="A213" s="1" t="s">
        <v>1393</v>
      </c>
      <c r="B213" s="1" t="s">
        <v>927</v>
      </c>
      <c r="C213" s="1" t="s">
        <v>1423</v>
      </c>
      <c r="D213" s="1" t="s">
        <v>3733</v>
      </c>
      <c r="E213" s="1" t="s">
        <v>3735</v>
      </c>
      <c r="F213" s="3">
        <v>0</v>
      </c>
      <c r="I213" s="24" t="s">
        <v>2965</v>
      </c>
      <c r="J213" s="24" t="s">
        <v>2923</v>
      </c>
      <c r="K213" s="3">
        <v>30</v>
      </c>
      <c r="L213" s="3" t="s">
        <v>6745</v>
      </c>
      <c r="M213" s="3" t="str">
        <f>HYPERLINK("http://ictvonline.org/taxonomyHistory.asp?taxnode_id=20150269","ICTVonline=20150269")</f>
        <v>ICTVonline=20150269</v>
      </c>
    </row>
    <row r="214" spans="1:13" x14ac:dyDescent="0.15">
      <c r="A214" s="1" t="s">
        <v>1393</v>
      </c>
      <c r="B214" s="1" t="s">
        <v>927</v>
      </c>
      <c r="C214" s="1" t="s">
        <v>1423</v>
      </c>
      <c r="D214" s="1" t="s">
        <v>3733</v>
      </c>
      <c r="E214" s="1" t="s">
        <v>3736</v>
      </c>
      <c r="F214" s="3">
        <v>0</v>
      </c>
      <c r="I214" s="24" t="s">
        <v>2965</v>
      </c>
      <c r="J214" s="24" t="s">
        <v>2923</v>
      </c>
      <c r="K214" s="3">
        <v>30</v>
      </c>
      <c r="L214" s="3" t="s">
        <v>6745</v>
      </c>
      <c r="M214" s="3" t="str">
        <f>HYPERLINK("http://ictvonline.org/taxonomyHistory.asp?taxnode_id=20150270","ICTVonline=20150270")</f>
        <v>ICTVonline=20150270</v>
      </c>
    </row>
    <row r="215" spans="1:13" x14ac:dyDescent="0.15">
      <c r="A215" s="1" t="s">
        <v>1393</v>
      </c>
      <c r="B215" s="1" t="s">
        <v>927</v>
      </c>
      <c r="C215" s="1" t="s">
        <v>1423</v>
      </c>
      <c r="D215" s="1" t="s">
        <v>3733</v>
      </c>
      <c r="E215" s="1" t="s">
        <v>3737</v>
      </c>
      <c r="F215" s="3">
        <v>1</v>
      </c>
      <c r="I215" s="24" t="s">
        <v>2965</v>
      </c>
      <c r="J215" s="24" t="s">
        <v>2923</v>
      </c>
      <c r="K215" s="3">
        <v>30</v>
      </c>
      <c r="L215" s="3" t="s">
        <v>6745</v>
      </c>
      <c r="M215" s="3" t="str">
        <f>HYPERLINK("http://ictvonline.org/taxonomyHistory.asp?taxnode_id=20150271","ICTVonline=20150271")</f>
        <v>ICTVonline=20150271</v>
      </c>
    </row>
    <row r="216" spans="1:13" x14ac:dyDescent="0.15">
      <c r="A216" s="1" t="s">
        <v>1393</v>
      </c>
      <c r="B216" s="1" t="s">
        <v>927</v>
      </c>
      <c r="C216" s="1" t="s">
        <v>1423</v>
      </c>
      <c r="D216" s="1" t="s">
        <v>3738</v>
      </c>
      <c r="E216" s="1" t="s">
        <v>3739</v>
      </c>
      <c r="F216" s="3">
        <v>0</v>
      </c>
      <c r="I216" s="24" t="s">
        <v>2965</v>
      </c>
      <c r="J216" s="24" t="s">
        <v>2923</v>
      </c>
      <c r="K216" s="3">
        <v>30</v>
      </c>
      <c r="L216" s="3" t="s">
        <v>6745</v>
      </c>
      <c r="M216" s="3" t="str">
        <f>HYPERLINK("http://ictvonline.org/taxonomyHistory.asp?taxnode_id=20150277","ICTVonline=20150277")</f>
        <v>ICTVonline=20150277</v>
      </c>
    </row>
    <row r="217" spans="1:13" x14ac:dyDescent="0.15">
      <c r="A217" s="1" t="s">
        <v>1393</v>
      </c>
      <c r="B217" s="1" t="s">
        <v>927</v>
      </c>
      <c r="C217" s="1" t="s">
        <v>1423</v>
      </c>
      <c r="D217" s="1" t="s">
        <v>3738</v>
      </c>
      <c r="E217" s="1" t="s">
        <v>3740</v>
      </c>
      <c r="F217" s="3">
        <v>0</v>
      </c>
      <c r="I217" s="24" t="s">
        <v>2965</v>
      </c>
      <c r="J217" s="24" t="s">
        <v>2923</v>
      </c>
      <c r="K217" s="3">
        <v>30</v>
      </c>
      <c r="L217" s="3" t="s">
        <v>6745</v>
      </c>
      <c r="M217" s="3" t="str">
        <f>HYPERLINK("http://ictvonline.org/taxonomyHistory.asp?taxnode_id=20150273","ICTVonline=20150273")</f>
        <v>ICTVonline=20150273</v>
      </c>
    </row>
    <row r="218" spans="1:13" x14ac:dyDescent="0.15">
      <c r="A218" s="1" t="s">
        <v>1393</v>
      </c>
      <c r="B218" s="1" t="s">
        <v>927</v>
      </c>
      <c r="C218" s="1" t="s">
        <v>1423</v>
      </c>
      <c r="D218" s="1" t="s">
        <v>3738</v>
      </c>
      <c r="E218" s="1" t="s">
        <v>3741</v>
      </c>
      <c r="F218" s="3">
        <v>0</v>
      </c>
      <c r="I218" s="24" t="s">
        <v>2965</v>
      </c>
      <c r="J218" s="24" t="s">
        <v>2923</v>
      </c>
      <c r="K218" s="3">
        <v>30</v>
      </c>
      <c r="L218" s="3" t="s">
        <v>6745</v>
      </c>
      <c r="M218" s="3" t="str">
        <f>HYPERLINK("http://ictvonline.org/taxonomyHistory.asp?taxnode_id=20150274","ICTVonline=20150274")</f>
        <v>ICTVonline=20150274</v>
      </c>
    </row>
    <row r="219" spans="1:13" x14ac:dyDescent="0.15">
      <c r="A219" s="1" t="s">
        <v>1393</v>
      </c>
      <c r="B219" s="1" t="s">
        <v>927</v>
      </c>
      <c r="C219" s="1" t="s">
        <v>1423</v>
      </c>
      <c r="D219" s="1" t="s">
        <v>3738</v>
      </c>
      <c r="E219" s="1" t="s">
        <v>3742</v>
      </c>
      <c r="F219" s="3">
        <v>0</v>
      </c>
      <c r="I219" s="24" t="s">
        <v>2965</v>
      </c>
      <c r="J219" s="24" t="s">
        <v>2923</v>
      </c>
      <c r="K219" s="3">
        <v>30</v>
      </c>
      <c r="L219" s="3" t="s">
        <v>6745</v>
      </c>
      <c r="M219" s="3" t="str">
        <f>HYPERLINK("http://ictvonline.org/taxonomyHistory.asp?taxnode_id=20150275","ICTVonline=20150275")</f>
        <v>ICTVonline=20150275</v>
      </c>
    </row>
    <row r="220" spans="1:13" x14ac:dyDescent="0.15">
      <c r="A220" s="1" t="s">
        <v>1393</v>
      </c>
      <c r="B220" s="1" t="s">
        <v>927</v>
      </c>
      <c r="C220" s="1" t="s">
        <v>1423</v>
      </c>
      <c r="D220" s="1" t="s">
        <v>3738</v>
      </c>
      <c r="E220" s="1" t="s">
        <v>3743</v>
      </c>
      <c r="F220" s="3">
        <v>1</v>
      </c>
      <c r="I220" s="24" t="s">
        <v>2965</v>
      </c>
      <c r="J220" s="24" t="s">
        <v>2923</v>
      </c>
      <c r="K220" s="3">
        <v>30</v>
      </c>
      <c r="L220" s="3" t="s">
        <v>6745</v>
      </c>
      <c r="M220" s="3" t="str">
        <f>HYPERLINK("http://ictvonline.org/taxonomyHistory.asp?taxnode_id=20150276","ICTVonline=20150276")</f>
        <v>ICTVonline=20150276</v>
      </c>
    </row>
    <row r="221" spans="1:13" x14ac:dyDescent="0.15">
      <c r="A221" s="1" t="s">
        <v>1393</v>
      </c>
      <c r="B221" s="1" t="s">
        <v>927</v>
      </c>
      <c r="C221" s="1" t="s">
        <v>1423</v>
      </c>
      <c r="D221" s="1" t="s">
        <v>3744</v>
      </c>
      <c r="E221" s="1" t="s">
        <v>3745</v>
      </c>
      <c r="F221" s="3">
        <v>1</v>
      </c>
      <c r="I221" s="24" t="s">
        <v>2965</v>
      </c>
      <c r="J221" s="24" t="s">
        <v>2923</v>
      </c>
      <c r="K221" s="3">
        <v>30</v>
      </c>
      <c r="L221" s="3" t="s">
        <v>6745</v>
      </c>
      <c r="M221" s="3" t="str">
        <f>HYPERLINK("http://ictvonline.org/taxonomyHistory.asp?taxnode_id=20150279","ICTVonline=20150279")</f>
        <v>ICTVonline=20150279</v>
      </c>
    </row>
    <row r="222" spans="1:13" x14ac:dyDescent="0.15">
      <c r="A222" s="1" t="s">
        <v>1393</v>
      </c>
      <c r="B222" s="1" t="s">
        <v>927</v>
      </c>
      <c r="C222" s="1" t="s">
        <v>1423</v>
      </c>
      <c r="D222" s="1" t="s">
        <v>3744</v>
      </c>
      <c r="E222" s="1" t="s">
        <v>3746</v>
      </c>
      <c r="F222" s="3">
        <v>0</v>
      </c>
      <c r="I222" s="24" t="s">
        <v>2965</v>
      </c>
      <c r="J222" s="24" t="s">
        <v>2923</v>
      </c>
      <c r="K222" s="3">
        <v>30</v>
      </c>
      <c r="L222" s="3" t="s">
        <v>6745</v>
      </c>
      <c r="M222" s="3" t="str">
        <f>HYPERLINK("http://ictvonline.org/taxonomyHistory.asp?taxnode_id=20150280","ICTVonline=20150280")</f>
        <v>ICTVonline=20150280</v>
      </c>
    </row>
    <row r="223" spans="1:13" x14ac:dyDescent="0.15">
      <c r="A223" s="1" t="s">
        <v>1393</v>
      </c>
      <c r="B223" s="1" t="s">
        <v>927</v>
      </c>
      <c r="C223" s="1" t="s">
        <v>1423</v>
      </c>
      <c r="D223" s="1" t="s">
        <v>3744</v>
      </c>
      <c r="E223" s="1" t="s">
        <v>3747</v>
      </c>
      <c r="F223" s="3">
        <v>0</v>
      </c>
      <c r="I223" s="24" t="s">
        <v>2965</v>
      </c>
      <c r="J223" s="24" t="s">
        <v>2923</v>
      </c>
      <c r="K223" s="3">
        <v>30</v>
      </c>
      <c r="L223" s="3" t="s">
        <v>6745</v>
      </c>
      <c r="M223" s="3" t="str">
        <f>HYPERLINK("http://ictvonline.org/taxonomyHistory.asp?taxnode_id=20150281","ICTVonline=20150281")</f>
        <v>ICTVonline=20150281</v>
      </c>
    </row>
    <row r="224" spans="1:13" x14ac:dyDescent="0.15">
      <c r="A224" s="1" t="s">
        <v>1393</v>
      </c>
      <c r="B224" s="1" t="s">
        <v>927</v>
      </c>
      <c r="C224" s="1" t="s">
        <v>1423</v>
      </c>
      <c r="D224" s="1" t="s">
        <v>934</v>
      </c>
      <c r="E224" s="1" t="s">
        <v>3748</v>
      </c>
      <c r="F224" s="3">
        <v>0</v>
      </c>
      <c r="I224" s="24" t="s">
        <v>2965</v>
      </c>
      <c r="J224" s="24" t="s">
        <v>2924</v>
      </c>
      <c r="K224" s="3">
        <v>30</v>
      </c>
      <c r="L224" s="3" t="s">
        <v>6745</v>
      </c>
      <c r="M224" s="3" t="str">
        <f>HYPERLINK("http://ictvonline.org/taxonomyHistory.asp?taxnode_id=20150283","ICTVonline=20150283")</f>
        <v>ICTVonline=20150283</v>
      </c>
    </row>
    <row r="225" spans="1:13" x14ac:dyDescent="0.15">
      <c r="A225" s="1" t="s">
        <v>1393</v>
      </c>
      <c r="B225" s="1" t="s">
        <v>927</v>
      </c>
      <c r="C225" s="1" t="s">
        <v>1423</v>
      </c>
      <c r="D225" s="1" t="s">
        <v>934</v>
      </c>
      <c r="E225" s="1" t="s">
        <v>3749</v>
      </c>
      <c r="F225" s="3">
        <v>0</v>
      </c>
      <c r="I225" s="24" t="s">
        <v>2965</v>
      </c>
      <c r="J225" s="24" t="s">
        <v>2924</v>
      </c>
      <c r="K225" s="3">
        <v>30</v>
      </c>
      <c r="L225" s="3" t="s">
        <v>6745</v>
      </c>
      <c r="M225" s="3" t="str">
        <f>HYPERLINK("http://ictvonline.org/taxonomyHistory.asp?taxnode_id=20150284","ICTVonline=20150284")</f>
        <v>ICTVonline=20150284</v>
      </c>
    </row>
    <row r="226" spans="1:13" x14ac:dyDescent="0.15">
      <c r="A226" s="1" t="s">
        <v>1393</v>
      </c>
      <c r="B226" s="1" t="s">
        <v>927</v>
      </c>
      <c r="C226" s="1" t="s">
        <v>1423</v>
      </c>
      <c r="D226" s="1" t="s">
        <v>934</v>
      </c>
      <c r="E226" s="1" t="s">
        <v>3750</v>
      </c>
      <c r="F226" s="3">
        <v>0</v>
      </c>
      <c r="I226" s="24" t="s">
        <v>2965</v>
      </c>
      <c r="J226" s="24" t="s">
        <v>2924</v>
      </c>
      <c r="K226" s="3">
        <v>30</v>
      </c>
      <c r="L226" s="3" t="s">
        <v>6745</v>
      </c>
      <c r="M226" s="3" t="str">
        <f>HYPERLINK("http://ictvonline.org/taxonomyHistory.asp?taxnode_id=20150285","ICTVonline=20150285")</f>
        <v>ICTVonline=20150285</v>
      </c>
    </row>
    <row r="227" spans="1:13" x14ac:dyDescent="0.15">
      <c r="A227" s="1" t="s">
        <v>1393</v>
      </c>
      <c r="B227" s="1" t="s">
        <v>927</v>
      </c>
      <c r="C227" s="1" t="s">
        <v>679</v>
      </c>
      <c r="D227" s="1" t="s">
        <v>3751</v>
      </c>
      <c r="E227" s="1" t="s">
        <v>3752</v>
      </c>
      <c r="F227" s="3">
        <v>1</v>
      </c>
      <c r="I227" s="24" t="s">
        <v>2965</v>
      </c>
      <c r="J227" s="24" t="s">
        <v>2923</v>
      </c>
      <c r="K227" s="3">
        <v>30</v>
      </c>
      <c r="L227" s="3" t="s">
        <v>6745</v>
      </c>
      <c r="M227" s="3" t="str">
        <f>HYPERLINK("http://ictvonline.org/taxonomyHistory.asp?taxnode_id=20150294","ICTVonline=20150294")</f>
        <v>ICTVonline=20150294</v>
      </c>
    </row>
    <row r="228" spans="1:13" x14ac:dyDescent="0.15">
      <c r="A228" s="1" t="s">
        <v>1393</v>
      </c>
      <c r="B228" s="1" t="s">
        <v>927</v>
      </c>
      <c r="C228" s="1" t="s">
        <v>679</v>
      </c>
      <c r="D228" s="1" t="s">
        <v>3751</v>
      </c>
      <c r="E228" s="1" t="s">
        <v>3753</v>
      </c>
      <c r="F228" s="3">
        <v>0</v>
      </c>
      <c r="I228" s="24" t="s">
        <v>2965</v>
      </c>
      <c r="J228" s="24" t="s">
        <v>2923</v>
      </c>
      <c r="K228" s="3">
        <v>30</v>
      </c>
      <c r="L228" s="3" t="s">
        <v>6745</v>
      </c>
      <c r="M228" s="3" t="str">
        <f>HYPERLINK("http://ictvonline.org/taxonomyHistory.asp?taxnode_id=20150295","ICTVonline=20150295")</f>
        <v>ICTVonline=20150295</v>
      </c>
    </row>
    <row r="229" spans="1:13" x14ac:dyDescent="0.15">
      <c r="A229" s="1" t="s">
        <v>1393</v>
      </c>
      <c r="B229" s="1" t="s">
        <v>927</v>
      </c>
      <c r="C229" s="1" t="s">
        <v>679</v>
      </c>
      <c r="D229" s="1" t="s">
        <v>3755</v>
      </c>
      <c r="E229" s="1" t="s">
        <v>3756</v>
      </c>
      <c r="F229" s="3">
        <v>0</v>
      </c>
      <c r="I229" s="24" t="s">
        <v>2965</v>
      </c>
      <c r="J229" s="24" t="s">
        <v>2923</v>
      </c>
      <c r="K229" s="3">
        <v>30</v>
      </c>
      <c r="L229" s="3" t="s">
        <v>6745</v>
      </c>
      <c r="M229" s="3" t="str">
        <f>HYPERLINK("http://ictvonline.org/taxonomyHistory.asp?taxnode_id=20150297","ICTVonline=20150297")</f>
        <v>ICTVonline=20150297</v>
      </c>
    </row>
    <row r="230" spans="1:13" x14ac:dyDescent="0.15">
      <c r="A230" s="1" t="s">
        <v>1393</v>
      </c>
      <c r="B230" s="1" t="s">
        <v>927</v>
      </c>
      <c r="C230" s="1" t="s">
        <v>679</v>
      </c>
      <c r="D230" s="1" t="s">
        <v>3755</v>
      </c>
      <c r="E230" s="1" t="s">
        <v>3757</v>
      </c>
      <c r="F230" s="3">
        <v>0</v>
      </c>
      <c r="I230" s="24" t="s">
        <v>2965</v>
      </c>
      <c r="J230" s="24" t="s">
        <v>2923</v>
      </c>
      <c r="K230" s="3">
        <v>30</v>
      </c>
      <c r="L230" s="3" t="s">
        <v>6745</v>
      </c>
      <c r="M230" s="3" t="str">
        <f>HYPERLINK("http://ictvonline.org/taxonomyHistory.asp?taxnode_id=20150298","ICTVonline=20150298")</f>
        <v>ICTVonline=20150298</v>
      </c>
    </row>
    <row r="231" spans="1:13" x14ac:dyDescent="0.15">
      <c r="A231" s="1" t="s">
        <v>1393</v>
      </c>
      <c r="B231" s="1" t="s">
        <v>927</v>
      </c>
      <c r="C231" s="1" t="s">
        <v>679</v>
      </c>
      <c r="D231" s="1" t="s">
        <v>3755</v>
      </c>
      <c r="E231" s="1" t="s">
        <v>3758</v>
      </c>
      <c r="F231" s="3">
        <v>1</v>
      </c>
      <c r="I231" s="24" t="s">
        <v>2965</v>
      </c>
      <c r="J231" s="24" t="s">
        <v>2923</v>
      </c>
      <c r="K231" s="3">
        <v>30</v>
      </c>
      <c r="L231" s="3" t="s">
        <v>6745</v>
      </c>
      <c r="M231" s="3" t="str">
        <f>HYPERLINK("http://ictvonline.org/taxonomyHistory.asp?taxnode_id=20150299","ICTVonline=20150299")</f>
        <v>ICTVonline=20150299</v>
      </c>
    </row>
    <row r="232" spans="1:13" x14ac:dyDescent="0.15">
      <c r="A232" s="1" t="s">
        <v>1393</v>
      </c>
      <c r="B232" s="1" t="s">
        <v>927</v>
      </c>
      <c r="C232" s="1" t="s">
        <v>679</v>
      </c>
      <c r="D232" s="1" t="s">
        <v>3755</v>
      </c>
      <c r="E232" s="1" t="s">
        <v>3759</v>
      </c>
      <c r="F232" s="3">
        <v>0</v>
      </c>
      <c r="I232" s="24" t="s">
        <v>2965</v>
      </c>
      <c r="J232" s="24" t="s">
        <v>2923</v>
      </c>
      <c r="K232" s="3">
        <v>30</v>
      </c>
      <c r="L232" s="3" t="s">
        <v>6745</v>
      </c>
      <c r="M232" s="3" t="str">
        <f>HYPERLINK("http://ictvonline.org/taxonomyHistory.asp?taxnode_id=20150300","ICTVonline=20150300")</f>
        <v>ICTVonline=20150300</v>
      </c>
    </row>
    <row r="233" spans="1:13" x14ac:dyDescent="0.15">
      <c r="A233" s="1" t="s">
        <v>1393</v>
      </c>
      <c r="B233" s="1" t="s">
        <v>927</v>
      </c>
      <c r="C233" s="1" t="s">
        <v>679</v>
      </c>
      <c r="D233" s="1" t="s">
        <v>934</v>
      </c>
      <c r="E233" s="1" t="s">
        <v>3760</v>
      </c>
      <c r="F233" s="3">
        <v>0</v>
      </c>
      <c r="I233" s="24" t="s">
        <v>2965</v>
      </c>
      <c r="J233" s="24" t="s">
        <v>2924</v>
      </c>
      <c r="K233" s="3">
        <v>30</v>
      </c>
      <c r="L233" s="3" t="s">
        <v>6745</v>
      </c>
      <c r="M233" s="3" t="str">
        <f>HYPERLINK("http://ictvonline.org/taxonomyHistory.asp?taxnode_id=20150302","ICTVonline=20150302")</f>
        <v>ICTVonline=20150302</v>
      </c>
    </row>
    <row r="234" spans="1:13" x14ac:dyDescent="0.15">
      <c r="A234" s="1" t="s">
        <v>1393</v>
      </c>
      <c r="B234" s="1" t="s">
        <v>927</v>
      </c>
      <c r="C234" s="1" t="s">
        <v>679</v>
      </c>
      <c r="D234" s="1" t="s">
        <v>934</v>
      </c>
      <c r="E234" s="1" t="s">
        <v>3761</v>
      </c>
      <c r="F234" s="3">
        <v>0</v>
      </c>
      <c r="I234" s="24" t="s">
        <v>2965</v>
      </c>
      <c r="J234" s="24" t="s">
        <v>2924</v>
      </c>
      <c r="K234" s="3">
        <v>30</v>
      </c>
      <c r="L234" s="3" t="s">
        <v>6745</v>
      </c>
      <c r="M234" s="3" t="str">
        <f>HYPERLINK("http://ictvonline.org/taxonomyHistory.asp?taxnode_id=20150303","ICTVonline=20150303")</f>
        <v>ICTVonline=20150303</v>
      </c>
    </row>
    <row r="235" spans="1:13" x14ac:dyDescent="0.15">
      <c r="A235" s="1" t="s">
        <v>1393</v>
      </c>
      <c r="B235" s="1" t="s">
        <v>927</v>
      </c>
      <c r="C235" s="1" t="s">
        <v>679</v>
      </c>
      <c r="D235" s="1" t="s">
        <v>934</v>
      </c>
      <c r="E235" s="1" t="s">
        <v>3762</v>
      </c>
      <c r="F235" s="3">
        <v>0</v>
      </c>
      <c r="I235" s="24" t="s">
        <v>2965</v>
      </c>
      <c r="J235" s="24" t="s">
        <v>2924</v>
      </c>
      <c r="K235" s="3">
        <v>30</v>
      </c>
      <c r="L235" s="3" t="s">
        <v>6745</v>
      </c>
      <c r="M235" s="3" t="str">
        <f>HYPERLINK("http://ictvonline.org/taxonomyHistory.asp?taxnode_id=20150304","ICTVonline=20150304")</f>
        <v>ICTVonline=20150304</v>
      </c>
    </row>
    <row r="236" spans="1:13" x14ac:dyDescent="0.15">
      <c r="A236" s="1" t="s">
        <v>1393</v>
      </c>
      <c r="B236" s="1" t="s">
        <v>927</v>
      </c>
      <c r="D236" s="1" t="s">
        <v>2792</v>
      </c>
      <c r="E236" s="1" t="s">
        <v>3763</v>
      </c>
      <c r="F236" s="3">
        <v>1</v>
      </c>
      <c r="G236" s="24" t="s">
        <v>2966</v>
      </c>
      <c r="I236" s="24" t="s">
        <v>2965</v>
      </c>
      <c r="J236" s="24" t="s">
        <v>2924</v>
      </c>
      <c r="K236" s="3">
        <v>30</v>
      </c>
      <c r="L236" s="3" t="s">
        <v>6745</v>
      </c>
      <c r="M236" s="3" t="str">
        <f>HYPERLINK("http://ictvonline.org/taxonomyHistory.asp?taxnode_id=20150307","ICTVonline=20150307")</f>
        <v>ICTVonline=20150307</v>
      </c>
    </row>
    <row r="237" spans="1:13" x14ac:dyDescent="0.15">
      <c r="A237" s="1" t="s">
        <v>1393</v>
      </c>
      <c r="B237" s="1" t="s">
        <v>927</v>
      </c>
      <c r="D237" s="1" t="s">
        <v>2792</v>
      </c>
      <c r="E237" s="1" t="s">
        <v>3764</v>
      </c>
      <c r="F237" s="3">
        <v>0</v>
      </c>
      <c r="G237" s="24" t="s">
        <v>2967</v>
      </c>
      <c r="I237" s="24" t="s">
        <v>2965</v>
      </c>
      <c r="J237" s="24" t="s">
        <v>2924</v>
      </c>
      <c r="K237" s="3">
        <v>30</v>
      </c>
      <c r="L237" s="3" t="s">
        <v>6745</v>
      </c>
      <c r="M237" s="3" t="str">
        <f>HYPERLINK("http://ictvonline.org/taxonomyHistory.asp?taxnode_id=20150308","ICTVonline=20150308")</f>
        <v>ICTVonline=20150308</v>
      </c>
    </row>
    <row r="238" spans="1:13" x14ac:dyDescent="0.15">
      <c r="A238" s="1" t="s">
        <v>1393</v>
      </c>
      <c r="B238" s="1" t="s">
        <v>927</v>
      </c>
      <c r="D238" s="1" t="s">
        <v>2792</v>
      </c>
      <c r="E238" s="1" t="s">
        <v>3765</v>
      </c>
      <c r="F238" s="3">
        <v>0</v>
      </c>
      <c r="G238" s="24" t="s">
        <v>2968</v>
      </c>
      <c r="I238" s="24" t="s">
        <v>2965</v>
      </c>
      <c r="J238" s="24" t="s">
        <v>2924</v>
      </c>
      <c r="K238" s="3">
        <v>30</v>
      </c>
      <c r="L238" s="3" t="s">
        <v>6745</v>
      </c>
      <c r="M238" s="3" t="str">
        <f>HYPERLINK("http://ictvonline.org/taxonomyHistory.asp?taxnode_id=20150309","ICTVonline=20150309")</f>
        <v>ICTVonline=20150309</v>
      </c>
    </row>
    <row r="239" spans="1:13" x14ac:dyDescent="0.15">
      <c r="A239" s="1" t="s">
        <v>1393</v>
      </c>
      <c r="B239" s="1" t="s">
        <v>927</v>
      </c>
      <c r="D239" s="1" t="s">
        <v>2792</v>
      </c>
      <c r="E239" s="1" t="s">
        <v>3766</v>
      </c>
      <c r="F239" s="3">
        <v>0</v>
      </c>
      <c r="G239" s="24" t="s">
        <v>2969</v>
      </c>
      <c r="I239" s="24" t="s">
        <v>2965</v>
      </c>
      <c r="J239" s="24" t="s">
        <v>2924</v>
      </c>
      <c r="K239" s="3">
        <v>30</v>
      </c>
      <c r="L239" s="3" t="s">
        <v>6745</v>
      </c>
      <c r="M239" s="3" t="str">
        <f>HYPERLINK("http://ictvonline.org/taxonomyHistory.asp?taxnode_id=20150310","ICTVonline=20150310")</f>
        <v>ICTVonline=20150310</v>
      </c>
    </row>
    <row r="240" spans="1:13" x14ac:dyDescent="0.15">
      <c r="A240" s="1" t="s">
        <v>1393</v>
      </c>
      <c r="B240" s="1" t="s">
        <v>927</v>
      </c>
      <c r="D240" s="1" t="s">
        <v>3767</v>
      </c>
      <c r="E240" s="1" t="s">
        <v>3768</v>
      </c>
      <c r="F240" s="3">
        <v>1</v>
      </c>
      <c r="I240" s="24" t="s">
        <v>2965</v>
      </c>
      <c r="J240" s="24" t="s">
        <v>2923</v>
      </c>
      <c r="K240" s="3">
        <v>30</v>
      </c>
      <c r="L240" s="3" t="s">
        <v>6745</v>
      </c>
      <c r="M240" s="3" t="str">
        <f>HYPERLINK("http://ictvonline.org/taxonomyHistory.asp?taxnode_id=20150312","ICTVonline=20150312")</f>
        <v>ICTVonline=20150312</v>
      </c>
    </row>
    <row r="241" spans="1:13" x14ac:dyDescent="0.15">
      <c r="A241" s="1" t="s">
        <v>1393</v>
      </c>
      <c r="B241" s="1" t="s">
        <v>927</v>
      </c>
      <c r="D241" s="1" t="s">
        <v>3767</v>
      </c>
      <c r="E241" s="1" t="s">
        <v>3769</v>
      </c>
      <c r="F241" s="3">
        <v>0</v>
      </c>
      <c r="I241" s="24" t="s">
        <v>2965</v>
      </c>
      <c r="J241" s="24" t="s">
        <v>2923</v>
      </c>
      <c r="K241" s="3">
        <v>30</v>
      </c>
      <c r="L241" s="3" t="s">
        <v>6745</v>
      </c>
      <c r="M241" s="3" t="str">
        <f>HYPERLINK("http://ictvonline.org/taxonomyHistory.asp?taxnode_id=20150313","ICTVonline=20150313")</f>
        <v>ICTVonline=20150313</v>
      </c>
    </row>
    <row r="242" spans="1:13" x14ac:dyDescent="0.15">
      <c r="A242" s="1" t="s">
        <v>1393</v>
      </c>
      <c r="B242" s="1" t="s">
        <v>927</v>
      </c>
      <c r="D242" s="1" t="s">
        <v>3770</v>
      </c>
      <c r="E242" s="1" t="s">
        <v>3771</v>
      </c>
      <c r="F242" s="3">
        <v>1</v>
      </c>
      <c r="G242" s="24" t="s">
        <v>7283</v>
      </c>
      <c r="H242" s="24" t="s">
        <v>3772</v>
      </c>
      <c r="I242" s="24" t="s">
        <v>2965</v>
      </c>
      <c r="J242" s="24" t="s">
        <v>2919</v>
      </c>
      <c r="K242" s="3">
        <v>30</v>
      </c>
      <c r="L242" s="3" t="s">
        <v>6772</v>
      </c>
      <c r="M242" s="3" t="str">
        <f>HYPERLINK("http://ictvonline.org/taxonomyHistory.asp?taxnode_id=20150361","ICTVonline=20150361")</f>
        <v>ICTVonline=20150361</v>
      </c>
    </row>
    <row r="243" spans="1:13" x14ac:dyDescent="0.15">
      <c r="A243" s="1" t="s">
        <v>1393</v>
      </c>
      <c r="B243" s="1" t="s">
        <v>927</v>
      </c>
      <c r="D243" s="1" t="s">
        <v>3770</v>
      </c>
      <c r="E243" s="1" t="s">
        <v>3773</v>
      </c>
      <c r="F243" s="3">
        <v>0</v>
      </c>
      <c r="G243" s="24" t="s">
        <v>7284</v>
      </c>
      <c r="H243" s="24" t="s">
        <v>3774</v>
      </c>
      <c r="I243" s="24" t="s">
        <v>2965</v>
      </c>
      <c r="J243" s="24" t="s">
        <v>2919</v>
      </c>
      <c r="K243" s="3">
        <v>30</v>
      </c>
      <c r="L243" s="3" t="s">
        <v>6772</v>
      </c>
      <c r="M243" s="3" t="str">
        <f>HYPERLINK("http://ictvonline.org/taxonomyHistory.asp?taxnode_id=20150362","ICTVonline=20150362")</f>
        <v>ICTVonline=20150362</v>
      </c>
    </row>
    <row r="244" spans="1:13" x14ac:dyDescent="0.15">
      <c r="A244" s="1" t="s">
        <v>1393</v>
      </c>
      <c r="B244" s="1" t="s">
        <v>927</v>
      </c>
      <c r="D244" s="1" t="s">
        <v>3775</v>
      </c>
      <c r="E244" s="1" t="s">
        <v>3776</v>
      </c>
      <c r="F244" s="3">
        <v>0</v>
      </c>
      <c r="I244" s="24" t="s">
        <v>2965</v>
      </c>
      <c r="J244" s="24" t="s">
        <v>2923</v>
      </c>
      <c r="K244" s="3">
        <v>30</v>
      </c>
      <c r="L244" s="3" t="s">
        <v>6745</v>
      </c>
      <c r="M244" s="3" t="str">
        <f>HYPERLINK("http://ictvonline.org/taxonomyHistory.asp?taxnode_id=20150315","ICTVonline=20150315")</f>
        <v>ICTVonline=20150315</v>
      </c>
    </row>
    <row r="245" spans="1:13" x14ac:dyDescent="0.15">
      <c r="A245" s="1" t="s">
        <v>1393</v>
      </c>
      <c r="B245" s="1" t="s">
        <v>927</v>
      </c>
      <c r="D245" s="1" t="s">
        <v>3775</v>
      </c>
      <c r="E245" s="1" t="s">
        <v>3777</v>
      </c>
      <c r="F245" s="3">
        <v>1</v>
      </c>
      <c r="I245" s="24" t="s">
        <v>2965</v>
      </c>
      <c r="J245" s="24" t="s">
        <v>2923</v>
      </c>
      <c r="K245" s="3">
        <v>30</v>
      </c>
      <c r="L245" s="3" t="s">
        <v>6745</v>
      </c>
      <c r="M245" s="3" t="str">
        <f>HYPERLINK("http://ictvonline.org/taxonomyHistory.asp?taxnode_id=20150316","ICTVonline=20150316")</f>
        <v>ICTVonline=20150316</v>
      </c>
    </row>
    <row r="246" spans="1:13" x14ac:dyDescent="0.15">
      <c r="A246" s="1" t="s">
        <v>1393</v>
      </c>
      <c r="B246" s="1" t="s">
        <v>927</v>
      </c>
      <c r="D246" s="1" t="s">
        <v>3778</v>
      </c>
      <c r="E246" s="1" t="s">
        <v>3779</v>
      </c>
      <c r="F246" s="3">
        <v>1</v>
      </c>
      <c r="G246" s="24" t="s">
        <v>2970</v>
      </c>
      <c r="I246" s="24" t="s">
        <v>2965</v>
      </c>
      <c r="J246" s="24" t="s">
        <v>2947</v>
      </c>
      <c r="K246" s="3">
        <v>30</v>
      </c>
      <c r="L246" s="3" t="s">
        <v>6773</v>
      </c>
      <c r="M246" s="3" t="str">
        <f>HYPERLINK("http://ictvonline.org/taxonomyHistory.asp?taxnode_id=20150318","ICTVonline=20150318")</f>
        <v>ICTVonline=20150318</v>
      </c>
    </row>
    <row r="247" spans="1:13" x14ac:dyDescent="0.15">
      <c r="A247" s="1" t="s">
        <v>1393</v>
      </c>
      <c r="B247" s="1" t="s">
        <v>927</v>
      </c>
      <c r="D247" s="1" t="s">
        <v>3778</v>
      </c>
      <c r="E247" s="1" t="s">
        <v>3780</v>
      </c>
      <c r="F247" s="3">
        <v>0</v>
      </c>
      <c r="G247" s="24" t="s">
        <v>2971</v>
      </c>
      <c r="I247" s="24" t="s">
        <v>2965</v>
      </c>
      <c r="J247" s="24" t="s">
        <v>2923</v>
      </c>
      <c r="K247" s="3">
        <v>30</v>
      </c>
      <c r="L247" s="3" t="s">
        <v>6745</v>
      </c>
      <c r="M247" s="3" t="str">
        <f>HYPERLINK("http://ictvonline.org/taxonomyHistory.asp?taxnode_id=20150319","ICTVonline=20150319")</f>
        <v>ICTVonline=20150319</v>
      </c>
    </row>
    <row r="248" spans="1:13" x14ac:dyDescent="0.15">
      <c r="A248" s="1" t="s">
        <v>1393</v>
      </c>
      <c r="B248" s="1" t="s">
        <v>927</v>
      </c>
      <c r="D248" s="1" t="s">
        <v>3785</v>
      </c>
      <c r="E248" s="1" t="s">
        <v>3786</v>
      </c>
      <c r="F248" s="3">
        <v>0</v>
      </c>
      <c r="G248" s="24" t="s">
        <v>7285</v>
      </c>
      <c r="H248" s="24" t="s">
        <v>3787</v>
      </c>
      <c r="I248" s="24" t="s">
        <v>2965</v>
      </c>
      <c r="J248" s="24" t="s">
        <v>2919</v>
      </c>
      <c r="K248" s="3">
        <v>30</v>
      </c>
      <c r="L248" s="3" t="s">
        <v>6774</v>
      </c>
      <c r="M248" s="3" t="str">
        <f>HYPERLINK("http://ictvonline.org/taxonomyHistory.asp?taxnode_id=20150348","ICTVonline=20150348")</f>
        <v>ICTVonline=20150348</v>
      </c>
    </row>
    <row r="249" spans="1:13" x14ac:dyDescent="0.15">
      <c r="A249" s="1" t="s">
        <v>1393</v>
      </c>
      <c r="B249" s="1" t="s">
        <v>927</v>
      </c>
      <c r="D249" s="1" t="s">
        <v>3785</v>
      </c>
      <c r="E249" s="1" t="s">
        <v>3788</v>
      </c>
      <c r="F249" s="3">
        <v>0</v>
      </c>
      <c r="G249" s="24" t="s">
        <v>7286</v>
      </c>
      <c r="H249" s="24" t="s">
        <v>3789</v>
      </c>
      <c r="I249" s="24" t="s">
        <v>2965</v>
      </c>
      <c r="J249" s="24" t="s">
        <v>2919</v>
      </c>
      <c r="K249" s="3">
        <v>30</v>
      </c>
      <c r="L249" s="3" t="s">
        <v>6774</v>
      </c>
      <c r="M249" s="3" t="str">
        <f>HYPERLINK("http://ictvonline.org/taxonomyHistory.asp?taxnode_id=20150347","ICTVonline=20150347")</f>
        <v>ICTVonline=20150347</v>
      </c>
    </row>
    <row r="250" spans="1:13" x14ac:dyDescent="0.15">
      <c r="A250" s="1" t="s">
        <v>1393</v>
      </c>
      <c r="B250" s="1" t="s">
        <v>927</v>
      </c>
      <c r="D250" s="1" t="s">
        <v>3785</v>
      </c>
      <c r="E250" s="1" t="s">
        <v>3790</v>
      </c>
      <c r="F250" s="3">
        <v>0</v>
      </c>
      <c r="G250" s="24" t="s">
        <v>7287</v>
      </c>
      <c r="H250" s="24" t="s">
        <v>3791</v>
      </c>
      <c r="I250" s="24" t="s">
        <v>2965</v>
      </c>
      <c r="J250" s="24" t="s">
        <v>2919</v>
      </c>
      <c r="K250" s="3">
        <v>30</v>
      </c>
      <c r="L250" s="3" t="s">
        <v>6774</v>
      </c>
      <c r="M250" s="3" t="str">
        <f>HYPERLINK("http://ictvonline.org/taxonomyHistory.asp?taxnode_id=20150349","ICTVonline=20150349")</f>
        <v>ICTVonline=20150349</v>
      </c>
    </row>
    <row r="251" spans="1:13" x14ac:dyDescent="0.15">
      <c r="A251" s="1" t="s">
        <v>1393</v>
      </c>
      <c r="B251" s="1" t="s">
        <v>927</v>
      </c>
      <c r="D251" s="1" t="s">
        <v>3785</v>
      </c>
      <c r="E251" s="1" t="s">
        <v>3792</v>
      </c>
      <c r="F251" s="3">
        <v>0</v>
      </c>
      <c r="G251" s="24" t="s">
        <v>7288</v>
      </c>
      <c r="H251" s="24" t="s">
        <v>3793</v>
      </c>
      <c r="I251" s="24" t="s">
        <v>2965</v>
      </c>
      <c r="J251" s="24" t="s">
        <v>2919</v>
      </c>
      <c r="K251" s="3">
        <v>30</v>
      </c>
      <c r="L251" s="3" t="s">
        <v>6774</v>
      </c>
      <c r="M251" s="3" t="str">
        <f>HYPERLINK("http://ictvonline.org/taxonomyHistory.asp?taxnode_id=20150352","ICTVonline=20150352")</f>
        <v>ICTVonline=20150352</v>
      </c>
    </row>
    <row r="252" spans="1:13" x14ac:dyDescent="0.15">
      <c r="A252" s="1" t="s">
        <v>1393</v>
      </c>
      <c r="B252" s="1" t="s">
        <v>927</v>
      </c>
      <c r="D252" s="1" t="s">
        <v>3785</v>
      </c>
      <c r="E252" s="1" t="s">
        <v>3794</v>
      </c>
      <c r="F252" s="3">
        <v>0</v>
      </c>
      <c r="G252" s="24" t="s">
        <v>7289</v>
      </c>
      <c r="H252" s="24" t="s">
        <v>3795</v>
      </c>
      <c r="I252" s="24" t="s">
        <v>2965</v>
      </c>
      <c r="J252" s="24" t="s">
        <v>2919</v>
      </c>
      <c r="K252" s="3">
        <v>30</v>
      </c>
      <c r="L252" s="3" t="s">
        <v>6774</v>
      </c>
      <c r="M252" s="3" t="str">
        <f>HYPERLINK("http://ictvonline.org/taxonomyHistory.asp?taxnode_id=20150350","ICTVonline=20150350")</f>
        <v>ICTVonline=20150350</v>
      </c>
    </row>
    <row r="253" spans="1:13" x14ac:dyDescent="0.15">
      <c r="A253" s="1" t="s">
        <v>1393</v>
      </c>
      <c r="B253" s="1" t="s">
        <v>927</v>
      </c>
      <c r="D253" s="1" t="s">
        <v>3785</v>
      </c>
      <c r="E253" s="1" t="s">
        <v>3796</v>
      </c>
      <c r="F253" s="3">
        <v>1</v>
      </c>
      <c r="G253" s="24" t="s">
        <v>7290</v>
      </c>
      <c r="H253" s="24" t="s">
        <v>3797</v>
      </c>
      <c r="I253" s="24" t="s">
        <v>2965</v>
      </c>
      <c r="J253" s="24" t="s">
        <v>2919</v>
      </c>
      <c r="K253" s="3">
        <v>30</v>
      </c>
      <c r="L253" s="3" t="s">
        <v>6774</v>
      </c>
      <c r="M253" s="3" t="str">
        <f>HYPERLINK("http://ictvonline.org/taxonomyHistory.asp?taxnode_id=20150346","ICTVonline=20150346")</f>
        <v>ICTVonline=20150346</v>
      </c>
    </row>
    <row r="254" spans="1:13" x14ac:dyDescent="0.15">
      <c r="A254" s="1" t="s">
        <v>1393</v>
      </c>
      <c r="B254" s="1" t="s">
        <v>927</v>
      </c>
      <c r="D254" s="1" t="s">
        <v>3785</v>
      </c>
      <c r="E254" s="1" t="s">
        <v>3798</v>
      </c>
      <c r="F254" s="3">
        <v>0</v>
      </c>
      <c r="G254" s="24" t="s">
        <v>7291</v>
      </c>
      <c r="H254" s="24" t="s">
        <v>3799</v>
      </c>
      <c r="I254" s="24" t="s">
        <v>2965</v>
      </c>
      <c r="J254" s="24" t="s">
        <v>2919</v>
      </c>
      <c r="K254" s="3">
        <v>30</v>
      </c>
      <c r="L254" s="3" t="s">
        <v>6774</v>
      </c>
      <c r="M254" s="3" t="str">
        <f>HYPERLINK("http://ictvonline.org/taxonomyHistory.asp?taxnode_id=20150351","ICTVonline=20150351")</f>
        <v>ICTVonline=20150351</v>
      </c>
    </row>
    <row r="255" spans="1:13" x14ac:dyDescent="0.15">
      <c r="A255" s="1" t="s">
        <v>1393</v>
      </c>
      <c r="B255" s="1" t="s">
        <v>927</v>
      </c>
      <c r="D255" s="1" t="s">
        <v>3785</v>
      </c>
      <c r="E255" s="1" t="s">
        <v>3800</v>
      </c>
      <c r="F255" s="3">
        <v>0</v>
      </c>
      <c r="G255" s="24" t="s">
        <v>7292</v>
      </c>
      <c r="H255" s="24" t="s">
        <v>3801</v>
      </c>
      <c r="I255" s="24" t="s">
        <v>2965</v>
      </c>
      <c r="J255" s="24" t="s">
        <v>2919</v>
      </c>
      <c r="K255" s="3">
        <v>30</v>
      </c>
      <c r="L255" s="3" t="s">
        <v>6774</v>
      </c>
      <c r="M255" s="3" t="str">
        <f>HYPERLINK("http://ictvonline.org/taxonomyHistory.asp?taxnode_id=20150353","ICTVonline=20150353")</f>
        <v>ICTVonline=20150353</v>
      </c>
    </row>
    <row r="256" spans="1:13" x14ac:dyDescent="0.15">
      <c r="A256" s="1" t="s">
        <v>1393</v>
      </c>
      <c r="B256" s="1" t="s">
        <v>927</v>
      </c>
      <c r="D256" s="1" t="s">
        <v>3802</v>
      </c>
      <c r="E256" s="1" t="s">
        <v>3803</v>
      </c>
      <c r="F256" s="3">
        <v>0</v>
      </c>
      <c r="G256" s="24" t="s">
        <v>7293</v>
      </c>
      <c r="H256" s="24" t="s">
        <v>3804</v>
      </c>
      <c r="I256" s="24" t="s">
        <v>2965</v>
      </c>
      <c r="J256" s="24" t="s">
        <v>2919</v>
      </c>
      <c r="K256" s="3">
        <v>30</v>
      </c>
      <c r="L256" s="3" t="s">
        <v>6775</v>
      </c>
      <c r="M256" s="3" t="str">
        <f>HYPERLINK("http://ictvonline.org/taxonomyHistory.asp?taxnode_id=20150366","ICTVonline=20150366")</f>
        <v>ICTVonline=20150366</v>
      </c>
    </row>
    <row r="257" spans="1:13" x14ac:dyDescent="0.15">
      <c r="A257" s="1" t="s">
        <v>1393</v>
      </c>
      <c r="B257" s="1" t="s">
        <v>927</v>
      </c>
      <c r="D257" s="1" t="s">
        <v>3802</v>
      </c>
      <c r="E257" s="1" t="s">
        <v>3805</v>
      </c>
      <c r="F257" s="3">
        <v>1</v>
      </c>
      <c r="G257" s="24" t="s">
        <v>7294</v>
      </c>
      <c r="H257" s="24" t="s">
        <v>3806</v>
      </c>
      <c r="I257" s="24" t="s">
        <v>2965</v>
      </c>
      <c r="J257" s="24" t="s">
        <v>2919</v>
      </c>
      <c r="K257" s="3">
        <v>30</v>
      </c>
      <c r="L257" s="3" t="s">
        <v>6775</v>
      </c>
      <c r="M257" s="3" t="str">
        <f>HYPERLINK("http://ictvonline.org/taxonomyHistory.asp?taxnode_id=20150364","ICTVonline=20150364")</f>
        <v>ICTVonline=20150364</v>
      </c>
    </row>
    <row r="258" spans="1:13" x14ac:dyDescent="0.15">
      <c r="A258" s="1" t="s">
        <v>1393</v>
      </c>
      <c r="B258" s="1" t="s">
        <v>927</v>
      </c>
      <c r="D258" s="1" t="s">
        <v>3802</v>
      </c>
      <c r="E258" s="1" t="s">
        <v>3807</v>
      </c>
      <c r="F258" s="3">
        <v>0</v>
      </c>
      <c r="G258" s="24" t="s">
        <v>7295</v>
      </c>
      <c r="H258" s="24" t="s">
        <v>3808</v>
      </c>
      <c r="I258" s="24" t="s">
        <v>2965</v>
      </c>
      <c r="J258" s="24" t="s">
        <v>2919</v>
      </c>
      <c r="K258" s="3">
        <v>30</v>
      </c>
      <c r="L258" s="3" t="s">
        <v>6775</v>
      </c>
      <c r="M258" s="3" t="str">
        <f>HYPERLINK("http://ictvonline.org/taxonomyHistory.asp?taxnode_id=20150365","ICTVonline=20150365")</f>
        <v>ICTVonline=20150365</v>
      </c>
    </row>
    <row r="259" spans="1:13" x14ac:dyDescent="0.15">
      <c r="A259" s="1" t="s">
        <v>1393</v>
      </c>
      <c r="B259" s="1" t="s">
        <v>927</v>
      </c>
      <c r="D259" s="1" t="s">
        <v>3809</v>
      </c>
      <c r="E259" s="1" t="s">
        <v>3810</v>
      </c>
      <c r="F259" s="3">
        <v>0</v>
      </c>
      <c r="G259" s="24" t="s">
        <v>7296</v>
      </c>
      <c r="H259" s="24" t="s">
        <v>3811</v>
      </c>
      <c r="I259" s="24" t="s">
        <v>2965</v>
      </c>
      <c r="J259" s="24" t="s">
        <v>2919</v>
      </c>
      <c r="K259" s="3">
        <v>30</v>
      </c>
      <c r="L259" s="3" t="s">
        <v>6776</v>
      </c>
      <c r="M259" s="3" t="str">
        <f>HYPERLINK("http://ictvonline.org/taxonomyHistory.asp?taxnode_id=20150368","ICTVonline=20150368")</f>
        <v>ICTVonline=20150368</v>
      </c>
    </row>
    <row r="260" spans="1:13" x14ac:dyDescent="0.15">
      <c r="A260" s="1" t="s">
        <v>1393</v>
      </c>
      <c r="B260" s="1" t="s">
        <v>927</v>
      </c>
      <c r="D260" s="1" t="s">
        <v>3809</v>
      </c>
      <c r="E260" s="1" t="s">
        <v>3812</v>
      </c>
      <c r="F260" s="3">
        <v>0</v>
      </c>
      <c r="G260" s="24" t="s">
        <v>7297</v>
      </c>
      <c r="H260" s="24" t="s">
        <v>3813</v>
      </c>
      <c r="I260" s="24" t="s">
        <v>2965</v>
      </c>
      <c r="J260" s="24" t="s">
        <v>2919</v>
      </c>
      <c r="K260" s="3">
        <v>30</v>
      </c>
      <c r="L260" s="3" t="s">
        <v>6776</v>
      </c>
      <c r="M260" s="3" t="str">
        <f>HYPERLINK("http://ictvonline.org/taxonomyHistory.asp?taxnode_id=20150367","ICTVonline=20150367")</f>
        <v>ICTVonline=20150367</v>
      </c>
    </row>
    <row r="261" spans="1:13" x14ac:dyDescent="0.15">
      <c r="A261" s="1" t="s">
        <v>1393</v>
      </c>
      <c r="B261" s="1" t="s">
        <v>927</v>
      </c>
      <c r="D261" s="1" t="s">
        <v>3809</v>
      </c>
      <c r="E261" s="1" t="s">
        <v>3814</v>
      </c>
      <c r="F261" s="3">
        <v>1</v>
      </c>
      <c r="I261" s="24" t="s">
        <v>2965</v>
      </c>
      <c r="J261" s="24" t="s">
        <v>2923</v>
      </c>
      <c r="K261" s="3">
        <v>30</v>
      </c>
      <c r="L261" s="3" t="s">
        <v>6745</v>
      </c>
      <c r="M261" s="3" t="str">
        <f>HYPERLINK("http://ictvonline.org/taxonomyHistory.asp?taxnode_id=20150321","ICTVonline=20150321")</f>
        <v>ICTVonline=20150321</v>
      </c>
    </row>
    <row r="262" spans="1:13" x14ac:dyDescent="0.15">
      <c r="A262" s="1" t="s">
        <v>1393</v>
      </c>
      <c r="B262" s="1" t="s">
        <v>927</v>
      </c>
      <c r="D262" s="1" t="s">
        <v>3809</v>
      </c>
      <c r="E262" s="1" t="s">
        <v>3815</v>
      </c>
      <c r="F262" s="3">
        <v>0</v>
      </c>
      <c r="G262" s="24" t="s">
        <v>7298</v>
      </c>
      <c r="H262" s="24" t="s">
        <v>3816</v>
      </c>
      <c r="I262" s="24" t="s">
        <v>2965</v>
      </c>
      <c r="J262" s="24" t="s">
        <v>2919</v>
      </c>
      <c r="K262" s="3">
        <v>30</v>
      </c>
      <c r="L262" s="3" t="s">
        <v>6776</v>
      </c>
      <c r="M262" s="3" t="str">
        <f>HYPERLINK("http://ictvonline.org/taxonomyHistory.asp?taxnode_id=20150369","ICTVonline=20150369")</f>
        <v>ICTVonline=20150369</v>
      </c>
    </row>
    <row r="263" spans="1:13" x14ac:dyDescent="0.15">
      <c r="A263" s="1" t="s">
        <v>1393</v>
      </c>
      <c r="B263" s="1" t="s">
        <v>927</v>
      </c>
      <c r="D263" s="1" t="s">
        <v>3809</v>
      </c>
      <c r="E263" s="1" t="s">
        <v>3817</v>
      </c>
      <c r="F263" s="3">
        <v>0</v>
      </c>
      <c r="I263" s="24" t="s">
        <v>2965</v>
      </c>
      <c r="J263" s="24" t="s">
        <v>2923</v>
      </c>
      <c r="K263" s="3">
        <v>30</v>
      </c>
      <c r="L263" s="3" t="s">
        <v>6745</v>
      </c>
      <c r="M263" s="3" t="str">
        <f>HYPERLINK("http://ictvonline.org/taxonomyHistory.asp?taxnode_id=20150322","ICTVonline=20150322")</f>
        <v>ICTVonline=20150322</v>
      </c>
    </row>
    <row r="264" spans="1:13" x14ac:dyDescent="0.15">
      <c r="A264" s="1" t="s">
        <v>1393</v>
      </c>
      <c r="B264" s="1" t="s">
        <v>927</v>
      </c>
      <c r="D264" s="1" t="s">
        <v>3809</v>
      </c>
      <c r="E264" s="1" t="s">
        <v>3818</v>
      </c>
      <c r="F264" s="3">
        <v>0</v>
      </c>
      <c r="G264" s="24" t="s">
        <v>7299</v>
      </c>
      <c r="H264" s="24" t="s">
        <v>3819</v>
      </c>
      <c r="I264" s="24" t="s">
        <v>2965</v>
      </c>
      <c r="J264" s="24" t="s">
        <v>2919</v>
      </c>
      <c r="K264" s="3">
        <v>30</v>
      </c>
      <c r="L264" s="3" t="s">
        <v>6776</v>
      </c>
      <c r="M264" s="3" t="str">
        <f>HYPERLINK("http://ictvonline.org/taxonomyHistory.asp?taxnode_id=20150371","ICTVonline=20150371")</f>
        <v>ICTVonline=20150371</v>
      </c>
    </row>
    <row r="265" spans="1:13" x14ac:dyDescent="0.15">
      <c r="A265" s="1" t="s">
        <v>1393</v>
      </c>
      <c r="B265" s="1" t="s">
        <v>927</v>
      </c>
      <c r="D265" s="1" t="s">
        <v>3809</v>
      </c>
      <c r="E265" s="1" t="s">
        <v>3820</v>
      </c>
      <c r="F265" s="3">
        <v>0</v>
      </c>
      <c r="G265" s="24" t="s">
        <v>7300</v>
      </c>
      <c r="H265" s="24" t="s">
        <v>3821</v>
      </c>
      <c r="I265" s="24" t="s">
        <v>2965</v>
      </c>
      <c r="J265" s="24" t="s">
        <v>2919</v>
      </c>
      <c r="K265" s="3">
        <v>30</v>
      </c>
      <c r="L265" s="3" t="s">
        <v>6776</v>
      </c>
      <c r="M265" s="3" t="str">
        <f>HYPERLINK("http://ictvonline.org/taxonomyHistory.asp?taxnode_id=20150370","ICTVonline=20150370")</f>
        <v>ICTVonline=20150370</v>
      </c>
    </row>
    <row r="266" spans="1:13" x14ac:dyDescent="0.15">
      <c r="A266" s="1" t="s">
        <v>1393</v>
      </c>
      <c r="B266" s="1" t="s">
        <v>927</v>
      </c>
      <c r="D266" s="1" t="s">
        <v>3822</v>
      </c>
      <c r="E266" s="1" t="s">
        <v>3823</v>
      </c>
      <c r="F266" s="3">
        <v>1</v>
      </c>
      <c r="I266" s="24" t="s">
        <v>2965</v>
      </c>
      <c r="J266" s="24" t="s">
        <v>2923</v>
      </c>
      <c r="K266" s="3">
        <v>30</v>
      </c>
      <c r="L266" s="3" t="s">
        <v>6745</v>
      </c>
      <c r="M266" s="3" t="str">
        <f>HYPERLINK("http://ictvonline.org/taxonomyHistory.asp?taxnode_id=20150324","ICTVonline=20150324")</f>
        <v>ICTVonline=20150324</v>
      </c>
    </row>
    <row r="267" spans="1:13" x14ac:dyDescent="0.15">
      <c r="A267" s="1" t="s">
        <v>1393</v>
      </c>
      <c r="B267" s="1" t="s">
        <v>927</v>
      </c>
      <c r="D267" s="1" t="s">
        <v>3824</v>
      </c>
      <c r="E267" s="1" t="s">
        <v>3825</v>
      </c>
      <c r="F267" s="3">
        <v>1</v>
      </c>
      <c r="G267" s="24" t="s">
        <v>7301</v>
      </c>
      <c r="H267" s="24" t="s">
        <v>3826</v>
      </c>
      <c r="I267" s="24" t="s">
        <v>2965</v>
      </c>
      <c r="J267" s="24" t="s">
        <v>2919</v>
      </c>
      <c r="K267" s="3">
        <v>30</v>
      </c>
      <c r="L267" s="3" t="s">
        <v>6777</v>
      </c>
      <c r="M267" s="3" t="str">
        <f>HYPERLINK("http://ictvonline.org/taxonomyHistory.asp?taxnode_id=20150373","ICTVonline=20150373")</f>
        <v>ICTVonline=20150373</v>
      </c>
    </row>
    <row r="268" spans="1:13" x14ac:dyDescent="0.15">
      <c r="A268" s="1" t="s">
        <v>1393</v>
      </c>
      <c r="B268" s="1" t="s">
        <v>927</v>
      </c>
      <c r="D268" s="1" t="s">
        <v>3824</v>
      </c>
      <c r="E268" s="1" t="s">
        <v>3827</v>
      </c>
      <c r="F268" s="3">
        <v>0</v>
      </c>
      <c r="G268" s="24" t="s">
        <v>7302</v>
      </c>
      <c r="H268" s="24" t="s">
        <v>3828</v>
      </c>
      <c r="I268" s="24" t="s">
        <v>2965</v>
      </c>
      <c r="J268" s="24" t="s">
        <v>2919</v>
      </c>
      <c r="K268" s="3">
        <v>30</v>
      </c>
      <c r="L268" s="3" t="s">
        <v>6777</v>
      </c>
      <c r="M268" s="3" t="str">
        <f>HYPERLINK("http://ictvonline.org/taxonomyHistory.asp?taxnode_id=20150374","ICTVonline=20150374")</f>
        <v>ICTVonline=20150374</v>
      </c>
    </row>
    <row r="269" spans="1:13" x14ac:dyDescent="0.15">
      <c r="A269" s="1" t="s">
        <v>1393</v>
      </c>
      <c r="B269" s="1" t="s">
        <v>927</v>
      </c>
      <c r="D269" s="1" t="s">
        <v>3829</v>
      </c>
      <c r="E269" s="1" t="s">
        <v>3830</v>
      </c>
      <c r="F269" s="3">
        <v>0</v>
      </c>
      <c r="I269" s="24" t="s">
        <v>2965</v>
      </c>
      <c r="J269" s="24" t="s">
        <v>2923</v>
      </c>
      <c r="K269" s="3">
        <v>30</v>
      </c>
      <c r="L269" s="3" t="s">
        <v>6745</v>
      </c>
      <c r="M269" s="3" t="str">
        <f>HYPERLINK("http://ictvonline.org/taxonomyHistory.asp?taxnode_id=20150327","ICTVonline=20150327")</f>
        <v>ICTVonline=20150327</v>
      </c>
    </row>
    <row r="270" spans="1:13" x14ac:dyDescent="0.15">
      <c r="A270" s="1" t="s">
        <v>1393</v>
      </c>
      <c r="B270" s="1" t="s">
        <v>927</v>
      </c>
      <c r="D270" s="1" t="s">
        <v>3829</v>
      </c>
      <c r="E270" s="1" t="s">
        <v>3831</v>
      </c>
      <c r="F270" s="3">
        <v>1</v>
      </c>
      <c r="I270" s="24" t="s">
        <v>2965</v>
      </c>
      <c r="J270" s="24" t="s">
        <v>2923</v>
      </c>
      <c r="K270" s="3">
        <v>30</v>
      </c>
      <c r="L270" s="3" t="s">
        <v>6745</v>
      </c>
      <c r="M270" s="3" t="str">
        <f>HYPERLINK("http://ictvonline.org/taxonomyHistory.asp?taxnode_id=20150326","ICTVonline=20150326")</f>
        <v>ICTVonline=20150326</v>
      </c>
    </row>
    <row r="271" spans="1:13" x14ac:dyDescent="0.15">
      <c r="A271" s="1" t="s">
        <v>1393</v>
      </c>
      <c r="B271" s="1" t="s">
        <v>927</v>
      </c>
      <c r="D271" s="1" t="s">
        <v>3829</v>
      </c>
      <c r="E271" s="1" t="s">
        <v>3832</v>
      </c>
      <c r="F271" s="3">
        <v>0</v>
      </c>
      <c r="I271" s="24" t="s">
        <v>2965</v>
      </c>
      <c r="J271" s="24" t="s">
        <v>2923</v>
      </c>
      <c r="K271" s="3">
        <v>30</v>
      </c>
      <c r="L271" s="3" t="s">
        <v>6745</v>
      </c>
      <c r="M271" s="3" t="str">
        <f>HYPERLINK("http://ictvonline.org/taxonomyHistory.asp?taxnode_id=20150328","ICTVonline=20150328")</f>
        <v>ICTVonline=20150328</v>
      </c>
    </row>
    <row r="272" spans="1:13" x14ac:dyDescent="0.15">
      <c r="A272" s="1" t="s">
        <v>1393</v>
      </c>
      <c r="B272" s="1" t="s">
        <v>927</v>
      </c>
      <c r="D272" s="1" t="s">
        <v>3829</v>
      </c>
      <c r="E272" s="1" t="s">
        <v>3833</v>
      </c>
      <c r="F272" s="3">
        <v>0</v>
      </c>
      <c r="I272" s="24" t="s">
        <v>2965</v>
      </c>
      <c r="J272" s="24" t="s">
        <v>2923</v>
      </c>
      <c r="K272" s="3">
        <v>30</v>
      </c>
      <c r="L272" s="3" t="s">
        <v>6745</v>
      </c>
      <c r="M272" s="3" t="str">
        <f>HYPERLINK("http://ictvonline.org/taxonomyHistory.asp?taxnode_id=20150329","ICTVonline=20150329")</f>
        <v>ICTVonline=20150329</v>
      </c>
    </row>
    <row r="273" spans="1:13" x14ac:dyDescent="0.15">
      <c r="A273" s="1" t="s">
        <v>1393</v>
      </c>
      <c r="B273" s="1" t="s">
        <v>927</v>
      </c>
      <c r="D273" s="1" t="s">
        <v>3834</v>
      </c>
      <c r="E273" s="1" t="s">
        <v>3835</v>
      </c>
      <c r="F273" s="3">
        <v>1</v>
      </c>
      <c r="G273" s="24" t="s">
        <v>7303</v>
      </c>
      <c r="H273" s="24" t="s">
        <v>3836</v>
      </c>
      <c r="I273" s="24" t="s">
        <v>2965</v>
      </c>
      <c r="J273" s="24" t="s">
        <v>2919</v>
      </c>
      <c r="K273" s="3">
        <v>30</v>
      </c>
      <c r="L273" s="3" t="s">
        <v>6778</v>
      </c>
      <c r="M273" s="3" t="str">
        <f>HYPERLINK("http://ictvonline.org/taxonomyHistory.asp?taxnode_id=20150355","ICTVonline=20150355")</f>
        <v>ICTVonline=20150355</v>
      </c>
    </row>
    <row r="274" spans="1:13" x14ac:dyDescent="0.15">
      <c r="A274" s="1" t="s">
        <v>1393</v>
      </c>
      <c r="B274" s="1" t="s">
        <v>927</v>
      </c>
      <c r="D274" s="1" t="s">
        <v>3834</v>
      </c>
      <c r="E274" s="1" t="s">
        <v>3837</v>
      </c>
      <c r="F274" s="3">
        <v>0</v>
      </c>
      <c r="G274" s="24" t="s">
        <v>7304</v>
      </c>
      <c r="H274" s="24" t="s">
        <v>3838</v>
      </c>
      <c r="I274" s="24" t="s">
        <v>2965</v>
      </c>
      <c r="J274" s="24" t="s">
        <v>2919</v>
      </c>
      <c r="K274" s="3">
        <v>30</v>
      </c>
      <c r="L274" s="3" t="s">
        <v>6778</v>
      </c>
      <c r="M274" s="3" t="str">
        <f>HYPERLINK("http://ictvonline.org/taxonomyHistory.asp?taxnode_id=20150358","ICTVonline=20150358")</f>
        <v>ICTVonline=20150358</v>
      </c>
    </row>
    <row r="275" spans="1:13" x14ac:dyDescent="0.15">
      <c r="A275" s="1" t="s">
        <v>1393</v>
      </c>
      <c r="B275" s="1" t="s">
        <v>927</v>
      </c>
      <c r="D275" s="1" t="s">
        <v>3834</v>
      </c>
      <c r="E275" s="1" t="s">
        <v>3839</v>
      </c>
      <c r="F275" s="3">
        <v>0</v>
      </c>
      <c r="G275" s="24" t="s">
        <v>7305</v>
      </c>
      <c r="H275" s="24" t="s">
        <v>3840</v>
      </c>
      <c r="I275" s="24" t="s">
        <v>2965</v>
      </c>
      <c r="J275" s="24" t="s">
        <v>2919</v>
      </c>
      <c r="K275" s="3">
        <v>30</v>
      </c>
      <c r="L275" s="3" t="s">
        <v>6778</v>
      </c>
      <c r="M275" s="3" t="str">
        <f>HYPERLINK("http://ictvonline.org/taxonomyHistory.asp?taxnode_id=20150359","ICTVonline=20150359")</f>
        <v>ICTVonline=20150359</v>
      </c>
    </row>
    <row r="276" spans="1:13" x14ac:dyDescent="0.15">
      <c r="A276" s="1" t="s">
        <v>1393</v>
      </c>
      <c r="B276" s="1" t="s">
        <v>927</v>
      </c>
      <c r="D276" s="1" t="s">
        <v>3834</v>
      </c>
      <c r="E276" s="1" t="s">
        <v>3841</v>
      </c>
      <c r="F276" s="3">
        <v>0</v>
      </c>
      <c r="G276" s="24" t="s">
        <v>7306</v>
      </c>
      <c r="H276" s="24" t="s">
        <v>3842</v>
      </c>
      <c r="I276" s="24" t="s">
        <v>2965</v>
      </c>
      <c r="J276" s="24" t="s">
        <v>2919</v>
      </c>
      <c r="K276" s="3">
        <v>30</v>
      </c>
      <c r="L276" s="3" t="s">
        <v>6778</v>
      </c>
      <c r="M276" s="3" t="str">
        <f>HYPERLINK("http://ictvonline.org/taxonomyHistory.asp?taxnode_id=20150356","ICTVonline=20150356")</f>
        <v>ICTVonline=20150356</v>
      </c>
    </row>
    <row r="277" spans="1:13" x14ac:dyDescent="0.15">
      <c r="A277" s="1" t="s">
        <v>1393</v>
      </c>
      <c r="B277" s="1" t="s">
        <v>927</v>
      </c>
      <c r="D277" s="1" t="s">
        <v>3834</v>
      </c>
      <c r="E277" s="1" t="s">
        <v>3843</v>
      </c>
      <c r="F277" s="3">
        <v>0</v>
      </c>
      <c r="G277" s="24" t="s">
        <v>7307</v>
      </c>
      <c r="H277" s="24" t="s">
        <v>3844</v>
      </c>
      <c r="I277" s="24" t="s">
        <v>2965</v>
      </c>
      <c r="J277" s="24" t="s">
        <v>2919</v>
      </c>
      <c r="K277" s="3">
        <v>30</v>
      </c>
      <c r="L277" s="3" t="s">
        <v>6778</v>
      </c>
      <c r="M277" s="3" t="str">
        <f>HYPERLINK("http://ictvonline.org/taxonomyHistory.asp?taxnode_id=20150357","ICTVonline=20150357")</f>
        <v>ICTVonline=20150357</v>
      </c>
    </row>
    <row r="278" spans="1:13" x14ac:dyDescent="0.15">
      <c r="A278" s="1" t="s">
        <v>1393</v>
      </c>
      <c r="B278" s="1" t="s">
        <v>927</v>
      </c>
      <c r="D278" s="1" t="s">
        <v>3845</v>
      </c>
      <c r="E278" s="1" t="s">
        <v>3846</v>
      </c>
      <c r="F278" s="3">
        <v>0</v>
      </c>
      <c r="G278" s="24" t="s">
        <v>7308</v>
      </c>
      <c r="H278" s="24" t="s">
        <v>3847</v>
      </c>
      <c r="I278" s="24" t="s">
        <v>2965</v>
      </c>
      <c r="J278" s="24" t="s">
        <v>2919</v>
      </c>
      <c r="K278" s="3">
        <v>30</v>
      </c>
      <c r="L278" s="3" t="s">
        <v>6779</v>
      </c>
      <c r="M278" s="3" t="str">
        <f>HYPERLINK("http://ictvonline.org/taxonomyHistory.asp?taxnode_id=20150334","ICTVonline=20150334")</f>
        <v>ICTVonline=20150334</v>
      </c>
    </row>
    <row r="279" spans="1:13" x14ac:dyDescent="0.15">
      <c r="A279" s="1" t="s">
        <v>1393</v>
      </c>
      <c r="B279" s="1" t="s">
        <v>927</v>
      </c>
      <c r="D279" s="1" t="s">
        <v>3845</v>
      </c>
      <c r="E279" s="1" t="s">
        <v>3848</v>
      </c>
      <c r="F279" s="3">
        <v>0</v>
      </c>
      <c r="G279" s="24" t="s">
        <v>7309</v>
      </c>
      <c r="H279" s="24" t="s">
        <v>3849</v>
      </c>
      <c r="I279" s="24" t="s">
        <v>2965</v>
      </c>
      <c r="J279" s="24" t="s">
        <v>2919</v>
      </c>
      <c r="K279" s="3">
        <v>30</v>
      </c>
      <c r="L279" s="3" t="s">
        <v>6779</v>
      </c>
      <c r="M279" s="3" t="str">
        <f>HYPERLINK("http://ictvonline.org/taxonomyHistory.asp?taxnode_id=20150333","ICTVonline=20150333")</f>
        <v>ICTVonline=20150333</v>
      </c>
    </row>
    <row r="280" spans="1:13" x14ac:dyDescent="0.15">
      <c r="A280" s="1" t="s">
        <v>1393</v>
      </c>
      <c r="B280" s="1" t="s">
        <v>927</v>
      </c>
      <c r="D280" s="1" t="s">
        <v>3845</v>
      </c>
      <c r="E280" s="1" t="s">
        <v>3850</v>
      </c>
      <c r="F280" s="3">
        <v>1</v>
      </c>
      <c r="I280" s="24" t="s">
        <v>2965</v>
      </c>
      <c r="J280" s="24" t="s">
        <v>2923</v>
      </c>
      <c r="K280" s="3">
        <v>30</v>
      </c>
      <c r="L280" s="3" t="s">
        <v>6745</v>
      </c>
      <c r="M280" s="3" t="str">
        <f>HYPERLINK("http://ictvonline.org/taxonomyHistory.asp?taxnode_id=20150331","ICTVonline=20150331")</f>
        <v>ICTVonline=20150331</v>
      </c>
    </row>
    <row r="281" spans="1:13" x14ac:dyDescent="0.15">
      <c r="A281" s="1" t="s">
        <v>1393</v>
      </c>
      <c r="B281" s="1" t="s">
        <v>927</v>
      </c>
      <c r="D281" s="1" t="s">
        <v>3845</v>
      </c>
      <c r="E281" s="1" t="s">
        <v>3851</v>
      </c>
      <c r="F281" s="3">
        <v>0</v>
      </c>
      <c r="G281" s="24" t="s">
        <v>7310</v>
      </c>
      <c r="H281" s="24" t="s">
        <v>3852</v>
      </c>
      <c r="I281" s="24" t="s">
        <v>2965</v>
      </c>
      <c r="J281" s="24" t="s">
        <v>2919</v>
      </c>
      <c r="K281" s="3">
        <v>30</v>
      </c>
      <c r="L281" s="3" t="s">
        <v>6779</v>
      </c>
      <c r="M281" s="3" t="str">
        <f>HYPERLINK("http://ictvonline.org/taxonomyHistory.asp?taxnode_id=20150335","ICTVonline=20150335")</f>
        <v>ICTVonline=20150335</v>
      </c>
    </row>
    <row r="282" spans="1:13" x14ac:dyDescent="0.15">
      <c r="A282" s="1" t="s">
        <v>1393</v>
      </c>
      <c r="B282" s="1" t="s">
        <v>927</v>
      </c>
      <c r="D282" s="1" t="s">
        <v>3845</v>
      </c>
      <c r="E282" s="1" t="s">
        <v>3853</v>
      </c>
      <c r="F282" s="3">
        <v>0</v>
      </c>
      <c r="G282" s="24" t="s">
        <v>7311</v>
      </c>
      <c r="H282" s="24" t="s">
        <v>3854</v>
      </c>
      <c r="I282" s="24" t="s">
        <v>2965</v>
      </c>
      <c r="J282" s="24" t="s">
        <v>2919</v>
      </c>
      <c r="K282" s="3">
        <v>30</v>
      </c>
      <c r="L282" s="3" t="s">
        <v>6779</v>
      </c>
      <c r="M282" s="3" t="str">
        <f>HYPERLINK("http://ictvonline.org/taxonomyHistory.asp?taxnode_id=20150332","ICTVonline=20150332")</f>
        <v>ICTVonline=20150332</v>
      </c>
    </row>
    <row r="283" spans="1:13" x14ac:dyDescent="0.15">
      <c r="A283" s="1" t="s">
        <v>1393</v>
      </c>
      <c r="B283" s="1" t="s">
        <v>927</v>
      </c>
      <c r="D283" s="1" t="s">
        <v>934</v>
      </c>
      <c r="E283" s="1" t="s">
        <v>3855</v>
      </c>
      <c r="F283" s="3">
        <v>0</v>
      </c>
      <c r="I283" s="24" t="s">
        <v>2965</v>
      </c>
      <c r="J283" s="24" t="s">
        <v>2924</v>
      </c>
      <c r="K283" s="3">
        <v>30</v>
      </c>
      <c r="L283" s="3" t="s">
        <v>6745</v>
      </c>
      <c r="M283" s="3" t="str">
        <f>HYPERLINK("http://ictvonline.org/taxonomyHistory.asp?taxnode_id=20150337","ICTVonline=20150337")</f>
        <v>ICTVonline=20150337</v>
      </c>
    </row>
    <row r="284" spans="1:13" x14ac:dyDescent="0.15">
      <c r="A284" s="1" t="s">
        <v>1393</v>
      </c>
      <c r="B284" s="1" t="s">
        <v>927</v>
      </c>
      <c r="D284" s="1" t="s">
        <v>934</v>
      </c>
      <c r="E284" s="1" t="s">
        <v>3856</v>
      </c>
      <c r="F284" s="3">
        <v>0</v>
      </c>
      <c r="I284" s="24" t="s">
        <v>2965</v>
      </c>
      <c r="J284" s="24" t="s">
        <v>2924</v>
      </c>
      <c r="K284" s="3">
        <v>30</v>
      </c>
      <c r="L284" s="3" t="s">
        <v>6745</v>
      </c>
      <c r="M284" s="3" t="str">
        <f>HYPERLINK("http://ictvonline.org/taxonomyHistory.asp?taxnode_id=20150338","ICTVonline=20150338")</f>
        <v>ICTVonline=20150338</v>
      </c>
    </row>
    <row r="285" spans="1:13" x14ac:dyDescent="0.15">
      <c r="A285" s="1" t="s">
        <v>1393</v>
      </c>
      <c r="B285" s="1" t="s">
        <v>927</v>
      </c>
      <c r="D285" s="1" t="s">
        <v>934</v>
      </c>
      <c r="E285" s="1" t="s">
        <v>3857</v>
      </c>
      <c r="F285" s="3">
        <v>0</v>
      </c>
      <c r="I285" s="24" t="s">
        <v>2965</v>
      </c>
      <c r="J285" s="24" t="s">
        <v>2924</v>
      </c>
      <c r="K285" s="3">
        <v>30</v>
      </c>
      <c r="L285" s="3" t="s">
        <v>6745</v>
      </c>
      <c r="M285" s="3" t="str">
        <f>HYPERLINK("http://ictvonline.org/taxonomyHistory.asp?taxnode_id=20150339","ICTVonline=20150339")</f>
        <v>ICTVonline=20150339</v>
      </c>
    </row>
    <row r="286" spans="1:13" x14ac:dyDescent="0.15">
      <c r="A286" s="1" t="s">
        <v>1393</v>
      </c>
      <c r="B286" s="1" t="s">
        <v>927</v>
      </c>
      <c r="D286" s="1" t="s">
        <v>934</v>
      </c>
      <c r="E286" s="1" t="s">
        <v>3858</v>
      </c>
      <c r="F286" s="3">
        <v>0</v>
      </c>
      <c r="I286" s="24" t="s">
        <v>2965</v>
      </c>
      <c r="J286" s="24" t="s">
        <v>2924</v>
      </c>
      <c r="K286" s="3">
        <v>30</v>
      </c>
      <c r="L286" s="3" t="s">
        <v>6745</v>
      </c>
      <c r="M286" s="3" t="str">
        <f>HYPERLINK("http://ictvonline.org/taxonomyHistory.asp?taxnode_id=20150340","ICTVonline=20150340")</f>
        <v>ICTVonline=20150340</v>
      </c>
    </row>
    <row r="287" spans="1:13" x14ac:dyDescent="0.15">
      <c r="A287" s="1" t="s">
        <v>1393</v>
      </c>
      <c r="B287" s="1" t="s">
        <v>927</v>
      </c>
      <c r="D287" s="1" t="s">
        <v>934</v>
      </c>
      <c r="E287" s="1" t="s">
        <v>3859</v>
      </c>
      <c r="F287" s="3">
        <v>0</v>
      </c>
      <c r="I287" s="24" t="s">
        <v>2965</v>
      </c>
      <c r="J287" s="24" t="s">
        <v>2924</v>
      </c>
      <c r="K287" s="3">
        <v>30</v>
      </c>
      <c r="L287" s="3" t="s">
        <v>6745</v>
      </c>
      <c r="M287" s="3" t="str">
        <f>HYPERLINK("http://ictvonline.org/taxonomyHistory.asp?taxnode_id=20150341","ICTVonline=20150341")</f>
        <v>ICTVonline=20150341</v>
      </c>
    </row>
    <row r="288" spans="1:13" x14ac:dyDescent="0.15">
      <c r="A288" s="1" t="s">
        <v>1393</v>
      </c>
      <c r="B288" s="1" t="s">
        <v>927</v>
      </c>
      <c r="D288" s="1" t="s">
        <v>934</v>
      </c>
      <c r="E288" s="1" t="s">
        <v>3860</v>
      </c>
      <c r="F288" s="3">
        <v>0</v>
      </c>
      <c r="I288" s="24" t="s">
        <v>2965</v>
      </c>
      <c r="J288" s="24" t="s">
        <v>2924</v>
      </c>
      <c r="K288" s="3">
        <v>30</v>
      </c>
      <c r="L288" s="3" t="s">
        <v>6745</v>
      </c>
      <c r="M288" s="3" t="str">
        <f>HYPERLINK("http://ictvonline.org/taxonomyHistory.asp?taxnode_id=20150343","ICTVonline=20150343")</f>
        <v>ICTVonline=20150343</v>
      </c>
    </row>
    <row r="289" spans="1:13" x14ac:dyDescent="0.15">
      <c r="A289" s="1" t="s">
        <v>1393</v>
      </c>
      <c r="B289" s="1" t="s">
        <v>927</v>
      </c>
      <c r="D289" s="1" t="s">
        <v>934</v>
      </c>
      <c r="E289" s="1" t="s">
        <v>3861</v>
      </c>
      <c r="F289" s="3">
        <v>0</v>
      </c>
      <c r="I289" s="24" t="s">
        <v>2965</v>
      </c>
      <c r="J289" s="24" t="s">
        <v>2924</v>
      </c>
      <c r="K289" s="3">
        <v>30</v>
      </c>
      <c r="L289" s="3" t="s">
        <v>6745</v>
      </c>
      <c r="M289" s="3" t="str">
        <f>HYPERLINK("http://ictvonline.org/taxonomyHistory.asp?taxnode_id=20150344","ICTVonline=20150344")</f>
        <v>ICTVonline=20150344</v>
      </c>
    </row>
    <row r="290" spans="1:13" x14ac:dyDescent="0.15">
      <c r="A290" s="1" t="s">
        <v>1393</v>
      </c>
      <c r="B290" s="1" t="s">
        <v>927</v>
      </c>
      <c r="D290" s="1" t="s">
        <v>3862</v>
      </c>
      <c r="E290" s="1" t="s">
        <v>3863</v>
      </c>
      <c r="F290" s="3">
        <v>0</v>
      </c>
      <c r="G290" s="24" t="s">
        <v>7312</v>
      </c>
      <c r="H290" s="24" t="s">
        <v>3864</v>
      </c>
      <c r="I290" s="24" t="s">
        <v>2965</v>
      </c>
      <c r="J290" s="24" t="s">
        <v>2919</v>
      </c>
      <c r="K290" s="3">
        <v>30</v>
      </c>
      <c r="L290" s="3" t="s">
        <v>6780</v>
      </c>
      <c r="M290" s="3" t="str">
        <f>HYPERLINK("http://ictvonline.org/taxonomyHistory.asp?taxnode_id=20150377","ICTVonline=20150377")</f>
        <v>ICTVonline=20150377</v>
      </c>
    </row>
    <row r="291" spans="1:13" x14ac:dyDescent="0.15">
      <c r="A291" s="1" t="s">
        <v>1393</v>
      </c>
      <c r="B291" s="1" t="s">
        <v>927</v>
      </c>
      <c r="D291" s="1" t="s">
        <v>3862</v>
      </c>
      <c r="E291" s="1" t="s">
        <v>3865</v>
      </c>
      <c r="F291" s="3">
        <v>0</v>
      </c>
      <c r="G291" s="24" t="s">
        <v>7313</v>
      </c>
      <c r="H291" s="24" t="s">
        <v>3866</v>
      </c>
      <c r="I291" s="24" t="s">
        <v>2965</v>
      </c>
      <c r="J291" s="24" t="s">
        <v>2919</v>
      </c>
      <c r="K291" s="3">
        <v>30</v>
      </c>
      <c r="L291" s="3" t="s">
        <v>6780</v>
      </c>
      <c r="M291" s="3" t="str">
        <f>HYPERLINK("http://ictvonline.org/taxonomyHistory.asp?taxnode_id=20150378","ICTVonline=20150378")</f>
        <v>ICTVonline=20150378</v>
      </c>
    </row>
    <row r="292" spans="1:13" x14ac:dyDescent="0.15">
      <c r="A292" s="1" t="s">
        <v>1393</v>
      </c>
      <c r="B292" s="1" t="s">
        <v>927</v>
      </c>
      <c r="D292" s="1" t="s">
        <v>3862</v>
      </c>
      <c r="E292" s="1" t="s">
        <v>3867</v>
      </c>
      <c r="F292" s="3">
        <v>1</v>
      </c>
      <c r="G292" s="24" t="s">
        <v>7314</v>
      </c>
      <c r="H292" s="24" t="s">
        <v>3868</v>
      </c>
      <c r="I292" s="24" t="s">
        <v>2965</v>
      </c>
      <c r="J292" s="24" t="s">
        <v>2919</v>
      </c>
      <c r="K292" s="3">
        <v>30</v>
      </c>
      <c r="L292" s="3" t="s">
        <v>6780</v>
      </c>
      <c r="M292" s="3" t="str">
        <f>HYPERLINK("http://ictvonline.org/taxonomyHistory.asp?taxnode_id=20150376","ICTVonline=20150376")</f>
        <v>ICTVonline=20150376</v>
      </c>
    </row>
    <row r="293" spans="1:13" x14ac:dyDescent="0.15">
      <c r="A293" s="1" t="s">
        <v>1393</v>
      </c>
      <c r="B293" s="1" t="s">
        <v>928</v>
      </c>
      <c r="C293" s="1" t="s">
        <v>3869</v>
      </c>
      <c r="D293" s="1" t="s">
        <v>3870</v>
      </c>
      <c r="E293" s="1" t="s">
        <v>3871</v>
      </c>
      <c r="F293" s="3">
        <v>0</v>
      </c>
      <c r="G293" s="24" t="s">
        <v>7315</v>
      </c>
      <c r="H293" s="24" t="s">
        <v>3871</v>
      </c>
      <c r="I293" s="24" t="s">
        <v>2965</v>
      </c>
      <c r="J293" s="24" t="s">
        <v>2919</v>
      </c>
      <c r="K293" s="3">
        <v>30</v>
      </c>
      <c r="L293" s="3" t="s">
        <v>6781</v>
      </c>
      <c r="M293" s="3" t="str">
        <f>HYPERLINK("http://ictvonline.org/taxonomyHistory.asp?taxnode_id=20150778","ICTVonline=20150778")</f>
        <v>ICTVonline=20150778</v>
      </c>
    </row>
    <row r="294" spans="1:13" x14ac:dyDescent="0.15">
      <c r="A294" s="1" t="s">
        <v>1393</v>
      </c>
      <c r="B294" s="1" t="s">
        <v>928</v>
      </c>
      <c r="C294" s="1" t="s">
        <v>3869</v>
      </c>
      <c r="D294" s="1" t="s">
        <v>3870</v>
      </c>
      <c r="E294" s="1" t="s">
        <v>3872</v>
      </c>
      <c r="F294" s="3">
        <v>0</v>
      </c>
      <c r="G294" s="24" t="s">
        <v>7316</v>
      </c>
      <c r="H294" s="24" t="s">
        <v>3872</v>
      </c>
      <c r="I294" s="24" t="s">
        <v>2965</v>
      </c>
      <c r="J294" s="24" t="s">
        <v>2919</v>
      </c>
      <c r="K294" s="3">
        <v>30</v>
      </c>
      <c r="L294" s="3" t="s">
        <v>6781</v>
      </c>
      <c r="M294" s="3" t="str">
        <f>HYPERLINK("http://ictvonline.org/taxonomyHistory.asp?taxnode_id=20150777","ICTVonline=20150777")</f>
        <v>ICTVonline=20150777</v>
      </c>
    </row>
    <row r="295" spans="1:13" x14ac:dyDescent="0.15">
      <c r="A295" s="1" t="s">
        <v>1393</v>
      </c>
      <c r="B295" s="1" t="s">
        <v>928</v>
      </c>
      <c r="C295" s="1" t="s">
        <v>3869</v>
      </c>
      <c r="D295" s="1" t="s">
        <v>3870</v>
      </c>
      <c r="E295" s="1" t="s">
        <v>3873</v>
      </c>
      <c r="F295" s="3">
        <v>0</v>
      </c>
      <c r="G295" s="24" t="s">
        <v>7317</v>
      </c>
      <c r="H295" s="24" t="s">
        <v>3874</v>
      </c>
      <c r="I295" s="24" t="s">
        <v>2965</v>
      </c>
      <c r="J295" s="24" t="s">
        <v>2919</v>
      </c>
      <c r="K295" s="3">
        <v>30</v>
      </c>
      <c r="L295" s="3" t="s">
        <v>6781</v>
      </c>
      <c r="M295" s="3" t="str">
        <f>HYPERLINK("http://ictvonline.org/taxonomyHistory.asp?taxnode_id=20150773","ICTVonline=20150773")</f>
        <v>ICTVonline=20150773</v>
      </c>
    </row>
    <row r="296" spans="1:13" x14ac:dyDescent="0.15">
      <c r="A296" s="1" t="s">
        <v>1393</v>
      </c>
      <c r="B296" s="1" t="s">
        <v>928</v>
      </c>
      <c r="C296" s="1" t="s">
        <v>3869</v>
      </c>
      <c r="D296" s="1" t="s">
        <v>3870</v>
      </c>
      <c r="E296" s="1" t="s">
        <v>3875</v>
      </c>
      <c r="F296" s="3">
        <v>0</v>
      </c>
      <c r="G296" s="24" t="s">
        <v>3069</v>
      </c>
      <c r="I296" s="24" t="s">
        <v>2965</v>
      </c>
      <c r="J296" s="24" t="s">
        <v>2923</v>
      </c>
      <c r="K296" s="3">
        <v>30</v>
      </c>
      <c r="L296" s="3" t="s">
        <v>6782</v>
      </c>
      <c r="M296" s="3" t="str">
        <f>HYPERLINK("http://ictvonline.org/taxonomyHistory.asp?taxnode_id=20150503","ICTVonline=20150503")</f>
        <v>ICTVonline=20150503</v>
      </c>
    </row>
    <row r="297" spans="1:13" x14ac:dyDescent="0.15">
      <c r="A297" s="1" t="s">
        <v>1393</v>
      </c>
      <c r="B297" s="1" t="s">
        <v>928</v>
      </c>
      <c r="C297" s="1" t="s">
        <v>3869</v>
      </c>
      <c r="D297" s="1" t="s">
        <v>3870</v>
      </c>
      <c r="E297" s="1" t="s">
        <v>3876</v>
      </c>
      <c r="F297" s="3">
        <v>1</v>
      </c>
      <c r="G297" s="24" t="s">
        <v>3070</v>
      </c>
      <c r="I297" s="24" t="s">
        <v>2965</v>
      </c>
      <c r="J297" s="24" t="s">
        <v>2923</v>
      </c>
      <c r="K297" s="3">
        <v>30</v>
      </c>
      <c r="L297" s="3" t="s">
        <v>6782</v>
      </c>
      <c r="M297" s="3" t="str">
        <f>HYPERLINK("http://ictvonline.org/taxonomyHistory.asp?taxnode_id=20150504","ICTVonline=20150504")</f>
        <v>ICTVonline=20150504</v>
      </c>
    </row>
    <row r="298" spans="1:13" x14ac:dyDescent="0.15">
      <c r="A298" s="1" t="s">
        <v>1393</v>
      </c>
      <c r="B298" s="1" t="s">
        <v>928</v>
      </c>
      <c r="C298" s="1" t="s">
        <v>3869</v>
      </c>
      <c r="D298" s="1" t="s">
        <v>3870</v>
      </c>
      <c r="E298" s="1" t="s">
        <v>3877</v>
      </c>
      <c r="F298" s="3">
        <v>0</v>
      </c>
      <c r="G298" s="24" t="s">
        <v>3071</v>
      </c>
      <c r="I298" s="24" t="s">
        <v>2965</v>
      </c>
      <c r="J298" s="24" t="s">
        <v>2923</v>
      </c>
      <c r="K298" s="3">
        <v>30</v>
      </c>
      <c r="L298" s="3" t="s">
        <v>6782</v>
      </c>
      <c r="M298" s="3" t="str">
        <f>HYPERLINK("http://ictvonline.org/taxonomyHistory.asp?taxnode_id=20150505","ICTVonline=20150505")</f>
        <v>ICTVonline=20150505</v>
      </c>
    </row>
    <row r="299" spans="1:13" x14ac:dyDescent="0.15">
      <c r="A299" s="1" t="s">
        <v>1393</v>
      </c>
      <c r="B299" s="1" t="s">
        <v>928</v>
      </c>
      <c r="C299" s="1" t="s">
        <v>3869</v>
      </c>
      <c r="D299" s="1" t="s">
        <v>3870</v>
      </c>
      <c r="E299" s="1" t="s">
        <v>3878</v>
      </c>
      <c r="F299" s="3">
        <v>0</v>
      </c>
      <c r="G299" s="24" t="s">
        <v>3072</v>
      </c>
      <c r="I299" s="24" t="s">
        <v>2965</v>
      </c>
      <c r="J299" s="24" t="s">
        <v>2923</v>
      </c>
      <c r="K299" s="3">
        <v>30</v>
      </c>
      <c r="L299" s="3" t="s">
        <v>6782</v>
      </c>
      <c r="M299" s="3" t="str">
        <f>HYPERLINK("http://ictvonline.org/taxonomyHistory.asp?taxnode_id=20150506","ICTVonline=20150506")</f>
        <v>ICTVonline=20150506</v>
      </c>
    </row>
    <row r="300" spans="1:13" x14ac:dyDescent="0.15">
      <c r="A300" s="1" t="s">
        <v>1393</v>
      </c>
      <c r="B300" s="1" t="s">
        <v>928</v>
      </c>
      <c r="C300" s="1" t="s">
        <v>3869</v>
      </c>
      <c r="D300" s="1" t="s">
        <v>3870</v>
      </c>
      <c r="E300" s="1" t="s">
        <v>3879</v>
      </c>
      <c r="F300" s="3">
        <v>0</v>
      </c>
      <c r="G300" s="24" t="s">
        <v>7318</v>
      </c>
      <c r="H300" s="24" t="s">
        <v>3880</v>
      </c>
      <c r="I300" s="24" t="s">
        <v>2965</v>
      </c>
      <c r="J300" s="24" t="s">
        <v>2919</v>
      </c>
      <c r="K300" s="3">
        <v>30</v>
      </c>
      <c r="L300" s="3" t="s">
        <v>6781</v>
      </c>
      <c r="M300" s="3" t="str">
        <f>HYPERLINK("http://ictvonline.org/taxonomyHistory.asp?taxnode_id=20150774","ICTVonline=20150774")</f>
        <v>ICTVonline=20150774</v>
      </c>
    </row>
    <row r="301" spans="1:13" x14ac:dyDescent="0.15">
      <c r="A301" s="1" t="s">
        <v>1393</v>
      </c>
      <c r="B301" s="1" t="s">
        <v>928</v>
      </c>
      <c r="C301" s="1" t="s">
        <v>3869</v>
      </c>
      <c r="D301" s="1" t="s">
        <v>3870</v>
      </c>
      <c r="E301" s="1" t="s">
        <v>3881</v>
      </c>
      <c r="F301" s="3">
        <v>0</v>
      </c>
      <c r="G301" s="24" t="s">
        <v>7319</v>
      </c>
      <c r="H301" s="24" t="s">
        <v>3882</v>
      </c>
      <c r="I301" s="24" t="s">
        <v>2965</v>
      </c>
      <c r="J301" s="24" t="s">
        <v>2919</v>
      </c>
      <c r="K301" s="3">
        <v>30</v>
      </c>
      <c r="L301" s="3" t="s">
        <v>6781</v>
      </c>
      <c r="M301" s="3" t="str">
        <f>HYPERLINK("http://ictvonline.org/taxonomyHistory.asp?taxnode_id=20150776","ICTVonline=20150776")</f>
        <v>ICTVonline=20150776</v>
      </c>
    </row>
    <row r="302" spans="1:13" x14ac:dyDescent="0.15">
      <c r="A302" s="1" t="s">
        <v>1393</v>
      </c>
      <c r="B302" s="1" t="s">
        <v>928</v>
      </c>
      <c r="C302" s="1" t="s">
        <v>3869</v>
      </c>
      <c r="D302" s="1" t="s">
        <v>3870</v>
      </c>
      <c r="E302" s="1" t="s">
        <v>3883</v>
      </c>
      <c r="F302" s="3">
        <v>0</v>
      </c>
      <c r="G302" s="24" t="s">
        <v>7320</v>
      </c>
      <c r="H302" s="24" t="s">
        <v>3884</v>
      </c>
      <c r="I302" s="24" t="s">
        <v>2965</v>
      </c>
      <c r="J302" s="24" t="s">
        <v>2919</v>
      </c>
      <c r="K302" s="3">
        <v>30</v>
      </c>
      <c r="L302" s="3" t="s">
        <v>6781</v>
      </c>
      <c r="M302" s="3" t="str">
        <f>HYPERLINK("http://ictvonline.org/taxonomyHistory.asp?taxnode_id=20150775","ICTVonline=20150775")</f>
        <v>ICTVonline=20150775</v>
      </c>
    </row>
    <row r="303" spans="1:13" x14ac:dyDescent="0.15">
      <c r="A303" s="1" t="s">
        <v>1393</v>
      </c>
      <c r="B303" s="1" t="s">
        <v>928</v>
      </c>
      <c r="C303" s="1" t="s">
        <v>3869</v>
      </c>
      <c r="D303" s="1" t="s">
        <v>3870</v>
      </c>
      <c r="E303" s="1" t="s">
        <v>3885</v>
      </c>
      <c r="F303" s="3">
        <v>0</v>
      </c>
      <c r="G303" s="24" t="s">
        <v>3073</v>
      </c>
      <c r="I303" s="24" t="s">
        <v>2965</v>
      </c>
      <c r="J303" s="24" t="s">
        <v>2923</v>
      </c>
      <c r="K303" s="3">
        <v>30</v>
      </c>
      <c r="L303" s="3" t="s">
        <v>6782</v>
      </c>
      <c r="M303" s="3" t="str">
        <f>HYPERLINK("http://ictvonline.org/taxonomyHistory.asp?taxnode_id=20150507","ICTVonline=20150507")</f>
        <v>ICTVonline=20150507</v>
      </c>
    </row>
    <row r="304" spans="1:13" x14ac:dyDescent="0.15">
      <c r="A304" s="1" t="s">
        <v>1393</v>
      </c>
      <c r="B304" s="1" t="s">
        <v>928</v>
      </c>
      <c r="C304" s="1" t="s">
        <v>3869</v>
      </c>
      <c r="D304" s="1" t="s">
        <v>3870</v>
      </c>
      <c r="E304" s="1" t="s">
        <v>3886</v>
      </c>
      <c r="F304" s="3">
        <v>0</v>
      </c>
      <c r="G304" s="24" t="s">
        <v>3074</v>
      </c>
      <c r="I304" s="24" t="s">
        <v>2965</v>
      </c>
      <c r="J304" s="24" t="s">
        <v>2923</v>
      </c>
      <c r="K304" s="3">
        <v>30</v>
      </c>
      <c r="L304" s="3" t="s">
        <v>6782</v>
      </c>
      <c r="M304" s="3" t="str">
        <f>HYPERLINK("http://ictvonline.org/taxonomyHistory.asp?taxnode_id=20150508","ICTVonline=20150508")</f>
        <v>ICTVonline=20150508</v>
      </c>
    </row>
    <row r="305" spans="1:13" x14ac:dyDescent="0.15">
      <c r="A305" s="1" t="s">
        <v>1393</v>
      </c>
      <c r="B305" s="1" t="s">
        <v>928</v>
      </c>
      <c r="C305" s="1" t="s">
        <v>3869</v>
      </c>
      <c r="D305" s="1" t="s">
        <v>3887</v>
      </c>
      <c r="E305" s="1" t="s">
        <v>3888</v>
      </c>
      <c r="F305" s="3">
        <v>1</v>
      </c>
      <c r="G305" s="24" t="s">
        <v>7321</v>
      </c>
      <c r="H305" s="24" t="s">
        <v>3889</v>
      </c>
      <c r="I305" s="24" t="s">
        <v>2965</v>
      </c>
      <c r="J305" s="24" t="s">
        <v>2919</v>
      </c>
      <c r="K305" s="3">
        <v>30</v>
      </c>
      <c r="L305" s="3" t="s">
        <v>6781</v>
      </c>
      <c r="M305" s="3" t="str">
        <f>HYPERLINK("http://ictvonline.org/taxonomyHistory.asp?taxnode_id=20150770","ICTVonline=20150770")</f>
        <v>ICTVonline=20150770</v>
      </c>
    </row>
    <row r="306" spans="1:13" x14ac:dyDescent="0.15">
      <c r="A306" s="1" t="s">
        <v>1393</v>
      </c>
      <c r="B306" s="1" t="s">
        <v>928</v>
      </c>
      <c r="C306" s="1" t="s">
        <v>3869</v>
      </c>
      <c r="D306" s="1" t="s">
        <v>3887</v>
      </c>
      <c r="E306" s="1" t="s">
        <v>3890</v>
      </c>
      <c r="F306" s="3">
        <v>0</v>
      </c>
      <c r="G306" s="24" t="s">
        <v>7322</v>
      </c>
      <c r="H306" s="24" t="s">
        <v>3891</v>
      </c>
      <c r="I306" s="24" t="s">
        <v>2965</v>
      </c>
      <c r="J306" s="24" t="s">
        <v>2919</v>
      </c>
      <c r="K306" s="3">
        <v>30</v>
      </c>
      <c r="L306" s="3" t="s">
        <v>6781</v>
      </c>
      <c r="M306" s="3" t="str">
        <f>HYPERLINK("http://ictvonline.org/taxonomyHistory.asp?taxnode_id=20150772","ICTVonline=20150772")</f>
        <v>ICTVonline=20150772</v>
      </c>
    </row>
    <row r="307" spans="1:13" x14ac:dyDescent="0.15">
      <c r="A307" s="1" t="s">
        <v>1393</v>
      </c>
      <c r="B307" s="1" t="s">
        <v>928</v>
      </c>
      <c r="C307" s="1" t="s">
        <v>3869</v>
      </c>
      <c r="D307" s="1" t="s">
        <v>3887</v>
      </c>
      <c r="E307" s="1" t="s">
        <v>3892</v>
      </c>
      <c r="F307" s="3">
        <v>0</v>
      </c>
      <c r="G307" s="24" t="s">
        <v>7323</v>
      </c>
      <c r="H307" s="24" t="s">
        <v>3893</v>
      </c>
      <c r="I307" s="24" t="s">
        <v>2965</v>
      </c>
      <c r="J307" s="24" t="s">
        <v>2919</v>
      </c>
      <c r="K307" s="3">
        <v>30</v>
      </c>
      <c r="L307" s="3" t="s">
        <v>6781</v>
      </c>
      <c r="M307" s="3" t="str">
        <f>HYPERLINK("http://ictvonline.org/taxonomyHistory.asp?taxnode_id=20150769","ICTVonline=20150769")</f>
        <v>ICTVonline=20150769</v>
      </c>
    </row>
    <row r="308" spans="1:13" x14ac:dyDescent="0.15">
      <c r="A308" s="1" t="s">
        <v>1393</v>
      </c>
      <c r="B308" s="1" t="s">
        <v>928</v>
      </c>
      <c r="C308" s="1" t="s">
        <v>3869</v>
      </c>
      <c r="D308" s="1" t="s">
        <v>3887</v>
      </c>
      <c r="E308" s="1" t="s">
        <v>3894</v>
      </c>
      <c r="F308" s="3">
        <v>0</v>
      </c>
      <c r="G308" s="24" t="s">
        <v>7324</v>
      </c>
      <c r="H308" s="24" t="s">
        <v>3895</v>
      </c>
      <c r="I308" s="24" t="s">
        <v>2965</v>
      </c>
      <c r="J308" s="24" t="s">
        <v>2919</v>
      </c>
      <c r="K308" s="3">
        <v>30</v>
      </c>
      <c r="L308" s="3" t="s">
        <v>6781</v>
      </c>
      <c r="M308" s="3" t="str">
        <f>HYPERLINK("http://ictvonline.org/taxonomyHistory.asp?taxnode_id=20150771","ICTVonline=20150771")</f>
        <v>ICTVonline=20150771</v>
      </c>
    </row>
    <row r="309" spans="1:13" x14ac:dyDescent="0.15">
      <c r="A309" s="1" t="s">
        <v>1393</v>
      </c>
      <c r="B309" s="1" t="s">
        <v>928</v>
      </c>
      <c r="C309" s="1" t="s">
        <v>3869</v>
      </c>
      <c r="D309" s="1" t="s">
        <v>3896</v>
      </c>
      <c r="E309" s="1" t="s">
        <v>3897</v>
      </c>
      <c r="F309" s="3">
        <v>1</v>
      </c>
      <c r="G309" s="24" t="s">
        <v>7325</v>
      </c>
      <c r="H309" s="24" t="s">
        <v>3898</v>
      </c>
      <c r="I309" s="24" t="s">
        <v>2965</v>
      </c>
      <c r="J309" s="24" t="s">
        <v>2919</v>
      </c>
      <c r="K309" s="3">
        <v>30</v>
      </c>
      <c r="L309" s="3" t="s">
        <v>6781</v>
      </c>
      <c r="M309" s="3" t="str">
        <f>HYPERLINK("http://ictvonline.org/taxonomyHistory.asp?taxnode_id=20150767","ICTVonline=20150767")</f>
        <v>ICTVonline=20150767</v>
      </c>
    </row>
    <row r="310" spans="1:13" x14ac:dyDescent="0.15">
      <c r="A310" s="1" t="s">
        <v>1393</v>
      </c>
      <c r="B310" s="1" t="s">
        <v>928</v>
      </c>
      <c r="C310" s="1" t="s">
        <v>3899</v>
      </c>
      <c r="D310" s="1" t="s">
        <v>3900</v>
      </c>
      <c r="E310" s="1" t="s">
        <v>3901</v>
      </c>
      <c r="F310" s="3">
        <v>0</v>
      </c>
      <c r="I310" s="24" t="s">
        <v>2965</v>
      </c>
      <c r="J310" s="24" t="s">
        <v>2923</v>
      </c>
      <c r="K310" s="3">
        <v>30</v>
      </c>
      <c r="L310" s="3" t="s">
        <v>6783</v>
      </c>
      <c r="M310" s="3" t="str">
        <f>HYPERLINK("http://ictvonline.org/taxonomyHistory.asp?taxnode_id=20150729","ICTVonline=20150729")</f>
        <v>ICTVonline=20150729</v>
      </c>
    </row>
    <row r="311" spans="1:13" x14ac:dyDescent="0.15">
      <c r="A311" s="1" t="s">
        <v>1393</v>
      </c>
      <c r="B311" s="1" t="s">
        <v>928</v>
      </c>
      <c r="C311" s="1" t="s">
        <v>3899</v>
      </c>
      <c r="D311" s="1" t="s">
        <v>3900</v>
      </c>
      <c r="E311" s="1" t="s">
        <v>3902</v>
      </c>
      <c r="F311" s="3">
        <v>0</v>
      </c>
      <c r="G311" s="24" t="s">
        <v>7326</v>
      </c>
      <c r="H311" s="24" t="s">
        <v>3903</v>
      </c>
      <c r="I311" s="24" t="s">
        <v>2965</v>
      </c>
      <c r="J311" s="24" t="s">
        <v>2919</v>
      </c>
      <c r="K311" s="3">
        <v>30</v>
      </c>
      <c r="L311" s="3" t="s">
        <v>6783</v>
      </c>
      <c r="M311" s="3" t="str">
        <f>HYPERLINK("http://ictvonline.org/taxonomyHistory.asp?taxnode_id=20150818","ICTVonline=20150818")</f>
        <v>ICTVonline=20150818</v>
      </c>
    </row>
    <row r="312" spans="1:13" x14ac:dyDescent="0.15">
      <c r="A312" s="1" t="s">
        <v>1393</v>
      </c>
      <c r="B312" s="1" t="s">
        <v>928</v>
      </c>
      <c r="C312" s="1" t="s">
        <v>3899</v>
      </c>
      <c r="D312" s="1" t="s">
        <v>3900</v>
      </c>
      <c r="E312" s="1" t="s">
        <v>3904</v>
      </c>
      <c r="F312" s="3">
        <v>1</v>
      </c>
      <c r="G312" s="24" t="s">
        <v>7327</v>
      </c>
      <c r="H312" s="24" t="s">
        <v>3905</v>
      </c>
      <c r="I312" s="24" t="s">
        <v>2965</v>
      </c>
      <c r="J312" s="24" t="s">
        <v>2919</v>
      </c>
      <c r="K312" s="3">
        <v>30</v>
      </c>
      <c r="L312" s="3" t="s">
        <v>6783</v>
      </c>
      <c r="M312" s="3" t="str">
        <f>HYPERLINK("http://ictvonline.org/taxonomyHistory.asp?taxnode_id=20150817","ICTVonline=20150817")</f>
        <v>ICTVonline=20150817</v>
      </c>
    </row>
    <row r="313" spans="1:13" x14ac:dyDescent="0.15">
      <c r="A313" s="1" t="s">
        <v>1393</v>
      </c>
      <c r="B313" s="1" t="s">
        <v>928</v>
      </c>
      <c r="C313" s="1" t="s">
        <v>3899</v>
      </c>
      <c r="D313" s="1" t="s">
        <v>3906</v>
      </c>
      <c r="E313" s="1" t="s">
        <v>3907</v>
      </c>
      <c r="F313" s="3">
        <v>0</v>
      </c>
      <c r="G313" s="24" t="s">
        <v>7328</v>
      </c>
      <c r="H313" s="24" t="s">
        <v>3908</v>
      </c>
      <c r="I313" s="24" t="s">
        <v>2965</v>
      </c>
      <c r="J313" s="24" t="s">
        <v>2919</v>
      </c>
      <c r="K313" s="3">
        <v>30</v>
      </c>
      <c r="L313" s="3" t="s">
        <v>6783</v>
      </c>
      <c r="M313" s="3" t="str">
        <f>HYPERLINK("http://ictvonline.org/taxonomyHistory.asp?taxnode_id=20150822","ICTVonline=20150822")</f>
        <v>ICTVonline=20150822</v>
      </c>
    </row>
    <row r="314" spans="1:13" x14ac:dyDescent="0.15">
      <c r="A314" s="1" t="s">
        <v>1393</v>
      </c>
      <c r="B314" s="1" t="s">
        <v>928</v>
      </c>
      <c r="C314" s="1" t="s">
        <v>3899</v>
      </c>
      <c r="D314" s="1" t="s">
        <v>3906</v>
      </c>
      <c r="E314" s="1" t="s">
        <v>3909</v>
      </c>
      <c r="F314" s="3">
        <v>0</v>
      </c>
      <c r="G314" s="24" t="s">
        <v>7329</v>
      </c>
      <c r="H314" s="24" t="s">
        <v>3910</v>
      </c>
      <c r="I314" s="24" t="s">
        <v>2965</v>
      </c>
      <c r="J314" s="24" t="s">
        <v>2919</v>
      </c>
      <c r="K314" s="3">
        <v>30</v>
      </c>
      <c r="L314" s="3" t="s">
        <v>6783</v>
      </c>
      <c r="M314" s="3" t="str">
        <f>HYPERLINK("http://ictvonline.org/taxonomyHistory.asp?taxnode_id=20150820","ICTVonline=20150820")</f>
        <v>ICTVonline=20150820</v>
      </c>
    </row>
    <row r="315" spans="1:13" x14ac:dyDescent="0.15">
      <c r="A315" s="1" t="s">
        <v>1393</v>
      </c>
      <c r="B315" s="1" t="s">
        <v>928</v>
      </c>
      <c r="C315" s="1" t="s">
        <v>3899</v>
      </c>
      <c r="D315" s="1" t="s">
        <v>3906</v>
      </c>
      <c r="E315" s="1" t="s">
        <v>3911</v>
      </c>
      <c r="F315" s="3">
        <v>0</v>
      </c>
      <c r="G315" s="24" t="s">
        <v>7330</v>
      </c>
      <c r="H315" s="24" t="s">
        <v>3912</v>
      </c>
      <c r="I315" s="24" t="s">
        <v>2965</v>
      </c>
      <c r="J315" s="24" t="s">
        <v>2919</v>
      </c>
      <c r="K315" s="3">
        <v>30</v>
      </c>
      <c r="L315" s="3" t="s">
        <v>6783</v>
      </c>
      <c r="M315" s="3" t="str">
        <f>HYPERLINK("http://ictvonline.org/taxonomyHistory.asp?taxnode_id=20150823","ICTVonline=20150823")</f>
        <v>ICTVonline=20150823</v>
      </c>
    </row>
    <row r="316" spans="1:13" x14ac:dyDescent="0.15">
      <c r="A316" s="1" t="s">
        <v>1393</v>
      </c>
      <c r="B316" s="1" t="s">
        <v>928</v>
      </c>
      <c r="C316" s="1" t="s">
        <v>3899</v>
      </c>
      <c r="D316" s="1" t="s">
        <v>3906</v>
      </c>
      <c r="E316" s="1" t="s">
        <v>3913</v>
      </c>
      <c r="F316" s="3">
        <v>0</v>
      </c>
      <c r="G316" s="24" t="s">
        <v>7331</v>
      </c>
      <c r="H316" s="24" t="s">
        <v>3914</v>
      </c>
      <c r="I316" s="24" t="s">
        <v>2965</v>
      </c>
      <c r="J316" s="24" t="s">
        <v>2919</v>
      </c>
      <c r="K316" s="3">
        <v>30</v>
      </c>
      <c r="L316" s="3" t="s">
        <v>6783</v>
      </c>
      <c r="M316" s="3" t="str">
        <f>HYPERLINK("http://ictvonline.org/taxonomyHistory.asp?taxnode_id=20150824","ICTVonline=20150824")</f>
        <v>ICTVonline=20150824</v>
      </c>
    </row>
    <row r="317" spans="1:13" x14ac:dyDescent="0.15">
      <c r="A317" s="1" t="s">
        <v>1393</v>
      </c>
      <c r="B317" s="1" t="s">
        <v>928</v>
      </c>
      <c r="C317" s="1" t="s">
        <v>3899</v>
      </c>
      <c r="D317" s="1" t="s">
        <v>3906</v>
      </c>
      <c r="E317" s="1" t="s">
        <v>3915</v>
      </c>
      <c r="F317" s="3">
        <v>0</v>
      </c>
      <c r="I317" s="24" t="s">
        <v>2965</v>
      </c>
      <c r="J317" s="24" t="s">
        <v>2923</v>
      </c>
      <c r="K317" s="3">
        <v>30</v>
      </c>
      <c r="L317" s="3" t="s">
        <v>6783</v>
      </c>
      <c r="M317" s="3" t="str">
        <f>HYPERLINK("http://ictvonline.org/taxonomyHistory.asp?taxnode_id=20150731","ICTVonline=20150731")</f>
        <v>ICTVonline=20150731</v>
      </c>
    </row>
    <row r="318" spans="1:13" x14ac:dyDescent="0.15">
      <c r="A318" s="1" t="s">
        <v>1393</v>
      </c>
      <c r="B318" s="1" t="s">
        <v>928</v>
      </c>
      <c r="C318" s="1" t="s">
        <v>3899</v>
      </c>
      <c r="D318" s="1" t="s">
        <v>3906</v>
      </c>
      <c r="E318" s="1" t="s">
        <v>3916</v>
      </c>
      <c r="F318" s="3">
        <v>0</v>
      </c>
      <c r="I318" s="24" t="s">
        <v>2965</v>
      </c>
      <c r="J318" s="24" t="s">
        <v>2923</v>
      </c>
      <c r="K318" s="3">
        <v>30</v>
      </c>
      <c r="L318" s="3" t="s">
        <v>6783</v>
      </c>
      <c r="M318" s="3" t="str">
        <f>HYPERLINK("http://ictvonline.org/taxonomyHistory.asp?taxnode_id=20150732","ICTVonline=20150732")</f>
        <v>ICTVonline=20150732</v>
      </c>
    </row>
    <row r="319" spans="1:13" x14ac:dyDescent="0.15">
      <c r="A319" s="1" t="s">
        <v>1393</v>
      </c>
      <c r="B319" s="1" t="s">
        <v>928</v>
      </c>
      <c r="C319" s="1" t="s">
        <v>3899</v>
      </c>
      <c r="D319" s="1" t="s">
        <v>3906</v>
      </c>
      <c r="E319" s="1" t="s">
        <v>3917</v>
      </c>
      <c r="F319" s="3">
        <v>0</v>
      </c>
      <c r="G319" s="24" t="s">
        <v>7332</v>
      </c>
      <c r="H319" s="24" t="s">
        <v>3918</v>
      </c>
      <c r="I319" s="24" t="s">
        <v>2965</v>
      </c>
      <c r="J319" s="24" t="s">
        <v>2919</v>
      </c>
      <c r="K319" s="3">
        <v>30</v>
      </c>
      <c r="L319" s="3" t="s">
        <v>6783</v>
      </c>
      <c r="M319" s="3" t="str">
        <f>HYPERLINK("http://ictvonline.org/taxonomyHistory.asp?taxnode_id=20150821","ICTVonline=20150821")</f>
        <v>ICTVonline=20150821</v>
      </c>
    </row>
    <row r="320" spans="1:13" x14ac:dyDescent="0.15">
      <c r="A320" s="1" t="s">
        <v>1393</v>
      </c>
      <c r="B320" s="1" t="s">
        <v>928</v>
      </c>
      <c r="C320" s="1" t="s">
        <v>3899</v>
      </c>
      <c r="D320" s="1" t="s">
        <v>3906</v>
      </c>
      <c r="E320" s="1" t="s">
        <v>3919</v>
      </c>
      <c r="F320" s="3">
        <v>1</v>
      </c>
      <c r="G320" s="24" t="s">
        <v>7333</v>
      </c>
      <c r="H320" s="24" t="s">
        <v>2297</v>
      </c>
      <c r="I320" s="24" t="s">
        <v>2965</v>
      </c>
      <c r="J320" s="24" t="s">
        <v>2923</v>
      </c>
      <c r="K320" s="3">
        <v>30</v>
      </c>
      <c r="L320" s="3" t="s">
        <v>6783</v>
      </c>
      <c r="M320" s="3" t="str">
        <f>HYPERLINK("http://ictvonline.org/taxonomyHistory.asp?taxnode_id=20150733","ICTVonline=20150733")</f>
        <v>ICTVonline=20150733</v>
      </c>
    </row>
    <row r="321" spans="1:13" x14ac:dyDescent="0.15">
      <c r="A321" s="1" t="s">
        <v>1393</v>
      </c>
      <c r="B321" s="1" t="s">
        <v>928</v>
      </c>
      <c r="C321" s="1" t="s">
        <v>3899</v>
      </c>
      <c r="D321" s="1" t="s">
        <v>3920</v>
      </c>
      <c r="E321" s="1" t="s">
        <v>3921</v>
      </c>
      <c r="F321" s="3">
        <v>0</v>
      </c>
      <c r="G321" s="24" t="s">
        <v>7334</v>
      </c>
      <c r="H321" s="24" t="s">
        <v>3922</v>
      </c>
      <c r="I321" s="24" t="s">
        <v>2965</v>
      </c>
      <c r="J321" s="24" t="s">
        <v>2919</v>
      </c>
      <c r="K321" s="3">
        <v>30</v>
      </c>
      <c r="L321" s="3" t="s">
        <v>6783</v>
      </c>
      <c r="M321" s="3" t="str">
        <f>HYPERLINK("http://ictvonline.org/taxonomyHistory.asp?taxnode_id=20150815","ICTVonline=20150815")</f>
        <v>ICTVonline=20150815</v>
      </c>
    </row>
    <row r="322" spans="1:13" x14ac:dyDescent="0.15">
      <c r="A322" s="1" t="s">
        <v>1393</v>
      </c>
      <c r="B322" s="1" t="s">
        <v>928</v>
      </c>
      <c r="C322" s="1" t="s">
        <v>3899</v>
      </c>
      <c r="D322" s="1" t="s">
        <v>3920</v>
      </c>
      <c r="E322" s="1" t="s">
        <v>3923</v>
      </c>
      <c r="F322" s="3">
        <v>1</v>
      </c>
      <c r="G322" s="24" t="s">
        <v>7335</v>
      </c>
      <c r="H322" s="24" t="s">
        <v>2298</v>
      </c>
      <c r="I322" s="24" t="s">
        <v>2965</v>
      </c>
      <c r="J322" s="24" t="s">
        <v>2923</v>
      </c>
      <c r="K322" s="3">
        <v>30</v>
      </c>
      <c r="L322" s="3" t="s">
        <v>6783</v>
      </c>
      <c r="M322" s="3" t="str">
        <f>HYPERLINK("http://ictvonline.org/taxonomyHistory.asp?taxnode_id=20150734","ICTVonline=20150734")</f>
        <v>ICTVonline=20150734</v>
      </c>
    </row>
    <row r="323" spans="1:13" x14ac:dyDescent="0.15">
      <c r="A323" s="1" t="s">
        <v>1393</v>
      </c>
      <c r="B323" s="1" t="s">
        <v>928</v>
      </c>
      <c r="C323" s="1" t="s">
        <v>3899</v>
      </c>
      <c r="D323" s="1" t="s">
        <v>3924</v>
      </c>
      <c r="E323" s="1" t="s">
        <v>3925</v>
      </c>
      <c r="F323" s="3">
        <v>0</v>
      </c>
      <c r="G323" s="24" t="s">
        <v>7336</v>
      </c>
      <c r="H323" s="24" t="s">
        <v>3926</v>
      </c>
      <c r="I323" s="24" t="s">
        <v>2965</v>
      </c>
      <c r="J323" s="24" t="s">
        <v>2919</v>
      </c>
      <c r="K323" s="3">
        <v>30</v>
      </c>
      <c r="L323" s="3" t="s">
        <v>6783</v>
      </c>
      <c r="M323" s="3" t="str">
        <f>HYPERLINK("http://ictvonline.org/taxonomyHistory.asp?taxnode_id=20150809","ICTVonline=20150809")</f>
        <v>ICTVonline=20150809</v>
      </c>
    </row>
    <row r="324" spans="1:13" x14ac:dyDescent="0.15">
      <c r="A324" s="1" t="s">
        <v>1393</v>
      </c>
      <c r="B324" s="1" t="s">
        <v>928</v>
      </c>
      <c r="C324" s="1" t="s">
        <v>3899</v>
      </c>
      <c r="D324" s="1" t="s">
        <v>3924</v>
      </c>
      <c r="E324" s="1" t="s">
        <v>3927</v>
      </c>
      <c r="F324" s="3">
        <v>1</v>
      </c>
      <c r="I324" s="24" t="s">
        <v>2965</v>
      </c>
      <c r="J324" s="24" t="s">
        <v>2923</v>
      </c>
      <c r="K324" s="3">
        <v>30</v>
      </c>
      <c r="L324" s="3" t="s">
        <v>6745</v>
      </c>
      <c r="M324" s="3" t="str">
        <f>HYPERLINK("http://ictvonline.org/taxonomyHistory.asp?taxnode_id=20150730","ICTVonline=20150730")</f>
        <v>ICTVonline=20150730</v>
      </c>
    </row>
    <row r="325" spans="1:13" x14ac:dyDescent="0.15">
      <c r="A325" s="1" t="s">
        <v>1393</v>
      </c>
      <c r="B325" s="1" t="s">
        <v>928</v>
      </c>
      <c r="C325" s="1" t="s">
        <v>3899</v>
      </c>
      <c r="D325" s="1" t="s">
        <v>3924</v>
      </c>
      <c r="E325" s="1" t="s">
        <v>3929</v>
      </c>
      <c r="F325" s="3">
        <v>0</v>
      </c>
      <c r="G325" s="24" t="s">
        <v>7337</v>
      </c>
      <c r="H325" s="24" t="s">
        <v>3930</v>
      </c>
      <c r="I325" s="24" t="s">
        <v>2965</v>
      </c>
      <c r="J325" s="24" t="s">
        <v>2919</v>
      </c>
      <c r="K325" s="3">
        <v>30</v>
      </c>
      <c r="L325" s="3" t="s">
        <v>6783</v>
      </c>
      <c r="M325" s="3" t="str">
        <f>HYPERLINK("http://ictvonline.org/taxonomyHistory.asp?taxnode_id=20150810","ICTVonline=20150810")</f>
        <v>ICTVonline=20150810</v>
      </c>
    </row>
    <row r="326" spans="1:13" x14ac:dyDescent="0.15">
      <c r="A326" s="1" t="s">
        <v>1393</v>
      </c>
      <c r="B326" s="1" t="s">
        <v>928</v>
      </c>
      <c r="C326" s="1" t="s">
        <v>3899</v>
      </c>
      <c r="D326" s="1" t="s">
        <v>3924</v>
      </c>
      <c r="E326" s="1" t="s">
        <v>3931</v>
      </c>
      <c r="F326" s="3">
        <v>0</v>
      </c>
      <c r="I326" s="24" t="s">
        <v>2965</v>
      </c>
      <c r="J326" s="24" t="s">
        <v>2923</v>
      </c>
      <c r="K326" s="3">
        <v>30</v>
      </c>
      <c r="L326" s="3" t="s">
        <v>6745</v>
      </c>
      <c r="M326" s="3" t="str">
        <f>HYPERLINK("http://ictvonline.org/taxonomyHistory.asp?taxnode_id=20150736","ICTVonline=20150736")</f>
        <v>ICTVonline=20150736</v>
      </c>
    </row>
    <row r="327" spans="1:13" x14ac:dyDescent="0.15">
      <c r="A327" s="1" t="s">
        <v>1393</v>
      </c>
      <c r="B327" s="1" t="s">
        <v>928</v>
      </c>
      <c r="C327" s="1" t="s">
        <v>3899</v>
      </c>
      <c r="D327" s="1" t="s">
        <v>3932</v>
      </c>
      <c r="E327" s="1" t="s">
        <v>3933</v>
      </c>
      <c r="F327" s="3">
        <v>0</v>
      </c>
      <c r="G327" s="24" t="s">
        <v>7338</v>
      </c>
      <c r="H327" s="24" t="s">
        <v>3934</v>
      </c>
      <c r="I327" s="24" t="s">
        <v>2965</v>
      </c>
      <c r="J327" s="24" t="s">
        <v>2919</v>
      </c>
      <c r="K327" s="3">
        <v>30</v>
      </c>
      <c r="L327" s="3" t="s">
        <v>6783</v>
      </c>
      <c r="M327" s="3" t="str">
        <f>HYPERLINK("http://ictvonline.org/taxonomyHistory.asp?taxnode_id=20150813","ICTVonline=20150813")</f>
        <v>ICTVonline=20150813</v>
      </c>
    </row>
    <row r="328" spans="1:13" x14ac:dyDescent="0.15">
      <c r="A328" s="1" t="s">
        <v>1393</v>
      </c>
      <c r="B328" s="1" t="s">
        <v>928</v>
      </c>
      <c r="C328" s="1" t="s">
        <v>3899</v>
      </c>
      <c r="D328" s="1" t="s">
        <v>3932</v>
      </c>
      <c r="E328" s="1" t="s">
        <v>3935</v>
      </c>
      <c r="F328" s="3">
        <v>1</v>
      </c>
      <c r="G328" s="24" t="s">
        <v>7339</v>
      </c>
      <c r="H328" s="24" t="s">
        <v>2299</v>
      </c>
      <c r="I328" s="24" t="s">
        <v>2965</v>
      </c>
      <c r="J328" s="24" t="s">
        <v>2923</v>
      </c>
      <c r="K328" s="3">
        <v>30</v>
      </c>
      <c r="L328" s="3" t="s">
        <v>6783</v>
      </c>
      <c r="M328" s="3" t="str">
        <f>HYPERLINK("http://ictvonline.org/taxonomyHistory.asp?taxnode_id=20150735","ICTVonline=20150735")</f>
        <v>ICTVonline=20150735</v>
      </c>
    </row>
    <row r="329" spans="1:13" x14ac:dyDescent="0.15">
      <c r="A329" s="1" t="s">
        <v>1393</v>
      </c>
      <c r="B329" s="1" t="s">
        <v>928</v>
      </c>
      <c r="C329" s="1" t="s">
        <v>3899</v>
      </c>
      <c r="D329" s="1" t="s">
        <v>3932</v>
      </c>
      <c r="E329" s="1" t="s">
        <v>3936</v>
      </c>
      <c r="F329" s="3">
        <v>0</v>
      </c>
      <c r="G329" s="24" t="s">
        <v>7340</v>
      </c>
      <c r="H329" s="24" t="s">
        <v>3937</v>
      </c>
      <c r="I329" s="24" t="s">
        <v>2965</v>
      </c>
      <c r="J329" s="24" t="s">
        <v>2919</v>
      </c>
      <c r="K329" s="3">
        <v>30</v>
      </c>
      <c r="L329" s="3" t="s">
        <v>6783</v>
      </c>
      <c r="M329" s="3" t="str">
        <f>HYPERLINK("http://ictvonline.org/taxonomyHistory.asp?taxnode_id=20150812","ICTVonline=20150812")</f>
        <v>ICTVonline=20150812</v>
      </c>
    </row>
    <row r="330" spans="1:13" x14ac:dyDescent="0.15">
      <c r="A330" s="1" t="s">
        <v>1393</v>
      </c>
      <c r="B330" s="1" t="s">
        <v>928</v>
      </c>
      <c r="C330" s="1" t="s">
        <v>3899</v>
      </c>
      <c r="D330" s="1" t="s">
        <v>934</v>
      </c>
      <c r="E330" s="1" t="s">
        <v>3938</v>
      </c>
      <c r="F330" s="3">
        <v>0</v>
      </c>
      <c r="I330" s="24" t="s">
        <v>2965</v>
      </c>
      <c r="J330" s="24" t="s">
        <v>2923</v>
      </c>
      <c r="K330" s="3">
        <v>30</v>
      </c>
      <c r="L330" s="3" t="s">
        <v>6783</v>
      </c>
      <c r="M330" s="3" t="str">
        <f>HYPERLINK("http://ictvonline.org/taxonomyHistory.asp?taxnode_id=20150728","ICTVonline=20150728")</f>
        <v>ICTVonline=20150728</v>
      </c>
    </row>
    <row r="331" spans="1:13" x14ac:dyDescent="0.15">
      <c r="A331" s="1" t="s">
        <v>1393</v>
      </c>
      <c r="B331" s="1" t="s">
        <v>928</v>
      </c>
      <c r="D331" s="1" t="s">
        <v>3939</v>
      </c>
      <c r="E331" s="1" t="s">
        <v>3940</v>
      </c>
      <c r="F331" s="3">
        <v>1</v>
      </c>
      <c r="G331" s="24" t="s">
        <v>2981</v>
      </c>
      <c r="I331" s="24" t="s">
        <v>2965</v>
      </c>
      <c r="J331" s="24" t="s">
        <v>2923</v>
      </c>
      <c r="K331" s="3">
        <v>30</v>
      </c>
      <c r="L331" s="3" t="s">
        <v>6745</v>
      </c>
      <c r="M331" s="3" t="str">
        <f>HYPERLINK("http://ictvonline.org/taxonomyHistory.asp?taxnode_id=20150393","ICTVonline=20150393")</f>
        <v>ICTVonline=20150393</v>
      </c>
    </row>
    <row r="332" spans="1:13" x14ac:dyDescent="0.15">
      <c r="A332" s="1" t="s">
        <v>1393</v>
      </c>
      <c r="B332" s="1" t="s">
        <v>928</v>
      </c>
      <c r="D332" s="1" t="s">
        <v>3939</v>
      </c>
      <c r="E332" s="1" t="s">
        <v>3941</v>
      </c>
      <c r="F332" s="3">
        <v>0</v>
      </c>
      <c r="G332" s="24" t="s">
        <v>2982</v>
      </c>
      <c r="I332" s="24" t="s">
        <v>2965</v>
      </c>
      <c r="J332" s="24" t="s">
        <v>2923</v>
      </c>
      <c r="K332" s="3">
        <v>30</v>
      </c>
      <c r="L332" s="3" t="s">
        <v>6745</v>
      </c>
      <c r="M332" s="3" t="str">
        <f>HYPERLINK("http://ictvonline.org/taxonomyHistory.asp?taxnode_id=20150394","ICTVonline=20150394")</f>
        <v>ICTVonline=20150394</v>
      </c>
    </row>
    <row r="333" spans="1:13" x14ac:dyDescent="0.15">
      <c r="A333" s="1" t="s">
        <v>1393</v>
      </c>
      <c r="B333" s="1" t="s">
        <v>928</v>
      </c>
      <c r="D333" s="1" t="s">
        <v>3939</v>
      </c>
      <c r="E333" s="1" t="s">
        <v>3942</v>
      </c>
      <c r="F333" s="3">
        <v>0</v>
      </c>
      <c r="G333" s="24" t="s">
        <v>2983</v>
      </c>
      <c r="I333" s="24" t="s">
        <v>2965</v>
      </c>
      <c r="J333" s="24" t="s">
        <v>2923</v>
      </c>
      <c r="K333" s="3">
        <v>30</v>
      </c>
      <c r="L333" s="3" t="s">
        <v>6745</v>
      </c>
      <c r="M333" s="3" t="str">
        <f>HYPERLINK("http://ictvonline.org/taxonomyHistory.asp?taxnode_id=20150395","ICTVonline=20150395")</f>
        <v>ICTVonline=20150395</v>
      </c>
    </row>
    <row r="334" spans="1:13" x14ac:dyDescent="0.15">
      <c r="A334" s="1" t="s">
        <v>1393</v>
      </c>
      <c r="B334" s="1" t="s">
        <v>928</v>
      </c>
      <c r="D334" s="1" t="s">
        <v>3939</v>
      </c>
      <c r="E334" s="1" t="s">
        <v>3943</v>
      </c>
      <c r="F334" s="3">
        <v>0</v>
      </c>
      <c r="G334" s="24" t="s">
        <v>2984</v>
      </c>
      <c r="I334" s="24" t="s">
        <v>2965</v>
      </c>
      <c r="J334" s="24" t="s">
        <v>2923</v>
      </c>
      <c r="K334" s="3">
        <v>30</v>
      </c>
      <c r="L334" s="3" t="s">
        <v>6745</v>
      </c>
      <c r="M334" s="3" t="str">
        <f>HYPERLINK("http://ictvonline.org/taxonomyHistory.asp?taxnode_id=20150396","ICTVonline=20150396")</f>
        <v>ICTVonline=20150396</v>
      </c>
    </row>
    <row r="335" spans="1:13" x14ac:dyDescent="0.15">
      <c r="A335" s="1" t="s">
        <v>1393</v>
      </c>
      <c r="B335" s="1" t="s">
        <v>928</v>
      </c>
      <c r="D335" s="1" t="s">
        <v>3939</v>
      </c>
      <c r="E335" s="1" t="s">
        <v>3944</v>
      </c>
      <c r="F335" s="3">
        <v>0</v>
      </c>
      <c r="G335" s="24" t="s">
        <v>2985</v>
      </c>
      <c r="I335" s="24" t="s">
        <v>2965</v>
      </c>
      <c r="J335" s="24" t="s">
        <v>2923</v>
      </c>
      <c r="K335" s="3">
        <v>30</v>
      </c>
      <c r="L335" s="3" t="s">
        <v>6745</v>
      </c>
      <c r="M335" s="3" t="str">
        <f>HYPERLINK("http://ictvonline.org/taxonomyHistory.asp?taxnode_id=20150397","ICTVonline=20150397")</f>
        <v>ICTVonline=20150397</v>
      </c>
    </row>
    <row r="336" spans="1:13" x14ac:dyDescent="0.15">
      <c r="A336" s="1" t="s">
        <v>1393</v>
      </c>
      <c r="B336" s="1" t="s">
        <v>928</v>
      </c>
      <c r="D336" s="1" t="s">
        <v>3939</v>
      </c>
      <c r="E336" s="1" t="s">
        <v>3945</v>
      </c>
      <c r="F336" s="3">
        <v>0</v>
      </c>
      <c r="G336" s="24" t="s">
        <v>2986</v>
      </c>
      <c r="I336" s="24" t="s">
        <v>2965</v>
      </c>
      <c r="J336" s="24" t="s">
        <v>2923</v>
      </c>
      <c r="K336" s="3">
        <v>30</v>
      </c>
      <c r="L336" s="3" t="s">
        <v>6745</v>
      </c>
      <c r="M336" s="3" t="str">
        <f>HYPERLINK("http://ictvonline.org/taxonomyHistory.asp?taxnode_id=20150398","ICTVonline=20150398")</f>
        <v>ICTVonline=20150398</v>
      </c>
    </row>
    <row r="337" spans="1:13" x14ac:dyDescent="0.15">
      <c r="A337" s="1" t="s">
        <v>1393</v>
      </c>
      <c r="B337" s="1" t="s">
        <v>928</v>
      </c>
      <c r="D337" s="1" t="s">
        <v>3939</v>
      </c>
      <c r="E337" s="1" t="s">
        <v>3946</v>
      </c>
      <c r="F337" s="3">
        <v>0</v>
      </c>
      <c r="G337" s="24" t="s">
        <v>2987</v>
      </c>
      <c r="I337" s="24" t="s">
        <v>2965</v>
      </c>
      <c r="J337" s="24" t="s">
        <v>2923</v>
      </c>
      <c r="K337" s="3">
        <v>30</v>
      </c>
      <c r="L337" s="3" t="s">
        <v>6745</v>
      </c>
      <c r="M337" s="3" t="str">
        <f>HYPERLINK("http://ictvonline.org/taxonomyHistory.asp?taxnode_id=20150399","ICTVonline=20150399")</f>
        <v>ICTVonline=20150399</v>
      </c>
    </row>
    <row r="338" spans="1:13" x14ac:dyDescent="0.15">
      <c r="A338" s="1" t="s">
        <v>1393</v>
      </c>
      <c r="B338" s="1" t="s">
        <v>928</v>
      </c>
      <c r="D338" s="1" t="s">
        <v>3939</v>
      </c>
      <c r="E338" s="1" t="s">
        <v>3947</v>
      </c>
      <c r="F338" s="3">
        <v>0</v>
      </c>
      <c r="G338" s="24" t="s">
        <v>2988</v>
      </c>
      <c r="I338" s="24" t="s">
        <v>2965</v>
      </c>
      <c r="J338" s="24" t="s">
        <v>2923</v>
      </c>
      <c r="K338" s="3">
        <v>30</v>
      </c>
      <c r="L338" s="3" t="s">
        <v>6745</v>
      </c>
      <c r="M338" s="3" t="str">
        <f>HYPERLINK("http://ictvonline.org/taxonomyHistory.asp?taxnode_id=20150400","ICTVonline=20150400")</f>
        <v>ICTVonline=20150400</v>
      </c>
    </row>
    <row r="339" spans="1:13" x14ac:dyDescent="0.15">
      <c r="A339" s="1" t="s">
        <v>1393</v>
      </c>
      <c r="B339" s="1" t="s">
        <v>928</v>
      </c>
      <c r="D339" s="1" t="s">
        <v>3948</v>
      </c>
      <c r="E339" s="1" t="s">
        <v>3949</v>
      </c>
      <c r="F339" s="3">
        <v>1</v>
      </c>
      <c r="G339" s="24" t="s">
        <v>2989</v>
      </c>
      <c r="I339" s="24" t="s">
        <v>2965</v>
      </c>
      <c r="J339" s="24" t="s">
        <v>2923</v>
      </c>
      <c r="K339" s="3">
        <v>30</v>
      </c>
      <c r="L339" s="3" t="s">
        <v>6745</v>
      </c>
      <c r="M339" s="3" t="str">
        <f>HYPERLINK("http://ictvonline.org/taxonomyHistory.asp?taxnode_id=20150402","ICTVonline=20150402")</f>
        <v>ICTVonline=20150402</v>
      </c>
    </row>
    <row r="340" spans="1:13" x14ac:dyDescent="0.15">
      <c r="A340" s="1" t="s">
        <v>1393</v>
      </c>
      <c r="B340" s="1" t="s">
        <v>928</v>
      </c>
      <c r="D340" s="1" t="s">
        <v>3948</v>
      </c>
      <c r="E340" s="1" t="s">
        <v>3950</v>
      </c>
      <c r="F340" s="3">
        <v>0</v>
      </c>
      <c r="G340" s="24" t="s">
        <v>2990</v>
      </c>
      <c r="I340" s="24" t="s">
        <v>2965</v>
      </c>
      <c r="J340" s="24" t="s">
        <v>2923</v>
      </c>
      <c r="K340" s="3">
        <v>30</v>
      </c>
      <c r="L340" s="3" t="s">
        <v>6745</v>
      </c>
      <c r="M340" s="3" t="str">
        <f>HYPERLINK("http://ictvonline.org/taxonomyHistory.asp?taxnode_id=20150403","ICTVonline=20150403")</f>
        <v>ICTVonline=20150403</v>
      </c>
    </row>
    <row r="341" spans="1:13" x14ac:dyDescent="0.15">
      <c r="A341" s="1" t="s">
        <v>1393</v>
      </c>
      <c r="B341" s="1" t="s">
        <v>928</v>
      </c>
      <c r="D341" s="1" t="s">
        <v>3948</v>
      </c>
      <c r="E341" s="1" t="s">
        <v>3951</v>
      </c>
      <c r="F341" s="3">
        <v>0</v>
      </c>
      <c r="G341" s="24" t="s">
        <v>2991</v>
      </c>
      <c r="I341" s="24" t="s">
        <v>2965</v>
      </c>
      <c r="J341" s="24" t="s">
        <v>2923</v>
      </c>
      <c r="K341" s="3">
        <v>30</v>
      </c>
      <c r="L341" s="3" t="s">
        <v>6745</v>
      </c>
      <c r="M341" s="3" t="str">
        <f>HYPERLINK("http://ictvonline.org/taxonomyHistory.asp?taxnode_id=20150404","ICTVonline=20150404")</f>
        <v>ICTVonline=20150404</v>
      </c>
    </row>
    <row r="342" spans="1:13" x14ac:dyDescent="0.15">
      <c r="A342" s="1" t="s">
        <v>1393</v>
      </c>
      <c r="B342" s="1" t="s">
        <v>928</v>
      </c>
      <c r="D342" s="1" t="s">
        <v>3948</v>
      </c>
      <c r="E342" s="1" t="s">
        <v>3952</v>
      </c>
      <c r="F342" s="3">
        <v>0</v>
      </c>
      <c r="G342" s="24" t="s">
        <v>2992</v>
      </c>
      <c r="I342" s="24" t="s">
        <v>2965</v>
      </c>
      <c r="J342" s="24" t="s">
        <v>2923</v>
      </c>
      <c r="K342" s="3">
        <v>30</v>
      </c>
      <c r="L342" s="3" t="s">
        <v>6745</v>
      </c>
      <c r="M342" s="3" t="str">
        <f>HYPERLINK("http://ictvonline.org/taxonomyHistory.asp?taxnode_id=20150405","ICTVonline=20150405")</f>
        <v>ICTVonline=20150405</v>
      </c>
    </row>
    <row r="343" spans="1:13" x14ac:dyDescent="0.15">
      <c r="A343" s="1" t="s">
        <v>1393</v>
      </c>
      <c r="B343" s="1" t="s">
        <v>928</v>
      </c>
      <c r="D343" s="1" t="s">
        <v>3953</v>
      </c>
      <c r="E343" s="1" t="s">
        <v>3954</v>
      </c>
      <c r="F343" s="3">
        <v>1</v>
      </c>
      <c r="G343" s="24" t="s">
        <v>2993</v>
      </c>
      <c r="I343" s="24" t="s">
        <v>2965</v>
      </c>
      <c r="J343" s="24" t="s">
        <v>2923</v>
      </c>
      <c r="K343" s="3">
        <v>30</v>
      </c>
      <c r="L343" s="3" t="s">
        <v>6745</v>
      </c>
      <c r="M343" s="3" t="str">
        <f>HYPERLINK("http://ictvonline.org/taxonomyHistory.asp?taxnode_id=20150407","ICTVonline=20150407")</f>
        <v>ICTVonline=20150407</v>
      </c>
    </row>
    <row r="344" spans="1:13" x14ac:dyDescent="0.15">
      <c r="A344" s="1" t="s">
        <v>1393</v>
      </c>
      <c r="B344" s="1" t="s">
        <v>928</v>
      </c>
      <c r="D344" s="1" t="s">
        <v>3953</v>
      </c>
      <c r="E344" s="1" t="s">
        <v>3955</v>
      </c>
      <c r="F344" s="3">
        <v>0</v>
      </c>
      <c r="G344" s="24" t="s">
        <v>2994</v>
      </c>
      <c r="I344" s="24" t="s">
        <v>2965</v>
      </c>
      <c r="J344" s="24" t="s">
        <v>2923</v>
      </c>
      <c r="K344" s="3">
        <v>30</v>
      </c>
      <c r="L344" s="3" t="s">
        <v>6745</v>
      </c>
      <c r="M344" s="3" t="str">
        <f>HYPERLINK("http://ictvonline.org/taxonomyHistory.asp?taxnode_id=20150408","ICTVonline=20150408")</f>
        <v>ICTVonline=20150408</v>
      </c>
    </row>
    <row r="345" spans="1:13" x14ac:dyDescent="0.15">
      <c r="A345" s="1" t="s">
        <v>1393</v>
      </c>
      <c r="B345" s="1" t="s">
        <v>928</v>
      </c>
      <c r="D345" s="1" t="s">
        <v>3956</v>
      </c>
      <c r="E345" s="1" t="s">
        <v>3957</v>
      </c>
      <c r="F345" s="3">
        <v>0</v>
      </c>
      <c r="G345" s="24" t="s">
        <v>2978</v>
      </c>
      <c r="I345" s="24" t="s">
        <v>2965</v>
      </c>
      <c r="J345" s="24" t="s">
        <v>2923</v>
      </c>
      <c r="K345" s="3">
        <v>30</v>
      </c>
      <c r="L345" s="3" t="s">
        <v>6745</v>
      </c>
      <c r="M345" s="3" t="str">
        <f>HYPERLINK("http://ictvonline.org/taxonomyHistory.asp?taxnode_id=20150389","ICTVonline=20150389")</f>
        <v>ICTVonline=20150389</v>
      </c>
    </row>
    <row r="346" spans="1:13" x14ac:dyDescent="0.15">
      <c r="A346" s="1" t="s">
        <v>1393</v>
      </c>
      <c r="B346" s="1" t="s">
        <v>928</v>
      </c>
      <c r="D346" s="1" t="s">
        <v>3956</v>
      </c>
      <c r="E346" s="1" t="s">
        <v>3958</v>
      </c>
      <c r="F346" s="3">
        <v>1</v>
      </c>
      <c r="G346" s="24" t="s">
        <v>2979</v>
      </c>
      <c r="I346" s="24" t="s">
        <v>2965</v>
      </c>
      <c r="J346" s="24" t="s">
        <v>2923</v>
      </c>
      <c r="K346" s="3">
        <v>30</v>
      </c>
      <c r="L346" s="3" t="s">
        <v>6745</v>
      </c>
      <c r="M346" s="3" t="str">
        <f>HYPERLINK("http://ictvonline.org/taxonomyHistory.asp?taxnode_id=20150390","ICTVonline=20150390")</f>
        <v>ICTVonline=20150390</v>
      </c>
    </row>
    <row r="347" spans="1:13" x14ac:dyDescent="0.15">
      <c r="A347" s="1" t="s">
        <v>1393</v>
      </c>
      <c r="B347" s="1" t="s">
        <v>928</v>
      </c>
      <c r="D347" s="1" t="s">
        <v>3956</v>
      </c>
      <c r="E347" s="1" t="s">
        <v>3959</v>
      </c>
      <c r="F347" s="3">
        <v>0</v>
      </c>
      <c r="G347" s="24" t="s">
        <v>2980</v>
      </c>
      <c r="I347" s="24" t="s">
        <v>2965</v>
      </c>
      <c r="J347" s="24" t="s">
        <v>2923</v>
      </c>
      <c r="K347" s="3">
        <v>30</v>
      </c>
      <c r="L347" s="3" t="s">
        <v>6745</v>
      </c>
      <c r="M347" s="3" t="str">
        <f>HYPERLINK("http://ictvonline.org/taxonomyHistory.asp?taxnode_id=20150391","ICTVonline=20150391")</f>
        <v>ICTVonline=20150391</v>
      </c>
    </row>
    <row r="348" spans="1:13" x14ac:dyDescent="0.15">
      <c r="A348" s="1" t="s">
        <v>1393</v>
      </c>
      <c r="B348" s="1" t="s">
        <v>928</v>
      </c>
      <c r="D348" s="1" t="s">
        <v>3960</v>
      </c>
      <c r="E348" s="1" t="s">
        <v>3961</v>
      </c>
      <c r="F348" s="3">
        <v>1</v>
      </c>
      <c r="G348" s="24" t="s">
        <v>2995</v>
      </c>
      <c r="I348" s="24" t="s">
        <v>2965</v>
      </c>
      <c r="J348" s="24" t="s">
        <v>2923</v>
      </c>
      <c r="K348" s="3">
        <v>30</v>
      </c>
      <c r="L348" s="3" t="s">
        <v>6745</v>
      </c>
      <c r="M348" s="3" t="str">
        <f>HYPERLINK("http://ictvonline.org/taxonomyHistory.asp?taxnode_id=20150410","ICTVonline=20150410")</f>
        <v>ICTVonline=20150410</v>
      </c>
    </row>
    <row r="349" spans="1:13" x14ac:dyDescent="0.15">
      <c r="A349" s="1" t="s">
        <v>1393</v>
      </c>
      <c r="B349" s="1" t="s">
        <v>928</v>
      </c>
      <c r="D349" s="1" t="s">
        <v>3960</v>
      </c>
      <c r="E349" s="1" t="s">
        <v>3962</v>
      </c>
      <c r="F349" s="3">
        <v>0</v>
      </c>
      <c r="G349" s="24" t="s">
        <v>2996</v>
      </c>
      <c r="I349" s="24" t="s">
        <v>2965</v>
      </c>
      <c r="J349" s="24" t="s">
        <v>2923</v>
      </c>
      <c r="K349" s="3">
        <v>30</v>
      </c>
      <c r="L349" s="3" t="s">
        <v>6745</v>
      </c>
      <c r="M349" s="3" t="str">
        <f>HYPERLINK("http://ictvonline.org/taxonomyHistory.asp?taxnode_id=20150411","ICTVonline=20150411")</f>
        <v>ICTVonline=20150411</v>
      </c>
    </row>
    <row r="350" spans="1:13" x14ac:dyDescent="0.15">
      <c r="A350" s="1" t="s">
        <v>1393</v>
      </c>
      <c r="B350" s="1" t="s">
        <v>928</v>
      </c>
      <c r="D350" s="1" t="s">
        <v>3960</v>
      </c>
      <c r="E350" s="1" t="s">
        <v>3963</v>
      </c>
      <c r="F350" s="3">
        <v>0</v>
      </c>
      <c r="G350" s="24" t="s">
        <v>2997</v>
      </c>
      <c r="I350" s="24" t="s">
        <v>2965</v>
      </c>
      <c r="J350" s="24" t="s">
        <v>2923</v>
      </c>
      <c r="K350" s="3">
        <v>30</v>
      </c>
      <c r="L350" s="3" t="s">
        <v>6745</v>
      </c>
      <c r="M350" s="3" t="str">
        <f>HYPERLINK("http://ictvonline.org/taxonomyHistory.asp?taxnode_id=20150412","ICTVonline=20150412")</f>
        <v>ICTVonline=20150412</v>
      </c>
    </row>
    <row r="351" spans="1:13" x14ac:dyDescent="0.15">
      <c r="A351" s="1" t="s">
        <v>1393</v>
      </c>
      <c r="B351" s="1" t="s">
        <v>928</v>
      </c>
      <c r="D351" s="1" t="s">
        <v>3960</v>
      </c>
      <c r="E351" s="1" t="s">
        <v>3964</v>
      </c>
      <c r="F351" s="3">
        <v>0</v>
      </c>
      <c r="G351" s="24" t="s">
        <v>2998</v>
      </c>
      <c r="I351" s="24" t="s">
        <v>2965</v>
      </c>
      <c r="J351" s="24" t="s">
        <v>2923</v>
      </c>
      <c r="K351" s="3">
        <v>30</v>
      </c>
      <c r="L351" s="3" t="s">
        <v>6745</v>
      </c>
      <c r="M351" s="3" t="str">
        <f>HYPERLINK("http://ictvonline.org/taxonomyHistory.asp?taxnode_id=20150413","ICTVonline=20150413")</f>
        <v>ICTVonline=20150413</v>
      </c>
    </row>
    <row r="352" spans="1:13" x14ac:dyDescent="0.15">
      <c r="A352" s="1" t="s">
        <v>1393</v>
      </c>
      <c r="B352" s="1" t="s">
        <v>928</v>
      </c>
      <c r="D352" s="1" t="s">
        <v>3965</v>
      </c>
      <c r="E352" s="1" t="s">
        <v>3966</v>
      </c>
      <c r="F352" s="3">
        <v>0</v>
      </c>
      <c r="I352" s="24" t="s">
        <v>2965</v>
      </c>
      <c r="J352" s="24" t="s">
        <v>2923</v>
      </c>
      <c r="K352" s="3">
        <v>30</v>
      </c>
      <c r="L352" s="3" t="s">
        <v>6745</v>
      </c>
      <c r="M352" s="3" t="str">
        <f>HYPERLINK("http://ictvonline.org/taxonomyHistory.asp?taxnode_id=20150415","ICTVonline=20150415")</f>
        <v>ICTVonline=20150415</v>
      </c>
    </row>
    <row r="353" spans="1:13" x14ac:dyDescent="0.15">
      <c r="A353" s="1" t="s">
        <v>1393</v>
      </c>
      <c r="B353" s="1" t="s">
        <v>928</v>
      </c>
      <c r="D353" s="1" t="s">
        <v>3965</v>
      </c>
      <c r="E353" s="1" t="s">
        <v>3967</v>
      </c>
      <c r="F353" s="3">
        <v>1</v>
      </c>
      <c r="I353" s="24" t="s">
        <v>2965</v>
      </c>
      <c r="J353" s="24" t="s">
        <v>2923</v>
      </c>
      <c r="K353" s="3">
        <v>30</v>
      </c>
      <c r="L353" s="3" t="s">
        <v>6745</v>
      </c>
      <c r="M353" s="3" t="str">
        <f>HYPERLINK("http://ictvonline.org/taxonomyHistory.asp?taxnode_id=20150416","ICTVonline=20150416")</f>
        <v>ICTVonline=20150416</v>
      </c>
    </row>
    <row r="354" spans="1:13" x14ac:dyDescent="0.15">
      <c r="A354" s="1" t="s">
        <v>1393</v>
      </c>
      <c r="B354" s="1" t="s">
        <v>928</v>
      </c>
      <c r="D354" s="1" t="s">
        <v>3968</v>
      </c>
      <c r="E354" s="1" t="s">
        <v>3969</v>
      </c>
      <c r="F354" s="3">
        <v>1</v>
      </c>
      <c r="G354" s="24" t="s">
        <v>2999</v>
      </c>
      <c r="I354" s="24" t="s">
        <v>2965</v>
      </c>
      <c r="J354" s="24" t="s">
        <v>2923</v>
      </c>
      <c r="K354" s="3">
        <v>30</v>
      </c>
      <c r="L354" s="3" t="s">
        <v>6745</v>
      </c>
      <c r="M354" s="3" t="str">
        <f>HYPERLINK("http://ictvonline.org/taxonomyHistory.asp?taxnode_id=20150418","ICTVonline=20150418")</f>
        <v>ICTVonline=20150418</v>
      </c>
    </row>
    <row r="355" spans="1:13" x14ac:dyDescent="0.15">
      <c r="A355" s="1" t="s">
        <v>1393</v>
      </c>
      <c r="B355" s="1" t="s">
        <v>928</v>
      </c>
      <c r="D355" s="1" t="s">
        <v>3968</v>
      </c>
      <c r="E355" s="1" t="s">
        <v>3970</v>
      </c>
      <c r="F355" s="3">
        <v>0</v>
      </c>
      <c r="G355" s="24" t="s">
        <v>3000</v>
      </c>
      <c r="I355" s="24" t="s">
        <v>2965</v>
      </c>
      <c r="J355" s="24" t="s">
        <v>2923</v>
      </c>
      <c r="K355" s="3">
        <v>30</v>
      </c>
      <c r="L355" s="3" t="s">
        <v>6745</v>
      </c>
      <c r="M355" s="3" t="str">
        <f>HYPERLINK("http://ictvonline.org/taxonomyHistory.asp?taxnode_id=20150419","ICTVonline=20150419")</f>
        <v>ICTVonline=20150419</v>
      </c>
    </row>
    <row r="356" spans="1:13" x14ac:dyDescent="0.15">
      <c r="A356" s="1" t="s">
        <v>1393</v>
      </c>
      <c r="B356" s="1" t="s">
        <v>928</v>
      </c>
      <c r="D356" s="1" t="s">
        <v>3971</v>
      </c>
      <c r="E356" s="1" t="s">
        <v>3972</v>
      </c>
      <c r="F356" s="3">
        <v>0</v>
      </c>
      <c r="G356" s="24" t="s">
        <v>7341</v>
      </c>
      <c r="H356" s="24" t="s">
        <v>3973</v>
      </c>
      <c r="I356" s="24" t="s">
        <v>2965</v>
      </c>
      <c r="J356" s="24" t="s">
        <v>2919</v>
      </c>
      <c r="K356" s="3">
        <v>30</v>
      </c>
      <c r="L356" s="3" t="s">
        <v>6784</v>
      </c>
      <c r="M356" s="3" t="str">
        <f>HYPERLINK("http://ictvonline.org/taxonomyHistory.asp?taxnode_id=20150798","ICTVonline=20150798")</f>
        <v>ICTVonline=20150798</v>
      </c>
    </row>
    <row r="357" spans="1:13" x14ac:dyDescent="0.15">
      <c r="A357" s="1" t="s">
        <v>1393</v>
      </c>
      <c r="B357" s="1" t="s">
        <v>928</v>
      </c>
      <c r="D357" s="1" t="s">
        <v>3971</v>
      </c>
      <c r="E357" s="1" t="s">
        <v>3974</v>
      </c>
      <c r="F357" s="3">
        <v>0</v>
      </c>
      <c r="G357" s="24" t="s">
        <v>7342</v>
      </c>
      <c r="H357" s="24" t="s">
        <v>3975</v>
      </c>
      <c r="I357" s="24" t="s">
        <v>2965</v>
      </c>
      <c r="J357" s="24" t="s">
        <v>2919</v>
      </c>
      <c r="K357" s="3">
        <v>30</v>
      </c>
      <c r="L357" s="3" t="s">
        <v>6784</v>
      </c>
      <c r="M357" s="3" t="str">
        <f>HYPERLINK("http://ictvonline.org/taxonomyHistory.asp?taxnode_id=20150799","ICTVonline=20150799")</f>
        <v>ICTVonline=20150799</v>
      </c>
    </row>
    <row r="358" spans="1:13" x14ac:dyDescent="0.15">
      <c r="A358" s="1" t="s">
        <v>1393</v>
      </c>
      <c r="B358" s="1" t="s">
        <v>928</v>
      </c>
      <c r="D358" s="1" t="s">
        <v>3971</v>
      </c>
      <c r="E358" s="1" t="s">
        <v>3976</v>
      </c>
      <c r="F358" s="3">
        <v>1</v>
      </c>
      <c r="G358" s="24" t="s">
        <v>7343</v>
      </c>
      <c r="H358" s="24" t="s">
        <v>3977</v>
      </c>
      <c r="I358" s="24" t="s">
        <v>2965</v>
      </c>
      <c r="J358" s="24" t="s">
        <v>2919</v>
      </c>
      <c r="K358" s="3">
        <v>30</v>
      </c>
      <c r="L358" s="3" t="s">
        <v>6784</v>
      </c>
      <c r="M358" s="3" t="str">
        <f>HYPERLINK("http://ictvonline.org/taxonomyHistory.asp?taxnode_id=20150797","ICTVonline=20150797")</f>
        <v>ICTVonline=20150797</v>
      </c>
    </row>
    <row r="359" spans="1:13" x14ac:dyDescent="0.15">
      <c r="A359" s="1" t="s">
        <v>1393</v>
      </c>
      <c r="B359" s="1" t="s">
        <v>928</v>
      </c>
      <c r="D359" s="1" t="s">
        <v>3978</v>
      </c>
      <c r="E359" s="1" t="s">
        <v>3979</v>
      </c>
      <c r="F359" s="3">
        <v>1</v>
      </c>
      <c r="G359" s="24" t="s">
        <v>7344</v>
      </c>
      <c r="H359" s="24" t="s">
        <v>3980</v>
      </c>
      <c r="I359" s="24" t="s">
        <v>2965</v>
      </c>
      <c r="J359" s="24" t="s">
        <v>2919</v>
      </c>
      <c r="K359" s="3">
        <v>30</v>
      </c>
      <c r="L359" s="3" t="s">
        <v>6785</v>
      </c>
      <c r="M359" s="3" t="str">
        <f>HYPERLINK("http://ictvonline.org/taxonomyHistory.asp?taxnode_id=20150801","ICTVonline=20150801")</f>
        <v>ICTVonline=20150801</v>
      </c>
    </row>
    <row r="360" spans="1:13" x14ac:dyDescent="0.15">
      <c r="A360" s="1" t="s">
        <v>1393</v>
      </c>
      <c r="B360" s="1" t="s">
        <v>928</v>
      </c>
      <c r="D360" s="1" t="s">
        <v>3981</v>
      </c>
      <c r="E360" s="1" t="s">
        <v>3982</v>
      </c>
      <c r="F360" s="3">
        <v>0</v>
      </c>
      <c r="G360" s="24" t="s">
        <v>3067</v>
      </c>
      <c r="I360" s="24" t="s">
        <v>2965</v>
      </c>
      <c r="J360" s="24" t="s">
        <v>2923</v>
      </c>
      <c r="K360" s="3">
        <v>30</v>
      </c>
      <c r="L360" s="3" t="s">
        <v>6745</v>
      </c>
      <c r="M360" s="3" t="str">
        <f>HYPERLINK("http://ictvonline.org/taxonomyHistory.asp?taxnode_id=20150500","ICTVonline=20150500")</f>
        <v>ICTVonline=20150500</v>
      </c>
    </row>
    <row r="361" spans="1:13" x14ac:dyDescent="0.15">
      <c r="A361" s="1" t="s">
        <v>1393</v>
      </c>
      <c r="B361" s="1" t="s">
        <v>928</v>
      </c>
      <c r="D361" s="1" t="s">
        <v>3981</v>
      </c>
      <c r="E361" s="1" t="s">
        <v>3983</v>
      </c>
      <c r="F361" s="3">
        <v>1</v>
      </c>
      <c r="G361" s="24" t="s">
        <v>3068</v>
      </c>
      <c r="I361" s="24" t="s">
        <v>2965</v>
      </c>
      <c r="J361" s="24" t="s">
        <v>2923</v>
      </c>
      <c r="K361" s="3">
        <v>30</v>
      </c>
      <c r="L361" s="3" t="s">
        <v>6745</v>
      </c>
      <c r="M361" s="3" t="str">
        <f>HYPERLINK("http://ictvonline.org/taxonomyHistory.asp?taxnode_id=20150501","ICTVonline=20150501")</f>
        <v>ICTVonline=20150501</v>
      </c>
    </row>
    <row r="362" spans="1:13" x14ac:dyDescent="0.15">
      <c r="A362" s="1" t="s">
        <v>1393</v>
      </c>
      <c r="B362" s="1" t="s">
        <v>928</v>
      </c>
      <c r="D362" s="1" t="s">
        <v>3984</v>
      </c>
      <c r="E362" s="1" t="s">
        <v>3985</v>
      </c>
      <c r="F362" s="3">
        <v>1</v>
      </c>
      <c r="G362" s="24" t="s">
        <v>3001</v>
      </c>
      <c r="I362" s="24" t="s">
        <v>2965</v>
      </c>
      <c r="J362" s="24" t="s">
        <v>2923</v>
      </c>
      <c r="K362" s="3">
        <v>30</v>
      </c>
      <c r="L362" s="3" t="s">
        <v>6745</v>
      </c>
      <c r="M362" s="3" t="str">
        <f>HYPERLINK("http://ictvonline.org/taxonomyHistory.asp?taxnode_id=20150421","ICTVonline=20150421")</f>
        <v>ICTVonline=20150421</v>
      </c>
    </row>
    <row r="363" spans="1:13" x14ac:dyDescent="0.15">
      <c r="A363" s="1" t="s">
        <v>1393</v>
      </c>
      <c r="B363" s="1" t="s">
        <v>928</v>
      </c>
      <c r="D363" s="1" t="s">
        <v>3984</v>
      </c>
      <c r="E363" s="1" t="s">
        <v>3986</v>
      </c>
      <c r="F363" s="3">
        <v>0</v>
      </c>
      <c r="G363" s="24" t="s">
        <v>3002</v>
      </c>
      <c r="I363" s="24" t="s">
        <v>2965</v>
      </c>
      <c r="J363" s="24" t="s">
        <v>2923</v>
      </c>
      <c r="K363" s="3">
        <v>30</v>
      </c>
      <c r="L363" s="3" t="s">
        <v>6745</v>
      </c>
      <c r="M363" s="3" t="str">
        <f>HYPERLINK("http://ictvonline.org/taxonomyHistory.asp?taxnode_id=20150422","ICTVonline=20150422")</f>
        <v>ICTVonline=20150422</v>
      </c>
    </row>
    <row r="364" spans="1:13" x14ac:dyDescent="0.15">
      <c r="A364" s="1" t="s">
        <v>1393</v>
      </c>
      <c r="B364" s="1" t="s">
        <v>928</v>
      </c>
      <c r="D364" s="1" t="s">
        <v>3987</v>
      </c>
      <c r="E364" s="1" t="s">
        <v>3988</v>
      </c>
      <c r="F364" s="3">
        <v>0</v>
      </c>
      <c r="G364" s="24" t="s">
        <v>3003</v>
      </c>
      <c r="I364" s="24" t="s">
        <v>2965</v>
      </c>
      <c r="J364" s="24" t="s">
        <v>2923</v>
      </c>
      <c r="K364" s="3">
        <v>30</v>
      </c>
      <c r="L364" s="3" t="s">
        <v>6745</v>
      </c>
      <c r="M364" s="3" t="str">
        <f>HYPERLINK("http://ictvonline.org/taxonomyHistory.asp?taxnode_id=20150424","ICTVonline=20150424")</f>
        <v>ICTVonline=20150424</v>
      </c>
    </row>
    <row r="365" spans="1:13" x14ac:dyDescent="0.15">
      <c r="A365" s="1" t="s">
        <v>1393</v>
      </c>
      <c r="B365" s="1" t="s">
        <v>928</v>
      </c>
      <c r="D365" s="1" t="s">
        <v>3987</v>
      </c>
      <c r="E365" s="1" t="s">
        <v>3989</v>
      </c>
      <c r="F365" s="3">
        <v>0</v>
      </c>
      <c r="G365" s="24" t="s">
        <v>3004</v>
      </c>
      <c r="I365" s="24" t="s">
        <v>2965</v>
      </c>
      <c r="J365" s="24" t="s">
        <v>2923</v>
      </c>
      <c r="K365" s="3">
        <v>30</v>
      </c>
      <c r="L365" s="3" t="s">
        <v>6745</v>
      </c>
      <c r="M365" s="3" t="str">
        <f>HYPERLINK("http://ictvonline.org/taxonomyHistory.asp?taxnode_id=20150425","ICTVonline=20150425")</f>
        <v>ICTVonline=20150425</v>
      </c>
    </row>
    <row r="366" spans="1:13" x14ac:dyDescent="0.15">
      <c r="A366" s="1" t="s">
        <v>1393</v>
      </c>
      <c r="B366" s="1" t="s">
        <v>928</v>
      </c>
      <c r="D366" s="1" t="s">
        <v>3987</v>
      </c>
      <c r="E366" s="1" t="s">
        <v>3990</v>
      </c>
      <c r="F366" s="3">
        <v>0</v>
      </c>
      <c r="G366" s="24" t="s">
        <v>3005</v>
      </c>
      <c r="I366" s="24" t="s">
        <v>2965</v>
      </c>
      <c r="J366" s="24" t="s">
        <v>2923</v>
      </c>
      <c r="K366" s="3">
        <v>30</v>
      </c>
      <c r="L366" s="3" t="s">
        <v>6745</v>
      </c>
      <c r="M366" s="3" t="str">
        <f>HYPERLINK("http://ictvonline.org/taxonomyHistory.asp?taxnode_id=20150426","ICTVonline=20150426")</f>
        <v>ICTVonline=20150426</v>
      </c>
    </row>
    <row r="367" spans="1:13" x14ac:dyDescent="0.15">
      <c r="A367" s="1" t="s">
        <v>1393</v>
      </c>
      <c r="B367" s="1" t="s">
        <v>928</v>
      </c>
      <c r="D367" s="1" t="s">
        <v>3987</v>
      </c>
      <c r="E367" s="1" t="s">
        <v>3991</v>
      </c>
      <c r="F367" s="3">
        <v>1</v>
      </c>
      <c r="G367" s="24" t="s">
        <v>3006</v>
      </c>
      <c r="I367" s="24" t="s">
        <v>2965</v>
      </c>
      <c r="J367" s="24" t="s">
        <v>2923</v>
      </c>
      <c r="K367" s="3">
        <v>30</v>
      </c>
      <c r="L367" s="3" t="s">
        <v>6745</v>
      </c>
      <c r="M367" s="3" t="str">
        <f>HYPERLINK("http://ictvonline.org/taxonomyHistory.asp?taxnode_id=20150427","ICTVonline=20150427")</f>
        <v>ICTVonline=20150427</v>
      </c>
    </row>
    <row r="368" spans="1:13" x14ac:dyDescent="0.15">
      <c r="A368" s="1" t="s">
        <v>1393</v>
      </c>
      <c r="B368" s="1" t="s">
        <v>928</v>
      </c>
      <c r="D368" s="1" t="s">
        <v>3987</v>
      </c>
      <c r="E368" s="1" t="s">
        <v>3992</v>
      </c>
      <c r="F368" s="3">
        <v>0</v>
      </c>
      <c r="G368" s="24" t="s">
        <v>3007</v>
      </c>
      <c r="I368" s="24" t="s">
        <v>2965</v>
      </c>
      <c r="J368" s="24" t="s">
        <v>2923</v>
      </c>
      <c r="K368" s="3">
        <v>30</v>
      </c>
      <c r="L368" s="3" t="s">
        <v>6745</v>
      </c>
      <c r="M368" s="3" t="str">
        <f>HYPERLINK("http://ictvonline.org/taxonomyHistory.asp?taxnode_id=20150428","ICTVonline=20150428")</f>
        <v>ICTVonline=20150428</v>
      </c>
    </row>
    <row r="369" spans="1:13" x14ac:dyDescent="0.15">
      <c r="A369" s="1" t="s">
        <v>1393</v>
      </c>
      <c r="B369" s="1" t="s">
        <v>928</v>
      </c>
      <c r="D369" s="1" t="s">
        <v>3987</v>
      </c>
      <c r="E369" s="1" t="s">
        <v>3993</v>
      </c>
      <c r="F369" s="3">
        <v>0</v>
      </c>
      <c r="G369" s="24" t="s">
        <v>3008</v>
      </c>
      <c r="I369" s="24" t="s">
        <v>2965</v>
      </c>
      <c r="J369" s="24" t="s">
        <v>2923</v>
      </c>
      <c r="K369" s="3">
        <v>30</v>
      </c>
      <c r="L369" s="3" t="s">
        <v>6745</v>
      </c>
      <c r="M369" s="3" t="str">
        <f>HYPERLINK("http://ictvonline.org/taxonomyHistory.asp?taxnode_id=20150429","ICTVonline=20150429")</f>
        <v>ICTVonline=20150429</v>
      </c>
    </row>
    <row r="370" spans="1:13" x14ac:dyDescent="0.15">
      <c r="A370" s="1" t="s">
        <v>1393</v>
      </c>
      <c r="B370" s="1" t="s">
        <v>928</v>
      </c>
      <c r="D370" s="1" t="s">
        <v>3987</v>
      </c>
      <c r="E370" s="1" t="s">
        <v>3994</v>
      </c>
      <c r="F370" s="3">
        <v>0</v>
      </c>
      <c r="G370" s="24" t="s">
        <v>3009</v>
      </c>
      <c r="I370" s="24" t="s">
        <v>2965</v>
      </c>
      <c r="J370" s="24" t="s">
        <v>2923</v>
      </c>
      <c r="K370" s="3">
        <v>30</v>
      </c>
      <c r="L370" s="3" t="s">
        <v>6745</v>
      </c>
      <c r="M370" s="3" t="str">
        <f>HYPERLINK("http://ictvonline.org/taxonomyHistory.asp?taxnode_id=20150430","ICTVonline=20150430")</f>
        <v>ICTVonline=20150430</v>
      </c>
    </row>
    <row r="371" spans="1:13" x14ac:dyDescent="0.15">
      <c r="A371" s="1" t="s">
        <v>1393</v>
      </c>
      <c r="B371" s="1" t="s">
        <v>928</v>
      </c>
      <c r="D371" s="1" t="s">
        <v>3987</v>
      </c>
      <c r="E371" s="1" t="s">
        <v>3995</v>
      </c>
      <c r="F371" s="3">
        <v>0</v>
      </c>
      <c r="G371" s="24" t="s">
        <v>3010</v>
      </c>
      <c r="I371" s="24" t="s">
        <v>2965</v>
      </c>
      <c r="J371" s="24" t="s">
        <v>2923</v>
      </c>
      <c r="K371" s="3">
        <v>30</v>
      </c>
      <c r="L371" s="3" t="s">
        <v>6745</v>
      </c>
      <c r="M371" s="3" t="str">
        <f>HYPERLINK("http://ictvonline.org/taxonomyHistory.asp?taxnode_id=20150431","ICTVonline=20150431")</f>
        <v>ICTVonline=20150431</v>
      </c>
    </row>
    <row r="372" spans="1:13" x14ac:dyDescent="0.15">
      <c r="A372" s="1" t="s">
        <v>1393</v>
      </c>
      <c r="B372" s="1" t="s">
        <v>928</v>
      </c>
      <c r="D372" s="1" t="s">
        <v>3987</v>
      </c>
      <c r="E372" s="1" t="s">
        <v>3996</v>
      </c>
      <c r="F372" s="3">
        <v>0</v>
      </c>
      <c r="G372" s="24" t="s">
        <v>3011</v>
      </c>
      <c r="I372" s="24" t="s">
        <v>2965</v>
      </c>
      <c r="J372" s="24" t="s">
        <v>2923</v>
      </c>
      <c r="K372" s="3">
        <v>30</v>
      </c>
      <c r="L372" s="3" t="s">
        <v>6745</v>
      </c>
      <c r="M372" s="3" t="str">
        <f>HYPERLINK("http://ictvonline.org/taxonomyHistory.asp?taxnode_id=20150432","ICTVonline=20150432")</f>
        <v>ICTVonline=20150432</v>
      </c>
    </row>
    <row r="373" spans="1:13" x14ac:dyDescent="0.15">
      <c r="A373" s="1" t="s">
        <v>1393</v>
      </c>
      <c r="B373" s="1" t="s">
        <v>928</v>
      </c>
      <c r="D373" s="1" t="s">
        <v>3987</v>
      </c>
      <c r="E373" s="1" t="s">
        <v>3997</v>
      </c>
      <c r="F373" s="3">
        <v>0</v>
      </c>
      <c r="G373" s="24" t="s">
        <v>3012</v>
      </c>
      <c r="I373" s="24" t="s">
        <v>2965</v>
      </c>
      <c r="J373" s="24" t="s">
        <v>2923</v>
      </c>
      <c r="K373" s="3">
        <v>30</v>
      </c>
      <c r="L373" s="3" t="s">
        <v>6745</v>
      </c>
      <c r="M373" s="3" t="str">
        <f>HYPERLINK("http://ictvonline.org/taxonomyHistory.asp?taxnode_id=20150433","ICTVonline=20150433")</f>
        <v>ICTVonline=20150433</v>
      </c>
    </row>
    <row r="374" spans="1:13" x14ac:dyDescent="0.15">
      <c r="A374" s="1" t="s">
        <v>1393</v>
      </c>
      <c r="B374" s="1" t="s">
        <v>928</v>
      </c>
      <c r="D374" s="1" t="s">
        <v>3987</v>
      </c>
      <c r="E374" s="1" t="s">
        <v>3998</v>
      </c>
      <c r="F374" s="3">
        <v>0</v>
      </c>
      <c r="G374" s="24" t="s">
        <v>3013</v>
      </c>
      <c r="I374" s="24" t="s">
        <v>2965</v>
      </c>
      <c r="J374" s="24" t="s">
        <v>2923</v>
      </c>
      <c r="K374" s="3">
        <v>30</v>
      </c>
      <c r="L374" s="3" t="s">
        <v>6745</v>
      </c>
      <c r="M374" s="3" t="str">
        <f>HYPERLINK("http://ictvonline.org/taxonomyHistory.asp?taxnode_id=20150434","ICTVonline=20150434")</f>
        <v>ICTVonline=20150434</v>
      </c>
    </row>
    <row r="375" spans="1:13" x14ac:dyDescent="0.15">
      <c r="A375" s="1" t="s">
        <v>1393</v>
      </c>
      <c r="B375" s="1" t="s">
        <v>928</v>
      </c>
      <c r="D375" s="1" t="s">
        <v>3987</v>
      </c>
      <c r="E375" s="1" t="s">
        <v>3999</v>
      </c>
      <c r="F375" s="3">
        <v>0</v>
      </c>
      <c r="G375" s="24" t="s">
        <v>3014</v>
      </c>
      <c r="I375" s="24" t="s">
        <v>2965</v>
      </c>
      <c r="J375" s="24" t="s">
        <v>2923</v>
      </c>
      <c r="K375" s="3">
        <v>30</v>
      </c>
      <c r="L375" s="3" t="s">
        <v>6745</v>
      </c>
      <c r="M375" s="3" t="str">
        <f>HYPERLINK("http://ictvonline.org/taxonomyHistory.asp?taxnode_id=20150435","ICTVonline=20150435")</f>
        <v>ICTVonline=20150435</v>
      </c>
    </row>
    <row r="376" spans="1:13" x14ac:dyDescent="0.15">
      <c r="A376" s="1" t="s">
        <v>1393</v>
      </c>
      <c r="B376" s="1" t="s">
        <v>928</v>
      </c>
      <c r="D376" s="1" t="s">
        <v>3987</v>
      </c>
      <c r="E376" s="1" t="s">
        <v>4000</v>
      </c>
      <c r="F376" s="3">
        <v>0</v>
      </c>
      <c r="G376" s="24" t="s">
        <v>3015</v>
      </c>
      <c r="I376" s="24" t="s">
        <v>2965</v>
      </c>
      <c r="J376" s="24" t="s">
        <v>2923</v>
      </c>
      <c r="K376" s="3">
        <v>30</v>
      </c>
      <c r="L376" s="3" t="s">
        <v>6745</v>
      </c>
      <c r="M376" s="3" t="str">
        <f>HYPERLINK("http://ictvonline.org/taxonomyHistory.asp?taxnode_id=20150436","ICTVonline=20150436")</f>
        <v>ICTVonline=20150436</v>
      </c>
    </row>
    <row r="377" spans="1:13" x14ac:dyDescent="0.15">
      <c r="A377" s="1" t="s">
        <v>1393</v>
      </c>
      <c r="B377" s="1" t="s">
        <v>928</v>
      </c>
      <c r="D377" s="1" t="s">
        <v>3987</v>
      </c>
      <c r="E377" s="1" t="s">
        <v>4001</v>
      </c>
      <c r="F377" s="3">
        <v>0</v>
      </c>
      <c r="G377" s="24" t="s">
        <v>3016</v>
      </c>
      <c r="I377" s="24" t="s">
        <v>2965</v>
      </c>
      <c r="J377" s="24" t="s">
        <v>2923</v>
      </c>
      <c r="K377" s="3">
        <v>30</v>
      </c>
      <c r="L377" s="3" t="s">
        <v>6745</v>
      </c>
      <c r="M377" s="3" t="str">
        <f>HYPERLINK("http://ictvonline.org/taxonomyHistory.asp?taxnode_id=20150437","ICTVonline=20150437")</f>
        <v>ICTVonline=20150437</v>
      </c>
    </row>
    <row r="378" spans="1:13" x14ac:dyDescent="0.15">
      <c r="A378" s="1" t="s">
        <v>1393</v>
      </c>
      <c r="B378" s="1" t="s">
        <v>928</v>
      </c>
      <c r="D378" s="1" t="s">
        <v>3987</v>
      </c>
      <c r="E378" s="1" t="s">
        <v>4002</v>
      </c>
      <c r="F378" s="3">
        <v>0</v>
      </c>
      <c r="G378" s="24" t="s">
        <v>3017</v>
      </c>
      <c r="I378" s="24" t="s">
        <v>2965</v>
      </c>
      <c r="J378" s="24" t="s">
        <v>2923</v>
      </c>
      <c r="K378" s="3">
        <v>30</v>
      </c>
      <c r="L378" s="3" t="s">
        <v>6745</v>
      </c>
      <c r="M378" s="3" t="str">
        <f>HYPERLINK("http://ictvonline.org/taxonomyHistory.asp?taxnode_id=20150438","ICTVonline=20150438")</f>
        <v>ICTVonline=20150438</v>
      </c>
    </row>
    <row r="379" spans="1:13" x14ac:dyDescent="0.15">
      <c r="A379" s="1" t="s">
        <v>1393</v>
      </c>
      <c r="B379" s="1" t="s">
        <v>928</v>
      </c>
      <c r="D379" s="1" t="s">
        <v>3987</v>
      </c>
      <c r="E379" s="1" t="s">
        <v>4003</v>
      </c>
      <c r="F379" s="3">
        <v>0</v>
      </c>
      <c r="G379" s="24" t="s">
        <v>3018</v>
      </c>
      <c r="I379" s="24" t="s">
        <v>2965</v>
      </c>
      <c r="J379" s="24" t="s">
        <v>2923</v>
      </c>
      <c r="K379" s="3">
        <v>30</v>
      </c>
      <c r="L379" s="3" t="s">
        <v>6745</v>
      </c>
      <c r="M379" s="3" t="str">
        <f>HYPERLINK("http://ictvonline.org/taxonomyHistory.asp?taxnode_id=20150439","ICTVonline=20150439")</f>
        <v>ICTVonline=20150439</v>
      </c>
    </row>
    <row r="380" spans="1:13" x14ac:dyDescent="0.15">
      <c r="A380" s="1" t="s">
        <v>1393</v>
      </c>
      <c r="B380" s="1" t="s">
        <v>928</v>
      </c>
      <c r="D380" s="1" t="s">
        <v>3987</v>
      </c>
      <c r="E380" s="1" t="s">
        <v>4004</v>
      </c>
      <c r="F380" s="3">
        <v>0</v>
      </c>
      <c r="G380" s="24" t="s">
        <v>3019</v>
      </c>
      <c r="I380" s="24" t="s">
        <v>2965</v>
      </c>
      <c r="J380" s="24" t="s">
        <v>2923</v>
      </c>
      <c r="K380" s="3">
        <v>30</v>
      </c>
      <c r="L380" s="3" t="s">
        <v>6745</v>
      </c>
      <c r="M380" s="3" t="str">
        <f>HYPERLINK("http://ictvonline.org/taxonomyHistory.asp?taxnode_id=20150440","ICTVonline=20150440")</f>
        <v>ICTVonline=20150440</v>
      </c>
    </row>
    <row r="381" spans="1:13" x14ac:dyDescent="0.15">
      <c r="A381" s="1" t="s">
        <v>1393</v>
      </c>
      <c r="B381" s="1" t="s">
        <v>928</v>
      </c>
      <c r="D381" s="1" t="s">
        <v>3987</v>
      </c>
      <c r="E381" s="1" t="s">
        <v>4005</v>
      </c>
      <c r="F381" s="3">
        <v>0</v>
      </c>
      <c r="G381" s="24" t="s">
        <v>3020</v>
      </c>
      <c r="I381" s="24" t="s">
        <v>2965</v>
      </c>
      <c r="J381" s="24" t="s">
        <v>2923</v>
      </c>
      <c r="K381" s="3">
        <v>30</v>
      </c>
      <c r="L381" s="3" t="s">
        <v>6745</v>
      </c>
      <c r="M381" s="3" t="str">
        <f>HYPERLINK("http://ictvonline.org/taxonomyHistory.asp?taxnode_id=20150441","ICTVonline=20150441")</f>
        <v>ICTVonline=20150441</v>
      </c>
    </row>
    <row r="382" spans="1:13" x14ac:dyDescent="0.15">
      <c r="A382" s="1" t="s">
        <v>1393</v>
      </c>
      <c r="B382" s="1" t="s">
        <v>928</v>
      </c>
      <c r="D382" s="1" t="s">
        <v>3987</v>
      </c>
      <c r="E382" s="1" t="s">
        <v>4006</v>
      </c>
      <c r="F382" s="3">
        <v>0</v>
      </c>
      <c r="G382" s="24" t="s">
        <v>3021</v>
      </c>
      <c r="I382" s="24" t="s">
        <v>2965</v>
      </c>
      <c r="J382" s="24" t="s">
        <v>2923</v>
      </c>
      <c r="K382" s="3">
        <v>30</v>
      </c>
      <c r="L382" s="3" t="s">
        <v>6745</v>
      </c>
      <c r="M382" s="3" t="str">
        <f>HYPERLINK("http://ictvonline.org/taxonomyHistory.asp?taxnode_id=20150442","ICTVonline=20150442")</f>
        <v>ICTVonline=20150442</v>
      </c>
    </row>
    <row r="383" spans="1:13" x14ac:dyDescent="0.15">
      <c r="A383" s="1" t="s">
        <v>1393</v>
      </c>
      <c r="B383" s="1" t="s">
        <v>928</v>
      </c>
      <c r="D383" s="1" t="s">
        <v>3987</v>
      </c>
      <c r="E383" s="1" t="s">
        <v>4007</v>
      </c>
      <c r="F383" s="3">
        <v>0</v>
      </c>
      <c r="G383" s="24" t="s">
        <v>3022</v>
      </c>
      <c r="I383" s="24" t="s">
        <v>2965</v>
      </c>
      <c r="J383" s="24" t="s">
        <v>2923</v>
      </c>
      <c r="K383" s="3">
        <v>30</v>
      </c>
      <c r="L383" s="3" t="s">
        <v>6745</v>
      </c>
      <c r="M383" s="3" t="str">
        <f>HYPERLINK("http://ictvonline.org/taxonomyHistory.asp?taxnode_id=20150443","ICTVonline=20150443")</f>
        <v>ICTVonline=20150443</v>
      </c>
    </row>
    <row r="384" spans="1:13" x14ac:dyDescent="0.15">
      <c r="A384" s="1" t="s">
        <v>1393</v>
      </c>
      <c r="B384" s="1" t="s">
        <v>928</v>
      </c>
      <c r="D384" s="1" t="s">
        <v>3987</v>
      </c>
      <c r="E384" s="1" t="s">
        <v>4008</v>
      </c>
      <c r="F384" s="3">
        <v>0</v>
      </c>
      <c r="G384" s="24" t="s">
        <v>3023</v>
      </c>
      <c r="I384" s="24" t="s">
        <v>2965</v>
      </c>
      <c r="J384" s="24" t="s">
        <v>2923</v>
      </c>
      <c r="K384" s="3">
        <v>30</v>
      </c>
      <c r="L384" s="3" t="s">
        <v>6745</v>
      </c>
      <c r="M384" s="3" t="str">
        <f>HYPERLINK("http://ictvonline.org/taxonomyHistory.asp?taxnode_id=20150444","ICTVonline=20150444")</f>
        <v>ICTVonline=20150444</v>
      </c>
    </row>
    <row r="385" spans="1:13" x14ac:dyDescent="0.15">
      <c r="A385" s="1" t="s">
        <v>1393</v>
      </c>
      <c r="B385" s="1" t="s">
        <v>928</v>
      </c>
      <c r="D385" s="1" t="s">
        <v>3987</v>
      </c>
      <c r="E385" s="1" t="s">
        <v>4009</v>
      </c>
      <c r="F385" s="3">
        <v>0</v>
      </c>
      <c r="G385" s="24" t="s">
        <v>3024</v>
      </c>
      <c r="I385" s="24" t="s">
        <v>2965</v>
      </c>
      <c r="J385" s="24" t="s">
        <v>2923</v>
      </c>
      <c r="K385" s="3">
        <v>30</v>
      </c>
      <c r="L385" s="3" t="s">
        <v>6745</v>
      </c>
      <c r="M385" s="3" t="str">
        <f>HYPERLINK("http://ictvonline.org/taxonomyHistory.asp?taxnode_id=20150445","ICTVonline=20150445")</f>
        <v>ICTVonline=20150445</v>
      </c>
    </row>
    <row r="386" spans="1:13" x14ac:dyDescent="0.15">
      <c r="A386" s="1" t="s">
        <v>1393</v>
      </c>
      <c r="B386" s="1" t="s">
        <v>928</v>
      </c>
      <c r="D386" s="1" t="s">
        <v>3987</v>
      </c>
      <c r="E386" s="1" t="s">
        <v>4010</v>
      </c>
      <c r="F386" s="3">
        <v>0</v>
      </c>
      <c r="G386" s="24" t="s">
        <v>3025</v>
      </c>
      <c r="I386" s="24" t="s">
        <v>2965</v>
      </c>
      <c r="J386" s="24" t="s">
        <v>2923</v>
      </c>
      <c r="K386" s="3">
        <v>30</v>
      </c>
      <c r="L386" s="3" t="s">
        <v>6745</v>
      </c>
      <c r="M386" s="3" t="str">
        <f>HYPERLINK("http://ictvonline.org/taxonomyHistory.asp?taxnode_id=20150446","ICTVonline=20150446")</f>
        <v>ICTVonline=20150446</v>
      </c>
    </row>
    <row r="387" spans="1:13" x14ac:dyDescent="0.15">
      <c r="A387" s="1" t="s">
        <v>1393</v>
      </c>
      <c r="B387" s="1" t="s">
        <v>928</v>
      </c>
      <c r="D387" s="1" t="s">
        <v>3987</v>
      </c>
      <c r="E387" s="1" t="s">
        <v>4011</v>
      </c>
      <c r="F387" s="3">
        <v>0</v>
      </c>
      <c r="G387" s="24" t="s">
        <v>3026</v>
      </c>
      <c r="I387" s="24" t="s">
        <v>2965</v>
      </c>
      <c r="J387" s="24" t="s">
        <v>2923</v>
      </c>
      <c r="K387" s="3">
        <v>30</v>
      </c>
      <c r="L387" s="3" t="s">
        <v>6745</v>
      </c>
      <c r="M387" s="3" t="str">
        <f>HYPERLINK("http://ictvonline.org/taxonomyHistory.asp?taxnode_id=20150447","ICTVonline=20150447")</f>
        <v>ICTVonline=20150447</v>
      </c>
    </row>
    <row r="388" spans="1:13" x14ac:dyDescent="0.15">
      <c r="A388" s="1" t="s">
        <v>1393</v>
      </c>
      <c r="B388" s="1" t="s">
        <v>928</v>
      </c>
      <c r="D388" s="1" t="s">
        <v>3987</v>
      </c>
      <c r="E388" s="1" t="s">
        <v>4012</v>
      </c>
      <c r="F388" s="3">
        <v>0</v>
      </c>
      <c r="G388" s="24" t="s">
        <v>3027</v>
      </c>
      <c r="I388" s="24" t="s">
        <v>2965</v>
      </c>
      <c r="J388" s="24" t="s">
        <v>2923</v>
      </c>
      <c r="K388" s="3">
        <v>30</v>
      </c>
      <c r="L388" s="3" t="s">
        <v>6745</v>
      </c>
      <c r="M388" s="3" t="str">
        <f>HYPERLINK("http://ictvonline.org/taxonomyHistory.asp?taxnode_id=20150448","ICTVonline=20150448")</f>
        <v>ICTVonline=20150448</v>
      </c>
    </row>
    <row r="389" spans="1:13" x14ac:dyDescent="0.15">
      <c r="A389" s="1" t="s">
        <v>1393</v>
      </c>
      <c r="B389" s="1" t="s">
        <v>928</v>
      </c>
      <c r="D389" s="1" t="s">
        <v>3987</v>
      </c>
      <c r="E389" s="1" t="s">
        <v>4013</v>
      </c>
      <c r="F389" s="3">
        <v>0</v>
      </c>
      <c r="G389" s="24" t="s">
        <v>3028</v>
      </c>
      <c r="I389" s="24" t="s">
        <v>2965</v>
      </c>
      <c r="J389" s="24" t="s">
        <v>2923</v>
      </c>
      <c r="K389" s="3">
        <v>30</v>
      </c>
      <c r="L389" s="3" t="s">
        <v>6745</v>
      </c>
      <c r="M389" s="3" t="str">
        <f>HYPERLINK("http://ictvonline.org/taxonomyHistory.asp?taxnode_id=20150449","ICTVonline=20150449")</f>
        <v>ICTVonline=20150449</v>
      </c>
    </row>
    <row r="390" spans="1:13" x14ac:dyDescent="0.15">
      <c r="A390" s="1" t="s">
        <v>1393</v>
      </c>
      <c r="B390" s="1" t="s">
        <v>928</v>
      </c>
      <c r="D390" s="1" t="s">
        <v>3987</v>
      </c>
      <c r="E390" s="1" t="s">
        <v>4014</v>
      </c>
      <c r="F390" s="3">
        <v>0</v>
      </c>
      <c r="G390" s="24" t="s">
        <v>3029</v>
      </c>
      <c r="I390" s="24" t="s">
        <v>2965</v>
      </c>
      <c r="J390" s="24" t="s">
        <v>2923</v>
      </c>
      <c r="K390" s="3">
        <v>30</v>
      </c>
      <c r="L390" s="3" t="s">
        <v>6745</v>
      </c>
      <c r="M390" s="3" t="str">
        <f>HYPERLINK("http://ictvonline.org/taxonomyHistory.asp?taxnode_id=20150450","ICTVonline=20150450")</f>
        <v>ICTVonline=20150450</v>
      </c>
    </row>
    <row r="391" spans="1:13" x14ac:dyDescent="0.15">
      <c r="A391" s="1" t="s">
        <v>1393</v>
      </c>
      <c r="B391" s="1" t="s">
        <v>928</v>
      </c>
      <c r="D391" s="1" t="s">
        <v>3987</v>
      </c>
      <c r="E391" s="1" t="s">
        <v>4015</v>
      </c>
      <c r="F391" s="3">
        <v>0</v>
      </c>
      <c r="G391" s="24" t="s">
        <v>3030</v>
      </c>
      <c r="I391" s="24" t="s">
        <v>2965</v>
      </c>
      <c r="J391" s="24" t="s">
        <v>2923</v>
      </c>
      <c r="K391" s="3">
        <v>30</v>
      </c>
      <c r="L391" s="3" t="s">
        <v>6745</v>
      </c>
      <c r="M391" s="3" t="str">
        <f>HYPERLINK("http://ictvonline.org/taxonomyHistory.asp?taxnode_id=20150451","ICTVonline=20150451")</f>
        <v>ICTVonline=20150451</v>
      </c>
    </row>
    <row r="392" spans="1:13" x14ac:dyDescent="0.15">
      <c r="A392" s="1" t="s">
        <v>1393</v>
      </c>
      <c r="B392" s="1" t="s">
        <v>928</v>
      </c>
      <c r="D392" s="1" t="s">
        <v>4016</v>
      </c>
      <c r="E392" s="1" t="s">
        <v>4017</v>
      </c>
      <c r="F392" s="3">
        <v>0</v>
      </c>
      <c r="G392" s="24" t="s">
        <v>3031</v>
      </c>
      <c r="I392" s="24" t="s">
        <v>2965</v>
      </c>
      <c r="J392" s="24" t="s">
        <v>2923</v>
      </c>
      <c r="K392" s="3">
        <v>30</v>
      </c>
      <c r="L392" s="3" t="s">
        <v>6745</v>
      </c>
      <c r="M392" s="3" t="str">
        <f>HYPERLINK("http://ictvonline.org/taxonomyHistory.asp?taxnode_id=20150453","ICTVonline=20150453")</f>
        <v>ICTVonline=20150453</v>
      </c>
    </row>
    <row r="393" spans="1:13" x14ac:dyDescent="0.15">
      <c r="A393" s="1" t="s">
        <v>1393</v>
      </c>
      <c r="B393" s="1" t="s">
        <v>928</v>
      </c>
      <c r="D393" s="1" t="s">
        <v>4016</v>
      </c>
      <c r="E393" s="1" t="s">
        <v>4018</v>
      </c>
      <c r="F393" s="3">
        <v>0</v>
      </c>
      <c r="G393" s="24" t="s">
        <v>3032</v>
      </c>
      <c r="I393" s="24" t="s">
        <v>2965</v>
      </c>
      <c r="J393" s="24" t="s">
        <v>2923</v>
      </c>
      <c r="K393" s="3">
        <v>30</v>
      </c>
      <c r="L393" s="3" t="s">
        <v>6745</v>
      </c>
      <c r="M393" s="3" t="str">
        <f>HYPERLINK("http://ictvonline.org/taxonomyHistory.asp?taxnode_id=20150454","ICTVonline=20150454")</f>
        <v>ICTVonline=20150454</v>
      </c>
    </row>
    <row r="394" spans="1:13" x14ac:dyDescent="0.15">
      <c r="A394" s="1" t="s">
        <v>1393</v>
      </c>
      <c r="B394" s="1" t="s">
        <v>928</v>
      </c>
      <c r="D394" s="1" t="s">
        <v>4016</v>
      </c>
      <c r="E394" s="1" t="s">
        <v>4019</v>
      </c>
      <c r="F394" s="3">
        <v>1</v>
      </c>
      <c r="G394" s="24" t="s">
        <v>3033</v>
      </c>
      <c r="I394" s="24" t="s">
        <v>2965</v>
      </c>
      <c r="J394" s="24" t="s">
        <v>2923</v>
      </c>
      <c r="K394" s="3">
        <v>30</v>
      </c>
      <c r="L394" s="3" t="s">
        <v>6745</v>
      </c>
      <c r="M394" s="3" t="str">
        <f>HYPERLINK("http://ictvonline.org/taxonomyHistory.asp?taxnode_id=20150455","ICTVonline=20150455")</f>
        <v>ICTVonline=20150455</v>
      </c>
    </row>
    <row r="395" spans="1:13" x14ac:dyDescent="0.15">
      <c r="A395" s="1" t="s">
        <v>1393</v>
      </c>
      <c r="B395" s="1" t="s">
        <v>928</v>
      </c>
      <c r="D395" s="1" t="s">
        <v>4020</v>
      </c>
      <c r="E395" s="1" t="s">
        <v>4021</v>
      </c>
      <c r="F395" s="3">
        <v>1</v>
      </c>
      <c r="G395" s="24" t="s">
        <v>3034</v>
      </c>
      <c r="I395" s="24" t="s">
        <v>2965</v>
      </c>
      <c r="J395" s="24" t="s">
        <v>2923</v>
      </c>
      <c r="K395" s="3">
        <v>30</v>
      </c>
      <c r="L395" s="3" t="s">
        <v>6745</v>
      </c>
      <c r="M395" s="3" t="str">
        <f>HYPERLINK("http://ictvonline.org/taxonomyHistory.asp?taxnode_id=20150457","ICTVonline=20150457")</f>
        <v>ICTVonline=20150457</v>
      </c>
    </row>
    <row r="396" spans="1:13" x14ac:dyDescent="0.15">
      <c r="A396" s="1" t="s">
        <v>1393</v>
      </c>
      <c r="B396" s="1" t="s">
        <v>928</v>
      </c>
      <c r="D396" s="1" t="s">
        <v>4020</v>
      </c>
      <c r="E396" s="1" t="s">
        <v>4022</v>
      </c>
      <c r="F396" s="3">
        <v>0</v>
      </c>
      <c r="G396" s="24" t="s">
        <v>3035</v>
      </c>
      <c r="I396" s="24" t="s">
        <v>2965</v>
      </c>
      <c r="J396" s="24" t="s">
        <v>2923</v>
      </c>
      <c r="K396" s="3">
        <v>30</v>
      </c>
      <c r="L396" s="3" t="s">
        <v>6745</v>
      </c>
      <c r="M396" s="3" t="str">
        <f>HYPERLINK("http://ictvonline.org/taxonomyHistory.asp?taxnode_id=20150458","ICTVonline=20150458")</f>
        <v>ICTVonline=20150458</v>
      </c>
    </row>
    <row r="397" spans="1:13" x14ac:dyDescent="0.15">
      <c r="A397" s="1" t="s">
        <v>1393</v>
      </c>
      <c r="B397" s="1" t="s">
        <v>928</v>
      </c>
      <c r="D397" s="1" t="s">
        <v>4020</v>
      </c>
      <c r="E397" s="1" t="s">
        <v>4023</v>
      </c>
      <c r="F397" s="3">
        <v>0</v>
      </c>
      <c r="G397" s="24" t="s">
        <v>3036</v>
      </c>
      <c r="I397" s="24" t="s">
        <v>2965</v>
      </c>
      <c r="J397" s="24" t="s">
        <v>2923</v>
      </c>
      <c r="K397" s="3">
        <v>30</v>
      </c>
      <c r="L397" s="3" t="s">
        <v>6745</v>
      </c>
      <c r="M397" s="3" t="str">
        <f>HYPERLINK("http://ictvonline.org/taxonomyHistory.asp?taxnode_id=20150459","ICTVonline=20150459")</f>
        <v>ICTVonline=20150459</v>
      </c>
    </row>
    <row r="398" spans="1:13" x14ac:dyDescent="0.15">
      <c r="A398" s="1" t="s">
        <v>1393</v>
      </c>
      <c r="B398" s="1" t="s">
        <v>928</v>
      </c>
      <c r="D398" s="1" t="s">
        <v>4020</v>
      </c>
      <c r="E398" s="1" t="s">
        <v>4024</v>
      </c>
      <c r="F398" s="3">
        <v>0</v>
      </c>
      <c r="G398" s="24" t="s">
        <v>3037</v>
      </c>
      <c r="I398" s="24" t="s">
        <v>2965</v>
      </c>
      <c r="J398" s="24" t="s">
        <v>2923</v>
      </c>
      <c r="K398" s="3">
        <v>30</v>
      </c>
      <c r="L398" s="3" t="s">
        <v>6745</v>
      </c>
      <c r="M398" s="3" t="str">
        <f>HYPERLINK("http://ictvonline.org/taxonomyHistory.asp?taxnode_id=20150460","ICTVonline=20150460")</f>
        <v>ICTVonline=20150460</v>
      </c>
    </row>
    <row r="399" spans="1:13" x14ac:dyDescent="0.15">
      <c r="A399" s="1" t="s">
        <v>1393</v>
      </c>
      <c r="B399" s="1" t="s">
        <v>928</v>
      </c>
      <c r="D399" s="1" t="s">
        <v>4020</v>
      </c>
      <c r="E399" s="1" t="s">
        <v>4025</v>
      </c>
      <c r="F399" s="3">
        <v>0</v>
      </c>
      <c r="G399" s="24" t="s">
        <v>3038</v>
      </c>
      <c r="I399" s="24" t="s">
        <v>2965</v>
      </c>
      <c r="J399" s="24" t="s">
        <v>2923</v>
      </c>
      <c r="K399" s="3">
        <v>30</v>
      </c>
      <c r="L399" s="3" t="s">
        <v>6745</v>
      </c>
      <c r="M399" s="3" t="str">
        <f>HYPERLINK("http://ictvonline.org/taxonomyHistory.asp?taxnode_id=20150461","ICTVonline=20150461")</f>
        <v>ICTVonline=20150461</v>
      </c>
    </row>
    <row r="400" spans="1:13" x14ac:dyDescent="0.15">
      <c r="A400" s="1" t="s">
        <v>1393</v>
      </c>
      <c r="B400" s="1" t="s">
        <v>928</v>
      </c>
      <c r="D400" s="1" t="s">
        <v>4026</v>
      </c>
      <c r="E400" s="1" t="s">
        <v>4027</v>
      </c>
      <c r="F400" s="3">
        <v>0</v>
      </c>
      <c r="G400" s="24" t="s">
        <v>3039</v>
      </c>
      <c r="I400" s="24" t="s">
        <v>2965</v>
      </c>
      <c r="J400" s="24" t="s">
        <v>2923</v>
      </c>
      <c r="K400" s="3">
        <v>30</v>
      </c>
      <c r="L400" s="3" t="s">
        <v>6745</v>
      </c>
      <c r="M400" s="3" t="str">
        <f>HYPERLINK("http://ictvonline.org/taxonomyHistory.asp?taxnode_id=20150463","ICTVonline=20150463")</f>
        <v>ICTVonline=20150463</v>
      </c>
    </row>
    <row r="401" spans="1:13" x14ac:dyDescent="0.15">
      <c r="A401" s="1" t="s">
        <v>1393</v>
      </c>
      <c r="B401" s="1" t="s">
        <v>928</v>
      </c>
      <c r="D401" s="1" t="s">
        <v>4026</v>
      </c>
      <c r="E401" s="1" t="s">
        <v>4028</v>
      </c>
      <c r="F401" s="3">
        <v>0</v>
      </c>
      <c r="G401" s="24" t="s">
        <v>3040</v>
      </c>
      <c r="I401" s="24" t="s">
        <v>2965</v>
      </c>
      <c r="J401" s="24" t="s">
        <v>2923</v>
      </c>
      <c r="K401" s="3">
        <v>30</v>
      </c>
      <c r="L401" s="3" t="s">
        <v>6745</v>
      </c>
      <c r="M401" s="3" t="str">
        <f>HYPERLINK("http://ictvonline.org/taxonomyHistory.asp?taxnode_id=20150464","ICTVonline=20150464")</f>
        <v>ICTVonline=20150464</v>
      </c>
    </row>
    <row r="402" spans="1:13" x14ac:dyDescent="0.15">
      <c r="A402" s="1" t="s">
        <v>1393</v>
      </c>
      <c r="B402" s="1" t="s">
        <v>928</v>
      </c>
      <c r="D402" s="1" t="s">
        <v>4026</v>
      </c>
      <c r="E402" s="1" t="s">
        <v>4029</v>
      </c>
      <c r="F402" s="3">
        <v>1</v>
      </c>
      <c r="G402" s="24" t="s">
        <v>3041</v>
      </c>
      <c r="I402" s="24" t="s">
        <v>2965</v>
      </c>
      <c r="J402" s="24" t="s">
        <v>2923</v>
      </c>
      <c r="K402" s="3">
        <v>30</v>
      </c>
      <c r="L402" s="3" t="s">
        <v>6745</v>
      </c>
      <c r="M402" s="3" t="str">
        <f>HYPERLINK("http://ictvonline.org/taxonomyHistory.asp?taxnode_id=20150465","ICTVonline=20150465")</f>
        <v>ICTVonline=20150465</v>
      </c>
    </row>
    <row r="403" spans="1:13" x14ac:dyDescent="0.15">
      <c r="A403" s="1" t="s">
        <v>1393</v>
      </c>
      <c r="B403" s="1" t="s">
        <v>928</v>
      </c>
      <c r="D403" s="1" t="s">
        <v>4026</v>
      </c>
      <c r="E403" s="1" t="s">
        <v>4030</v>
      </c>
      <c r="F403" s="3">
        <v>0</v>
      </c>
      <c r="G403" s="24" t="s">
        <v>3042</v>
      </c>
      <c r="I403" s="24" t="s">
        <v>2965</v>
      </c>
      <c r="J403" s="24" t="s">
        <v>2923</v>
      </c>
      <c r="K403" s="3">
        <v>30</v>
      </c>
      <c r="L403" s="3" t="s">
        <v>6745</v>
      </c>
      <c r="M403" s="3" t="str">
        <f>HYPERLINK("http://ictvonline.org/taxonomyHistory.asp?taxnode_id=20150466","ICTVonline=20150466")</f>
        <v>ICTVonline=20150466</v>
      </c>
    </row>
    <row r="404" spans="1:13" x14ac:dyDescent="0.15">
      <c r="A404" s="1" t="s">
        <v>1393</v>
      </c>
      <c r="B404" s="1" t="s">
        <v>928</v>
      </c>
      <c r="D404" s="1" t="s">
        <v>4026</v>
      </c>
      <c r="E404" s="1" t="s">
        <v>4031</v>
      </c>
      <c r="F404" s="3">
        <v>0</v>
      </c>
      <c r="G404" s="24" t="s">
        <v>3043</v>
      </c>
      <c r="I404" s="24" t="s">
        <v>2965</v>
      </c>
      <c r="J404" s="24" t="s">
        <v>2923</v>
      </c>
      <c r="K404" s="3">
        <v>30</v>
      </c>
      <c r="L404" s="3" t="s">
        <v>6745</v>
      </c>
      <c r="M404" s="3" t="str">
        <f>HYPERLINK("http://ictvonline.org/taxonomyHistory.asp?taxnode_id=20150467","ICTVonline=20150467")</f>
        <v>ICTVonline=20150467</v>
      </c>
    </row>
    <row r="405" spans="1:13" x14ac:dyDescent="0.15">
      <c r="A405" s="1" t="s">
        <v>1393</v>
      </c>
      <c r="B405" s="1" t="s">
        <v>928</v>
      </c>
      <c r="D405" s="1" t="s">
        <v>4026</v>
      </c>
      <c r="E405" s="1" t="s">
        <v>4032</v>
      </c>
      <c r="F405" s="3">
        <v>0</v>
      </c>
      <c r="G405" s="24" t="s">
        <v>3044</v>
      </c>
      <c r="I405" s="24" t="s">
        <v>2965</v>
      </c>
      <c r="J405" s="24" t="s">
        <v>2923</v>
      </c>
      <c r="K405" s="3">
        <v>30</v>
      </c>
      <c r="L405" s="3" t="s">
        <v>6745</v>
      </c>
      <c r="M405" s="3" t="str">
        <f>HYPERLINK("http://ictvonline.org/taxonomyHistory.asp?taxnode_id=20150468","ICTVonline=20150468")</f>
        <v>ICTVonline=20150468</v>
      </c>
    </row>
    <row r="406" spans="1:13" x14ac:dyDescent="0.15">
      <c r="A406" s="1" t="s">
        <v>1393</v>
      </c>
      <c r="B406" s="1" t="s">
        <v>928</v>
      </c>
      <c r="D406" s="1" t="s">
        <v>4026</v>
      </c>
      <c r="E406" s="1" t="s">
        <v>4033</v>
      </c>
      <c r="F406" s="3">
        <v>0</v>
      </c>
      <c r="G406" s="24" t="s">
        <v>3045</v>
      </c>
      <c r="I406" s="24" t="s">
        <v>2965</v>
      </c>
      <c r="J406" s="24" t="s">
        <v>2923</v>
      </c>
      <c r="K406" s="3">
        <v>30</v>
      </c>
      <c r="L406" s="3" t="s">
        <v>6745</v>
      </c>
      <c r="M406" s="3" t="str">
        <f>HYPERLINK("http://ictvonline.org/taxonomyHistory.asp?taxnode_id=20150469","ICTVonline=20150469")</f>
        <v>ICTVonline=20150469</v>
      </c>
    </row>
    <row r="407" spans="1:13" x14ac:dyDescent="0.15">
      <c r="A407" s="1" t="s">
        <v>1393</v>
      </c>
      <c r="B407" s="1" t="s">
        <v>928</v>
      </c>
      <c r="D407" s="1" t="s">
        <v>4026</v>
      </c>
      <c r="E407" s="1" t="s">
        <v>4034</v>
      </c>
      <c r="F407" s="3">
        <v>0</v>
      </c>
      <c r="G407" s="24" t="s">
        <v>3046</v>
      </c>
      <c r="I407" s="24" t="s">
        <v>2965</v>
      </c>
      <c r="J407" s="24" t="s">
        <v>2923</v>
      </c>
      <c r="K407" s="3">
        <v>30</v>
      </c>
      <c r="L407" s="3" t="s">
        <v>6745</v>
      </c>
      <c r="M407" s="3" t="str">
        <f>HYPERLINK("http://ictvonline.org/taxonomyHistory.asp?taxnode_id=20150470","ICTVonline=20150470")</f>
        <v>ICTVonline=20150470</v>
      </c>
    </row>
    <row r="408" spans="1:13" x14ac:dyDescent="0.15">
      <c r="A408" s="1" t="s">
        <v>1393</v>
      </c>
      <c r="B408" s="1" t="s">
        <v>928</v>
      </c>
      <c r="D408" s="1" t="s">
        <v>4026</v>
      </c>
      <c r="E408" s="1" t="s">
        <v>4035</v>
      </c>
      <c r="F408" s="3">
        <v>0</v>
      </c>
      <c r="G408" s="24" t="s">
        <v>3047</v>
      </c>
      <c r="I408" s="24" t="s">
        <v>2965</v>
      </c>
      <c r="J408" s="24" t="s">
        <v>2923</v>
      </c>
      <c r="K408" s="3">
        <v>30</v>
      </c>
      <c r="L408" s="3" t="s">
        <v>6745</v>
      </c>
      <c r="M408" s="3" t="str">
        <f>HYPERLINK("http://ictvonline.org/taxonomyHistory.asp?taxnode_id=20150471","ICTVonline=20150471")</f>
        <v>ICTVonline=20150471</v>
      </c>
    </row>
    <row r="409" spans="1:13" x14ac:dyDescent="0.15">
      <c r="A409" s="1" t="s">
        <v>1393</v>
      </c>
      <c r="B409" s="1" t="s">
        <v>928</v>
      </c>
      <c r="D409" s="1" t="s">
        <v>4036</v>
      </c>
      <c r="E409" s="1" t="s">
        <v>4037</v>
      </c>
      <c r="F409" s="3">
        <v>1</v>
      </c>
      <c r="G409" s="24" t="s">
        <v>3048</v>
      </c>
      <c r="I409" s="24" t="s">
        <v>2965</v>
      </c>
      <c r="J409" s="24" t="s">
        <v>2923</v>
      </c>
      <c r="K409" s="3">
        <v>30</v>
      </c>
      <c r="L409" s="3" t="s">
        <v>6745</v>
      </c>
      <c r="M409" s="3" t="str">
        <f>HYPERLINK("http://ictvonline.org/taxonomyHistory.asp?taxnode_id=20150473","ICTVonline=20150473")</f>
        <v>ICTVonline=20150473</v>
      </c>
    </row>
    <row r="410" spans="1:13" x14ac:dyDescent="0.15">
      <c r="A410" s="1" t="s">
        <v>1393</v>
      </c>
      <c r="B410" s="1" t="s">
        <v>928</v>
      </c>
      <c r="D410" s="1" t="s">
        <v>4036</v>
      </c>
      <c r="E410" s="1" t="s">
        <v>4038</v>
      </c>
      <c r="F410" s="3">
        <v>0</v>
      </c>
      <c r="G410" s="24" t="s">
        <v>3049</v>
      </c>
      <c r="I410" s="24" t="s">
        <v>2965</v>
      </c>
      <c r="J410" s="24" t="s">
        <v>2923</v>
      </c>
      <c r="K410" s="3">
        <v>30</v>
      </c>
      <c r="L410" s="3" t="s">
        <v>6745</v>
      </c>
      <c r="M410" s="3" t="str">
        <f>HYPERLINK("http://ictvonline.org/taxonomyHistory.asp?taxnode_id=20150474","ICTVonline=20150474")</f>
        <v>ICTVonline=20150474</v>
      </c>
    </row>
    <row r="411" spans="1:13" x14ac:dyDescent="0.15">
      <c r="A411" s="1" t="s">
        <v>1393</v>
      </c>
      <c r="B411" s="1" t="s">
        <v>928</v>
      </c>
      <c r="D411" s="1" t="s">
        <v>4039</v>
      </c>
      <c r="E411" s="1" t="s">
        <v>4040</v>
      </c>
      <c r="F411" s="3">
        <v>1</v>
      </c>
      <c r="G411" s="24" t="s">
        <v>3050</v>
      </c>
      <c r="I411" s="24" t="s">
        <v>2965</v>
      </c>
      <c r="J411" s="24" t="s">
        <v>2923</v>
      </c>
      <c r="K411" s="3">
        <v>30</v>
      </c>
      <c r="L411" s="3" t="s">
        <v>6745</v>
      </c>
      <c r="M411" s="3" t="str">
        <f>HYPERLINK("http://ictvonline.org/taxonomyHistory.asp?taxnode_id=20150476","ICTVonline=20150476")</f>
        <v>ICTVonline=20150476</v>
      </c>
    </row>
    <row r="412" spans="1:13" x14ac:dyDescent="0.15">
      <c r="A412" s="1" t="s">
        <v>1393</v>
      </c>
      <c r="B412" s="1" t="s">
        <v>928</v>
      </c>
      <c r="D412" s="1" t="s">
        <v>4039</v>
      </c>
      <c r="E412" s="1" t="s">
        <v>4041</v>
      </c>
      <c r="F412" s="3">
        <v>0</v>
      </c>
      <c r="G412" s="24" t="s">
        <v>3051</v>
      </c>
      <c r="I412" s="24" t="s">
        <v>2965</v>
      </c>
      <c r="J412" s="24" t="s">
        <v>2923</v>
      </c>
      <c r="K412" s="3">
        <v>30</v>
      </c>
      <c r="L412" s="3" t="s">
        <v>6745</v>
      </c>
      <c r="M412" s="3" t="str">
        <f>HYPERLINK("http://ictvonline.org/taxonomyHistory.asp?taxnode_id=20150477","ICTVonline=20150477")</f>
        <v>ICTVonline=20150477</v>
      </c>
    </row>
    <row r="413" spans="1:13" x14ac:dyDescent="0.15">
      <c r="A413" s="1" t="s">
        <v>1393</v>
      </c>
      <c r="B413" s="1" t="s">
        <v>928</v>
      </c>
      <c r="D413" s="1" t="s">
        <v>4039</v>
      </c>
      <c r="E413" s="1" t="s">
        <v>4042</v>
      </c>
      <c r="F413" s="3">
        <v>0</v>
      </c>
      <c r="G413" s="24" t="s">
        <v>3052</v>
      </c>
      <c r="I413" s="24" t="s">
        <v>2965</v>
      </c>
      <c r="J413" s="24" t="s">
        <v>2923</v>
      </c>
      <c r="K413" s="3">
        <v>30</v>
      </c>
      <c r="L413" s="3" t="s">
        <v>6745</v>
      </c>
      <c r="M413" s="3" t="str">
        <f>HYPERLINK("http://ictvonline.org/taxonomyHistory.asp?taxnode_id=20150478","ICTVonline=20150478")</f>
        <v>ICTVonline=20150478</v>
      </c>
    </row>
    <row r="414" spans="1:13" x14ac:dyDescent="0.15">
      <c r="A414" s="1" t="s">
        <v>1393</v>
      </c>
      <c r="B414" s="1" t="s">
        <v>928</v>
      </c>
      <c r="D414" s="1" t="s">
        <v>4039</v>
      </c>
      <c r="E414" s="1" t="s">
        <v>4043</v>
      </c>
      <c r="F414" s="3">
        <v>0</v>
      </c>
      <c r="G414" s="24" t="s">
        <v>3053</v>
      </c>
      <c r="I414" s="24" t="s">
        <v>2965</v>
      </c>
      <c r="J414" s="24" t="s">
        <v>2923</v>
      </c>
      <c r="K414" s="3">
        <v>30</v>
      </c>
      <c r="L414" s="3" t="s">
        <v>6745</v>
      </c>
      <c r="M414" s="3" t="str">
        <f>HYPERLINK("http://ictvonline.org/taxonomyHistory.asp?taxnode_id=20150479","ICTVonline=20150479")</f>
        <v>ICTVonline=20150479</v>
      </c>
    </row>
    <row r="415" spans="1:13" x14ac:dyDescent="0.15">
      <c r="A415" s="1" t="s">
        <v>1393</v>
      </c>
      <c r="B415" s="1" t="s">
        <v>928</v>
      </c>
      <c r="D415" s="1" t="s">
        <v>4039</v>
      </c>
      <c r="E415" s="1" t="s">
        <v>4044</v>
      </c>
      <c r="F415" s="3">
        <v>0</v>
      </c>
      <c r="G415" s="24" t="s">
        <v>3054</v>
      </c>
      <c r="I415" s="24" t="s">
        <v>2965</v>
      </c>
      <c r="J415" s="24" t="s">
        <v>2923</v>
      </c>
      <c r="K415" s="3">
        <v>30</v>
      </c>
      <c r="L415" s="3" t="s">
        <v>6745</v>
      </c>
      <c r="M415" s="3" t="str">
        <f>HYPERLINK("http://ictvonline.org/taxonomyHistory.asp?taxnode_id=20150480","ICTVonline=20150480")</f>
        <v>ICTVonline=20150480</v>
      </c>
    </row>
    <row r="416" spans="1:13" x14ac:dyDescent="0.15">
      <c r="A416" s="1" t="s">
        <v>1393</v>
      </c>
      <c r="B416" s="1" t="s">
        <v>928</v>
      </c>
      <c r="D416" s="1" t="s">
        <v>4039</v>
      </c>
      <c r="E416" s="1" t="s">
        <v>4045</v>
      </c>
      <c r="F416" s="3">
        <v>0</v>
      </c>
      <c r="G416" s="24" t="s">
        <v>3055</v>
      </c>
      <c r="I416" s="24" t="s">
        <v>2965</v>
      </c>
      <c r="J416" s="24" t="s">
        <v>2923</v>
      </c>
      <c r="K416" s="3">
        <v>30</v>
      </c>
      <c r="L416" s="3" t="s">
        <v>6745</v>
      </c>
      <c r="M416" s="3" t="str">
        <f>HYPERLINK("http://ictvonline.org/taxonomyHistory.asp?taxnode_id=20150481","ICTVonline=20150481")</f>
        <v>ICTVonline=20150481</v>
      </c>
    </row>
    <row r="417" spans="1:13" x14ac:dyDescent="0.15">
      <c r="A417" s="1" t="s">
        <v>1393</v>
      </c>
      <c r="B417" s="1" t="s">
        <v>928</v>
      </c>
      <c r="D417" s="1" t="s">
        <v>4039</v>
      </c>
      <c r="E417" s="1" t="s">
        <v>4046</v>
      </c>
      <c r="F417" s="3">
        <v>0</v>
      </c>
      <c r="G417" s="24" t="s">
        <v>3056</v>
      </c>
      <c r="I417" s="24" t="s">
        <v>2965</v>
      </c>
      <c r="J417" s="24" t="s">
        <v>2923</v>
      </c>
      <c r="K417" s="3">
        <v>30</v>
      </c>
      <c r="L417" s="3" t="s">
        <v>6745</v>
      </c>
      <c r="M417" s="3" t="str">
        <f>HYPERLINK("http://ictvonline.org/taxonomyHistory.asp?taxnode_id=20150482","ICTVonline=20150482")</f>
        <v>ICTVonline=20150482</v>
      </c>
    </row>
    <row r="418" spans="1:13" x14ac:dyDescent="0.15">
      <c r="A418" s="1" t="s">
        <v>1393</v>
      </c>
      <c r="B418" s="1" t="s">
        <v>928</v>
      </c>
      <c r="D418" s="1" t="s">
        <v>4039</v>
      </c>
      <c r="E418" s="1" t="s">
        <v>4047</v>
      </c>
      <c r="F418" s="3">
        <v>0</v>
      </c>
      <c r="G418" s="24" t="s">
        <v>3057</v>
      </c>
      <c r="I418" s="24" t="s">
        <v>2965</v>
      </c>
      <c r="J418" s="24" t="s">
        <v>2923</v>
      </c>
      <c r="K418" s="3">
        <v>30</v>
      </c>
      <c r="L418" s="3" t="s">
        <v>6745</v>
      </c>
      <c r="M418" s="3" t="str">
        <f>HYPERLINK("http://ictvonline.org/taxonomyHistory.asp?taxnode_id=20150483","ICTVonline=20150483")</f>
        <v>ICTVonline=20150483</v>
      </c>
    </row>
    <row r="419" spans="1:13" x14ac:dyDescent="0.15">
      <c r="A419" s="1" t="s">
        <v>1393</v>
      </c>
      <c r="B419" s="1" t="s">
        <v>928</v>
      </c>
      <c r="D419" s="1" t="s">
        <v>4048</v>
      </c>
      <c r="E419" s="1" t="s">
        <v>4049</v>
      </c>
      <c r="F419" s="3">
        <v>1</v>
      </c>
      <c r="G419" s="24" t="s">
        <v>3058</v>
      </c>
      <c r="I419" s="24" t="s">
        <v>2965</v>
      </c>
      <c r="J419" s="24" t="s">
        <v>2923</v>
      </c>
      <c r="K419" s="3">
        <v>30</v>
      </c>
      <c r="L419" s="3" t="s">
        <v>6745</v>
      </c>
      <c r="M419" s="3" t="str">
        <f>HYPERLINK("http://ictvonline.org/taxonomyHistory.asp?taxnode_id=20150485","ICTVonline=20150485")</f>
        <v>ICTVonline=20150485</v>
      </c>
    </row>
    <row r="420" spans="1:13" x14ac:dyDescent="0.15">
      <c r="A420" s="1" t="s">
        <v>1393</v>
      </c>
      <c r="B420" s="1" t="s">
        <v>928</v>
      </c>
      <c r="D420" s="1" t="s">
        <v>4048</v>
      </c>
      <c r="E420" s="1" t="s">
        <v>4050</v>
      </c>
      <c r="F420" s="3">
        <v>0</v>
      </c>
      <c r="G420" s="24" t="s">
        <v>3059</v>
      </c>
      <c r="I420" s="24" t="s">
        <v>2965</v>
      </c>
      <c r="J420" s="24" t="s">
        <v>2923</v>
      </c>
      <c r="K420" s="3">
        <v>30</v>
      </c>
      <c r="L420" s="3" t="s">
        <v>6745</v>
      </c>
      <c r="M420" s="3" t="str">
        <f>HYPERLINK("http://ictvonline.org/taxonomyHistory.asp?taxnode_id=20150486","ICTVonline=20150486")</f>
        <v>ICTVonline=20150486</v>
      </c>
    </row>
    <row r="421" spans="1:13" x14ac:dyDescent="0.15">
      <c r="A421" s="1" t="s">
        <v>1393</v>
      </c>
      <c r="B421" s="1" t="s">
        <v>928</v>
      </c>
      <c r="D421" s="1" t="s">
        <v>4051</v>
      </c>
      <c r="E421" s="1" t="s">
        <v>4052</v>
      </c>
      <c r="F421" s="3">
        <v>0</v>
      </c>
      <c r="G421" s="24" t="s">
        <v>3163</v>
      </c>
      <c r="I421" s="24" t="s">
        <v>2965</v>
      </c>
      <c r="J421" s="24" t="s">
        <v>2923</v>
      </c>
      <c r="K421" s="3">
        <v>30</v>
      </c>
      <c r="L421" s="3" t="s">
        <v>6745</v>
      </c>
      <c r="M421" s="3" t="str">
        <f>HYPERLINK("http://ictvonline.org/taxonomyHistory.asp?taxnode_id=20150614","ICTVonline=20150614")</f>
        <v>ICTVonline=20150614</v>
      </c>
    </row>
    <row r="422" spans="1:13" x14ac:dyDescent="0.15">
      <c r="A422" s="1" t="s">
        <v>1393</v>
      </c>
      <c r="B422" s="1" t="s">
        <v>928</v>
      </c>
      <c r="D422" s="1" t="s">
        <v>4051</v>
      </c>
      <c r="E422" s="1" t="s">
        <v>4053</v>
      </c>
      <c r="F422" s="3">
        <v>0</v>
      </c>
      <c r="G422" s="24" t="s">
        <v>3164</v>
      </c>
      <c r="I422" s="24" t="s">
        <v>2965</v>
      </c>
      <c r="J422" s="24" t="s">
        <v>2923</v>
      </c>
      <c r="K422" s="3">
        <v>30</v>
      </c>
      <c r="L422" s="3" t="s">
        <v>6745</v>
      </c>
      <c r="M422" s="3" t="str">
        <f>HYPERLINK("http://ictvonline.org/taxonomyHistory.asp?taxnode_id=20150615","ICTVonline=20150615")</f>
        <v>ICTVonline=20150615</v>
      </c>
    </row>
    <row r="423" spans="1:13" x14ac:dyDescent="0.15">
      <c r="A423" s="1" t="s">
        <v>1393</v>
      </c>
      <c r="B423" s="1" t="s">
        <v>928</v>
      </c>
      <c r="D423" s="1" t="s">
        <v>4051</v>
      </c>
      <c r="E423" s="1" t="s">
        <v>4054</v>
      </c>
      <c r="F423" s="3">
        <v>1</v>
      </c>
      <c r="G423" s="24" t="s">
        <v>3165</v>
      </c>
      <c r="I423" s="24" t="s">
        <v>2965</v>
      </c>
      <c r="J423" s="24" t="s">
        <v>2923</v>
      </c>
      <c r="K423" s="3">
        <v>30</v>
      </c>
      <c r="L423" s="3" t="s">
        <v>6745</v>
      </c>
      <c r="M423" s="3" t="str">
        <f>HYPERLINK("http://ictvonline.org/taxonomyHistory.asp?taxnode_id=20150616","ICTVonline=20150616")</f>
        <v>ICTVonline=20150616</v>
      </c>
    </row>
    <row r="424" spans="1:13" x14ac:dyDescent="0.15">
      <c r="A424" s="1" t="s">
        <v>1393</v>
      </c>
      <c r="B424" s="1" t="s">
        <v>928</v>
      </c>
      <c r="D424" s="1" t="s">
        <v>3781</v>
      </c>
      <c r="E424" s="1" t="s">
        <v>3782</v>
      </c>
      <c r="F424" s="3">
        <v>1</v>
      </c>
      <c r="G424" s="24" t="s">
        <v>7345</v>
      </c>
      <c r="H424" s="24" t="s">
        <v>3783</v>
      </c>
      <c r="I424" s="24" t="s">
        <v>2965</v>
      </c>
      <c r="J424" s="24" t="s">
        <v>2919</v>
      </c>
      <c r="K424" s="3">
        <v>30</v>
      </c>
      <c r="L424" s="3" t="s">
        <v>6786</v>
      </c>
      <c r="M424" s="3" t="str">
        <f>HYPERLINK("http://ictvonline.org/taxonomyHistory.asp?taxnode_id=20150488","ICTVonline=20150488")</f>
        <v>ICTVonline=20150488</v>
      </c>
    </row>
    <row r="425" spans="1:13" x14ac:dyDescent="0.15">
      <c r="A425" s="1" t="s">
        <v>1393</v>
      </c>
      <c r="B425" s="1" t="s">
        <v>928</v>
      </c>
      <c r="D425" s="1" t="s">
        <v>3781</v>
      </c>
      <c r="E425" s="1" t="s">
        <v>3784</v>
      </c>
      <c r="F425" s="3">
        <v>0</v>
      </c>
      <c r="G425" s="24" t="s">
        <v>7346</v>
      </c>
      <c r="H425" s="24" t="s">
        <v>3784</v>
      </c>
      <c r="I425" s="24" t="s">
        <v>2965</v>
      </c>
      <c r="J425" s="24" t="s">
        <v>2919</v>
      </c>
      <c r="K425" s="3">
        <v>30</v>
      </c>
      <c r="L425" s="3" t="s">
        <v>6786</v>
      </c>
      <c r="M425" s="3" t="str">
        <f>HYPERLINK("http://ictvonline.org/taxonomyHistory.asp?taxnode_id=20150489","ICTVonline=20150489")</f>
        <v>ICTVonline=20150489</v>
      </c>
    </row>
    <row r="426" spans="1:13" x14ac:dyDescent="0.15">
      <c r="A426" s="1" t="s">
        <v>1393</v>
      </c>
      <c r="B426" s="1" t="s">
        <v>928</v>
      </c>
      <c r="D426" s="1" t="s">
        <v>4055</v>
      </c>
      <c r="E426" s="1" t="s">
        <v>4056</v>
      </c>
      <c r="F426" s="3">
        <v>1</v>
      </c>
      <c r="G426" s="24" t="s">
        <v>3064</v>
      </c>
      <c r="I426" s="24" t="s">
        <v>2965</v>
      </c>
      <c r="J426" s="24" t="s">
        <v>2923</v>
      </c>
      <c r="K426" s="3">
        <v>30</v>
      </c>
      <c r="L426" s="3" t="s">
        <v>6745</v>
      </c>
      <c r="M426" s="3" t="str">
        <f>HYPERLINK("http://ictvonline.org/taxonomyHistory.asp?taxnode_id=20150496","ICTVonline=20150496")</f>
        <v>ICTVonline=20150496</v>
      </c>
    </row>
    <row r="427" spans="1:13" x14ac:dyDescent="0.15">
      <c r="A427" s="1" t="s">
        <v>1393</v>
      </c>
      <c r="B427" s="1" t="s">
        <v>928</v>
      </c>
      <c r="D427" s="1" t="s">
        <v>4055</v>
      </c>
      <c r="E427" s="1" t="s">
        <v>4057</v>
      </c>
      <c r="F427" s="3">
        <v>0</v>
      </c>
      <c r="G427" s="24" t="s">
        <v>3062</v>
      </c>
      <c r="I427" s="24" t="s">
        <v>2965</v>
      </c>
      <c r="J427" s="24" t="s">
        <v>2923</v>
      </c>
      <c r="K427" s="3">
        <v>30</v>
      </c>
      <c r="L427" s="3" t="s">
        <v>6745</v>
      </c>
      <c r="M427" s="3" t="str">
        <f>HYPERLINK("http://ictvonline.org/taxonomyHistory.asp?taxnode_id=20150494","ICTVonline=20150494")</f>
        <v>ICTVonline=20150494</v>
      </c>
    </row>
    <row r="428" spans="1:13" x14ac:dyDescent="0.15">
      <c r="A428" s="1" t="s">
        <v>1393</v>
      </c>
      <c r="B428" s="1" t="s">
        <v>928</v>
      </c>
      <c r="D428" s="1" t="s">
        <v>4055</v>
      </c>
      <c r="E428" s="1" t="s">
        <v>4058</v>
      </c>
      <c r="F428" s="3">
        <v>0</v>
      </c>
      <c r="G428" s="24" t="s">
        <v>3063</v>
      </c>
      <c r="I428" s="24" t="s">
        <v>2965</v>
      </c>
      <c r="J428" s="24" t="s">
        <v>2923</v>
      </c>
      <c r="K428" s="3">
        <v>30</v>
      </c>
      <c r="L428" s="3" t="s">
        <v>6745</v>
      </c>
      <c r="M428" s="3" t="str">
        <f>HYPERLINK("http://ictvonline.org/taxonomyHistory.asp?taxnode_id=20150495","ICTVonline=20150495")</f>
        <v>ICTVonline=20150495</v>
      </c>
    </row>
    <row r="429" spans="1:13" x14ac:dyDescent="0.15">
      <c r="A429" s="1" t="s">
        <v>1393</v>
      </c>
      <c r="B429" s="1" t="s">
        <v>928</v>
      </c>
      <c r="D429" s="1" t="s">
        <v>4055</v>
      </c>
      <c r="E429" s="1" t="s">
        <v>4059</v>
      </c>
      <c r="F429" s="3">
        <v>0</v>
      </c>
      <c r="G429" s="24" t="s">
        <v>3065</v>
      </c>
      <c r="I429" s="24" t="s">
        <v>2965</v>
      </c>
      <c r="J429" s="24" t="s">
        <v>2923</v>
      </c>
      <c r="K429" s="3">
        <v>30</v>
      </c>
      <c r="L429" s="3" t="s">
        <v>6745</v>
      </c>
      <c r="M429" s="3" t="str">
        <f>HYPERLINK("http://ictvonline.org/taxonomyHistory.asp?taxnode_id=20150497","ICTVonline=20150497")</f>
        <v>ICTVonline=20150497</v>
      </c>
    </row>
    <row r="430" spans="1:13" x14ac:dyDescent="0.15">
      <c r="A430" s="1" t="s">
        <v>1393</v>
      </c>
      <c r="B430" s="1" t="s">
        <v>928</v>
      </c>
      <c r="D430" s="1" t="s">
        <v>4055</v>
      </c>
      <c r="E430" s="1" t="s">
        <v>4060</v>
      </c>
      <c r="F430" s="3">
        <v>0</v>
      </c>
      <c r="G430" s="24" t="s">
        <v>3066</v>
      </c>
      <c r="I430" s="24" t="s">
        <v>2965</v>
      </c>
      <c r="J430" s="24" t="s">
        <v>2923</v>
      </c>
      <c r="K430" s="3">
        <v>30</v>
      </c>
      <c r="L430" s="3" t="s">
        <v>6745</v>
      </c>
      <c r="M430" s="3" t="str">
        <f>HYPERLINK("http://ictvonline.org/taxonomyHistory.asp?taxnode_id=20150498","ICTVonline=20150498")</f>
        <v>ICTVonline=20150498</v>
      </c>
    </row>
    <row r="431" spans="1:13" x14ac:dyDescent="0.15">
      <c r="A431" s="1" t="s">
        <v>1393</v>
      </c>
      <c r="B431" s="1" t="s">
        <v>928</v>
      </c>
      <c r="D431" s="1" t="s">
        <v>4061</v>
      </c>
      <c r="E431" s="1" t="s">
        <v>4062</v>
      </c>
      <c r="F431" s="3">
        <v>0</v>
      </c>
      <c r="G431" s="24" t="s">
        <v>3075</v>
      </c>
      <c r="I431" s="24" t="s">
        <v>2965</v>
      </c>
      <c r="J431" s="24" t="s">
        <v>2923</v>
      </c>
      <c r="K431" s="3">
        <v>30</v>
      </c>
      <c r="L431" s="3" t="s">
        <v>6745</v>
      </c>
      <c r="M431" s="3" t="str">
        <f>HYPERLINK("http://ictvonline.org/taxonomyHistory.asp?taxnode_id=20150510","ICTVonline=20150510")</f>
        <v>ICTVonline=20150510</v>
      </c>
    </row>
    <row r="432" spans="1:13" x14ac:dyDescent="0.15">
      <c r="A432" s="1" t="s">
        <v>1393</v>
      </c>
      <c r="B432" s="1" t="s">
        <v>928</v>
      </c>
      <c r="D432" s="1" t="s">
        <v>4061</v>
      </c>
      <c r="E432" s="1" t="s">
        <v>4063</v>
      </c>
      <c r="F432" s="3">
        <v>0</v>
      </c>
      <c r="G432" s="24" t="s">
        <v>3076</v>
      </c>
      <c r="I432" s="24" t="s">
        <v>2965</v>
      </c>
      <c r="J432" s="24" t="s">
        <v>2923</v>
      </c>
      <c r="K432" s="3">
        <v>30</v>
      </c>
      <c r="L432" s="3" t="s">
        <v>6745</v>
      </c>
      <c r="M432" s="3" t="str">
        <f>HYPERLINK("http://ictvonline.org/taxonomyHistory.asp?taxnode_id=20150511","ICTVonline=20150511")</f>
        <v>ICTVonline=20150511</v>
      </c>
    </row>
    <row r="433" spans="1:13" x14ac:dyDescent="0.15">
      <c r="A433" s="1" t="s">
        <v>1393</v>
      </c>
      <c r="B433" s="1" t="s">
        <v>928</v>
      </c>
      <c r="D433" s="1" t="s">
        <v>4061</v>
      </c>
      <c r="E433" s="1" t="s">
        <v>4064</v>
      </c>
      <c r="F433" s="3">
        <v>0</v>
      </c>
      <c r="G433" s="24" t="s">
        <v>3077</v>
      </c>
      <c r="I433" s="24" t="s">
        <v>2965</v>
      </c>
      <c r="J433" s="24" t="s">
        <v>2923</v>
      </c>
      <c r="K433" s="3">
        <v>30</v>
      </c>
      <c r="L433" s="3" t="s">
        <v>6745</v>
      </c>
      <c r="M433" s="3" t="str">
        <f>HYPERLINK("http://ictvonline.org/taxonomyHistory.asp?taxnode_id=20150512","ICTVonline=20150512")</f>
        <v>ICTVonline=20150512</v>
      </c>
    </row>
    <row r="434" spans="1:13" x14ac:dyDescent="0.15">
      <c r="A434" s="1" t="s">
        <v>1393</v>
      </c>
      <c r="B434" s="1" t="s">
        <v>928</v>
      </c>
      <c r="D434" s="1" t="s">
        <v>4061</v>
      </c>
      <c r="E434" s="1" t="s">
        <v>4065</v>
      </c>
      <c r="F434" s="3">
        <v>0</v>
      </c>
      <c r="G434" s="24" t="s">
        <v>3078</v>
      </c>
      <c r="I434" s="24" t="s">
        <v>2965</v>
      </c>
      <c r="J434" s="24" t="s">
        <v>2923</v>
      </c>
      <c r="K434" s="3">
        <v>30</v>
      </c>
      <c r="L434" s="3" t="s">
        <v>6745</v>
      </c>
      <c r="M434" s="3" t="str">
        <f>HYPERLINK("http://ictvonline.org/taxonomyHistory.asp?taxnode_id=20150513","ICTVonline=20150513")</f>
        <v>ICTVonline=20150513</v>
      </c>
    </row>
    <row r="435" spans="1:13" x14ac:dyDescent="0.15">
      <c r="A435" s="1" t="s">
        <v>1393</v>
      </c>
      <c r="B435" s="1" t="s">
        <v>928</v>
      </c>
      <c r="D435" s="1" t="s">
        <v>4061</v>
      </c>
      <c r="E435" s="1" t="s">
        <v>4066</v>
      </c>
      <c r="F435" s="3">
        <v>0</v>
      </c>
      <c r="G435" s="24" t="s">
        <v>3079</v>
      </c>
      <c r="I435" s="24" t="s">
        <v>2965</v>
      </c>
      <c r="J435" s="24" t="s">
        <v>2923</v>
      </c>
      <c r="K435" s="3">
        <v>30</v>
      </c>
      <c r="L435" s="3" t="s">
        <v>6745</v>
      </c>
      <c r="M435" s="3" t="str">
        <f>HYPERLINK("http://ictvonline.org/taxonomyHistory.asp?taxnode_id=20150514","ICTVonline=20150514")</f>
        <v>ICTVonline=20150514</v>
      </c>
    </row>
    <row r="436" spans="1:13" x14ac:dyDescent="0.15">
      <c r="A436" s="1" t="s">
        <v>1393</v>
      </c>
      <c r="B436" s="1" t="s">
        <v>928</v>
      </c>
      <c r="D436" s="1" t="s">
        <v>4061</v>
      </c>
      <c r="E436" s="1" t="s">
        <v>4067</v>
      </c>
      <c r="F436" s="3">
        <v>0</v>
      </c>
      <c r="G436" s="24" t="s">
        <v>3080</v>
      </c>
      <c r="I436" s="24" t="s">
        <v>2965</v>
      </c>
      <c r="J436" s="24" t="s">
        <v>2923</v>
      </c>
      <c r="K436" s="3">
        <v>30</v>
      </c>
      <c r="L436" s="3" t="s">
        <v>6745</v>
      </c>
      <c r="M436" s="3" t="str">
        <f>HYPERLINK("http://ictvonline.org/taxonomyHistory.asp?taxnode_id=20150515","ICTVonline=20150515")</f>
        <v>ICTVonline=20150515</v>
      </c>
    </row>
    <row r="437" spans="1:13" x14ac:dyDescent="0.15">
      <c r="A437" s="1" t="s">
        <v>1393</v>
      </c>
      <c r="B437" s="1" t="s">
        <v>928</v>
      </c>
      <c r="D437" s="1" t="s">
        <v>4061</v>
      </c>
      <c r="E437" s="1" t="s">
        <v>4068</v>
      </c>
      <c r="F437" s="3">
        <v>0</v>
      </c>
      <c r="G437" s="24" t="s">
        <v>3081</v>
      </c>
      <c r="I437" s="24" t="s">
        <v>2965</v>
      </c>
      <c r="J437" s="24" t="s">
        <v>2923</v>
      </c>
      <c r="K437" s="3">
        <v>30</v>
      </c>
      <c r="L437" s="3" t="s">
        <v>6745</v>
      </c>
      <c r="M437" s="3" t="str">
        <f>HYPERLINK("http://ictvonline.org/taxonomyHistory.asp?taxnode_id=20150516","ICTVonline=20150516")</f>
        <v>ICTVonline=20150516</v>
      </c>
    </row>
    <row r="438" spans="1:13" x14ac:dyDescent="0.15">
      <c r="A438" s="1" t="s">
        <v>1393</v>
      </c>
      <c r="B438" s="1" t="s">
        <v>928</v>
      </c>
      <c r="D438" s="1" t="s">
        <v>4061</v>
      </c>
      <c r="E438" s="1" t="s">
        <v>4069</v>
      </c>
      <c r="F438" s="3">
        <v>0</v>
      </c>
      <c r="G438" s="24" t="s">
        <v>3082</v>
      </c>
      <c r="I438" s="24" t="s">
        <v>2965</v>
      </c>
      <c r="J438" s="24" t="s">
        <v>2923</v>
      </c>
      <c r="K438" s="3">
        <v>30</v>
      </c>
      <c r="L438" s="3" t="s">
        <v>6745</v>
      </c>
      <c r="M438" s="3" t="str">
        <f>HYPERLINK("http://ictvonline.org/taxonomyHistory.asp?taxnode_id=20150517","ICTVonline=20150517")</f>
        <v>ICTVonline=20150517</v>
      </c>
    </row>
    <row r="439" spans="1:13" x14ac:dyDescent="0.15">
      <c r="A439" s="1" t="s">
        <v>1393</v>
      </c>
      <c r="B439" s="1" t="s">
        <v>928</v>
      </c>
      <c r="D439" s="1" t="s">
        <v>4061</v>
      </c>
      <c r="E439" s="1" t="s">
        <v>4070</v>
      </c>
      <c r="F439" s="3">
        <v>0</v>
      </c>
      <c r="G439" s="24" t="s">
        <v>3083</v>
      </c>
      <c r="I439" s="24" t="s">
        <v>2965</v>
      </c>
      <c r="J439" s="24" t="s">
        <v>2923</v>
      </c>
      <c r="K439" s="3">
        <v>30</v>
      </c>
      <c r="L439" s="3" t="s">
        <v>6745</v>
      </c>
      <c r="M439" s="3" t="str">
        <f>HYPERLINK("http://ictvonline.org/taxonomyHistory.asp?taxnode_id=20150518","ICTVonline=20150518")</f>
        <v>ICTVonline=20150518</v>
      </c>
    </row>
    <row r="440" spans="1:13" x14ac:dyDescent="0.15">
      <c r="A440" s="1" t="s">
        <v>1393</v>
      </c>
      <c r="B440" s="1" t="s">
        <v>928</v>
      </c>
      <c r="D440" s="1" t="s">
        <v>4061</v>
      </c>
      <c r="E440" s="1" t="s">
        <v>4071</v>
      </c>
      <c r="F440" s="3">
        <v>0</v>
      </c>
      <c r="G440" s="24" t="s">
        <v>3084</v>
      </c>
      <c r="I440" s="24" t="s">
        <v>2965</v>
      </c>
      <c r="J440" s="24" t="s">
        <v>2923</v>
      </c>
      <c r="K440" s="3">
        <v>30</v>
      </c>
      <c r="L440" s="3" t="s">
        <v>6745</v>
      </c>
      <c r="M440" s="3" t="str">
        <f>HYPERLINK("http://ictvonline.org/taxonomyHistory.asp?taxnode_id=20150519","ICTVonline=20150519")</f>
        <v>ICTVonline=20150519</v>
      </c>
    </row>
    <row r="441" spans="1:13" x14ac:dyDescent="0.15">
      <c r="A441" s="1" t="s">
        <v>1393</v>
      </c>
      <c r="B441" s="1" t="s">
        <v>928</v>
      </c>
      <c r="D441" s="1" t="s">
        <v>4061</v>
      </c>
      <c r="E441" s="1" t="s">
        <v>4072</v>
      </c>
      <c r="F441" s="3">
        <v>0</v>
      </c>
      <c r="G441" s="24" t="s">
        <v>3085</v>
      </c>
      <c r="I441" s="24" t="s">
        <v>2965</v>
      </c>
      <c r="J441" s="24" t="s">
        <v>2923</v>
      </c>
      <c r="K441" s="3">
        <v>30</v>
      </c>
      <c r="L441" s="3" t="s">
        <v>6745</v>
      </c>
      <c r="M441" s="3" t="str">
        <f>HYPERLINK("http://ictvonline.org/taxonomyHistory.asp?taxnode_id=20150520","ICTVonline=20150520")</f>
        <v>ICTVonline=20150520</v>
      </c>
    </row>
    <row r="442" spans="1:13" x14ac:dyDescent="0.15">
      <c r="A442" s="1" t="s">
        <v>1393</v>
      </c>
      <c r="B442" s="1" t="s">
        <v>928</v>
      </c>
      <c r="D442" s="1" t="s">
        <v>4061</v>
      </c>
      <c r="E442" s="1" t="s">
        <v>4073</v>
      </c>
      <c r="F442" s="3">
        <v>0</v>
      </c>
      <c r="G442" s="24" t="s">
        <v>3086</v>
      </c>
      <c r="I442" s="24" t="s">
        <v>2965</v>
      </c>
      <c r="J442" s="24" t="s">
        <v>2923</v>
      </c>
      <c r="K442" s="3">
        <v>30</v>
      </c>
      <c r="L442" s="3" t="s">
        <v>6745</v>
      </c>
      <c r="M442" s="3" t="str">
        <f>HYPERLINK("http://ictvonline.org/taxonomyHistory.asp?taxnode_id=20150521","ICTVonline=20150521")</f>
        <v>ICTVonline=20150521</v>
      </c>
    </row>
    <row r="443" spans="1:13" x14ac:dyDescent="0.15">
      <c r="A443" s="1" t="s">
        <v>1393</v>
      </c>
      <c r="B443" s="1" t="s">
        <v>928</v>
      </c>
      <c r="D443" s="1" t="s">
        <v>4061</v>
      </c>
      <c r="E443" s="1" t="s">
        <v>4074</v>
      </c>
      <c r="F443" s="3">
        <v>0</v>
      </c>
      <c r="G443" s="24" t="s">
        <v>3087</v>
      </c>
      <c r="I443" s="24" t="s">
        <v>2965</v>
      </c>
      <c r="J443" s="24" t="s">
        <v>2923</v>
      </c>
      <c r="K443" s="3">
        <v>30</v>
      </c>
      <c r="L443" s="3" t="s">
        <v>6745</v>
      </c>
      <c r="M443" s="3" t="str">
        <f>HYPERLINK("http://ictvonline.org/taxonomyHistory.asp?taxnode_id=20150522","ICTVonline=20150522")</f>
        <v>ICTVonline=20150522</v>
      </c>
    </row>
    <row r="444" spans="1:13" x14ac:dyDescent="0.15">
      <c r="A444" s="1" t="s">
        <v>1393</v>
      </c>
      <c r="B444" s="1" t="s">
        <v>928</v>
      </c>
      <c r="D444" s="1" t="s">
        <v>4061</v>
      </c>
      <c r="E444" s="1" t="s">
        <v>4075</v>
      </c>
      <c r="F444" s="3">
        <v>0</v>
      </c>
      <c r="I444" s="24" t="s">
        <v>2965</v>
      </c>
      <c r="J444" s="24" t="s">
        <v>2923</v>
      </c>
      <c r="K444" s="3">
        <v>30</v>
      </c>
      <c r="L444" s="3" t="s">
        <v>6745</v>
      </c>
      <c r="M444" s="3" t="str">
        <f>HYPERLINK("http://ictvonline.org/taxonomyHistory.asp?taxnode_id=20150523","ICTVonline=20150523")</f>
        <v>ICTVonline=20150523</v>
      </c>
    </row>
    <row r="445" spans="1:13" x14ac:dyDescent="0.15">
      <c r="A445" s="1" t="s">
        <v>1393</v>
      </c>
      <c r="B445" s="1" t="s">
        <v>928</v>
      </c>
      <c r="D445" s="1" t="s">
        <v>4061</v>
      </c>
      <c r="E445" s="1" t="s">
        <v>4076</v>
      </c>
      <c r="F445" s="3">
        <v>0</v>
      </c>
      <c r="G445" s="24" t="s">
        <v>3088</v>
      </c>
      <c r="I445" s="24" t="s">
        <v>2965</v>
      </c>
      <c r="J445" s="24" t="s">
        <v>2923</v>
      </c>
      <c r="K445" s="3">
        <v>30</v>
      </c>
      <c r="L445" s="3" t="s">
        <v>6745</v>
      </c>
      <c r="M445" s="3" t="str">
        <f>HYPERLINK("http://ictvonline.org/taxonomyHistory.asp?taxnode_id=20150524","ICTVonline=20150524")</f>
        <v>ICTVonline=20150524</v>
      </c>
    </row>
    <row r="446" spans="1:13" x14ac:dyDescent="0.15">
      <c r="A446" s="1" t="s">
        <v>1393</v>
      </c>
      <c r="B446" s="1" t="s">
        <v>928</v>
      </c>
      <c r="D446" s="1" t="s">
        <v>4061</v>
      </c>
      <c r="E446" s="1" t="s">
        <v>4077</v>
      </c>
      <c r="F446" s="3">
        <v>0</v>
      </c>
      <c r="G446" s="24" t="s">
        <v>3089</v>
      </c>
      <c r="I446" s="24" t="s">
        <v>2965</v>
      </c>
      <c r="J446" s="24" t="s">
        <v>2923</v>
      </c>
      <c r="K446" s="3">
        <v>30</v>
      </c>
      <c r="L446" s="3" t="s">
        <v>6745</v>
      </c>
      <c r="M446" s="3" t="str">
        <f>HYPERLINK("http://ictvonline.org/taxonomyHistory.asp?taxnode_id=20150525","ICTVonline=20150525")</f>
        <v>ICTVonline=20150525</v>
      </c>
    </row>
    <row r="447" spans="1:13" x14ac:dyDescent="0.15">
      <c r="A447" s="1" t="s">
        <v>1393</v>
      </c>
      <c r="B447" s="1" t="s">
        <v>928</v>
      </c>
      <c r="D447" s="1" t="s">
        <v>4061</v>
      </c>
      <c r="E447" s="1" t="s">
        <v>4078</v>
      </c>
      <c r="F447" s="3">
        <v>0</v>
      </c>
      <c r="G447" s="24" t="s">
        <v>3090</v>
      </c>
      <c r="I447" s="24" t="s">
        <v>2965</v>
      </c>
      <c r="J447" s="24" t="s">
        <v>2923</v>
      </c>
      <c r="K447" s="3">
        <v>30</v>
      </c>
      <c r="L447" s="3" t="s">
        <v>6745</v>
      </c>
      <c r="M447" s="3" t="str">
        <f>HYPERLINK("http://ictvonline.org/taxonomyHistory.asp?taxnode_id=20150526","ICTVonline=20150526")</f>
        <v>ICTVonline=20150526</v>
      </c>
    </row>
    <row r="448" spans="1:13" x14ac:dyDescent="0.15">
      <c r="A448" s="1" t="s">
        <v>1393</v>
      </c>
      <c r="B448" s="1" t="s">
        <v>928</v>
      </c>
      <c r="D448" s="1" t="s">
        <v>4061</v>
      </c>
      <c r="E448" s="1" t="s">
        <v>4079</v>
      </c>
      <c r="F448" s="3">
        <v>0</v>
      </c>
      <c r="G448" s="24" t="s">
        <v>3091</v>
      </c>
      <c r="I448" s="24" t="s">
        <v>2965</v>
      </c>
      <c r="J448" s="24" t="s">
        <v>2923</v>
      </c>
      <c r="K448" s="3">
        <v>30</v>
      </c>
      <c r="L448" s="3" t="s">
        <v>6745</v>
      </c>
      <c r="M448" s="3" t="str">
        <f>HYPERLINK("http://ictvonline.org/taxonomyHistory.asp?taxnode_id=20150527","ICTVonline=20150527")</f>
        <v>ICTVonline=20150527</v>
      </c>
    </row>
    <row r="449" spans="1:13" x14ac:dyDescent="0.15">
      <c r="A449" s="1" t="s">
        <v>1393</v>
      </c>
      <c r="B449" s="1" t="s">
        <v>928</v>
      </c>
      <c r="D449" s="1" t="s">
        <v>4061</v>
      </c>
      <c r="E449" s="1" t="s">
        <v>4080</v>
      </c>
      <c r="F449" s="3">
        <v>0</v>
      </c>
      <c r="G449" s="24" t="s">
        <v>3092</v>
      </c>
      <c r="I449" s="24" t="s">
        <v>2965</v>
      </c>
      <c r="J449" s="24" t="s">
        <v>2923</v>
      </c>
      <c r="K449" s="3">
        <v>30</v>
      </c>
      <c r="L449" s="3" t="s">
        <v>6745</v>
      </c>
      <c r="M449" s="3" t="str">
        <f>HYPERLINK("http://ictvonline.org/taxonomyHistory.asp?taxnode_id=20150528","ICTVonline=20150528")</f>
        <v>ICTVonline=20150528</v>
      </c>
    </row>
    <row r="450" spans="1:13" x14ac:dyDescent="0.15">
      <c r="A450" s="1" t="s">
        <v>1393</v>
      </c>
      <c r="B450" s="1" t="s">
        <v>928</v>
      </c>
      <c r="D450" s="1" t="s">
        <v>4061</v>
      </c>
      <c r="E450" s="1" t="s">
        <v>4081</v>
      </c>
      <c r="F450" s="3">
        <v>0</v>
      </c>
      <c r="G450" s="24" t="s">
        <v>3093</v>
      </c>
      <c r="I450" s="24" t="s">
        <v>2965</v>
      </c>
      <c r="J450" s="24" t="s">
        <v>2923</v>
      </c>
      <c r="K450" s="3">
        <v>30</v>
      </c>
      <c r="L450" s="3" t="s">
        <v>6745</v>
      </c>
      <c r="M450" s="3" t="str">
        <f>HYPERLINK("http://ictvonline.org/taxonomyHistory.asp?taxnode_id=20150529","ICTVonline=20150529")</f>
        <v>ICTVonline=20150529</v>
      </c>
    </row>
    <row r="451" spans="1:13" x14ac:dyDescent="0.15">
      <c r="A451" s="1" t="s">
        <v>1393</v>
      </c>
      <c r="B451" s="1" t="s">
        <v>928</v>
      </c>
      <c r="D451" s="1" t="s">
        <v>4061</v>
      </c>
      <c r="E451" s="1" t="s">
        <v>4082</v>
      </c>
      <c r="F451" s="3">
        <v>0</v>
      </c>
      <c r="G451" s="24" t="s">
        <v>3094</v>
      </c>
      <c r="I451" s="24" t="s">
        <v>2965</v>
      </c>
      <c r="J451" s="24" t="s">
        <v>2923</v>
      </c>
      <c r="K451" s="3">
        <v>30</v>
      </c>
      <c r="L451" s="3" t="s">
        <v>6745</v>
      </c>
      <c r="M451" s="3" t="str">
        <f>HYPERLINK("http://ictvonline.org/taxonomyHistory.asp?taxnode_id=20150530","ICTVonline=20150530")</f>
        <v>ICTVonline=20150530</v>
      </c>
    </row>
    <row r="452" spans="1:13" x14ac:dyDescent="0.15">
      <c r="A452" s="1" t="s">
        <v>1393</v>
      </c>
      <c r="B452" s="1" t="s">
        <v>928</v>
      </c>
      <c r="D452" s="1" t="s">
        <v>4061</v>
      </c>
      <c r="E452" s="1" t="s">
        <v>4083</v>
      </c>
      <c r="F452" s="3">
        <v>0</v>
      </c>
      <c r="G452" s="24" t="s">
        <v>3095</v>
      </c>
      <c r="I452" s="24" t="s">
        <v>2965</v>
      </c>
      <c r="J452" s="24" t="s">
        <v>2923</v>
      </c>
      <c r="K452" s="3">
        <v>30</v>
      </c>
      <c r="L452" s="3" t="s">
        <v>6745</v>
      </c>
      <c r="M452" s="3" t="str">
        <f>HYPERLINK("http://ictvonline.org/taxonomyHistory.asp?taxnode_id=20150531","ICTVonline=20150531")</f>
        <v>ICTVonline=20150531</v>
      </c>
    </row>
    <row r="453" spans="1:13" x14ac:dyDescent="0.15">
      <c r="A453" s="1" t="s">
        <v>1393</v>
      </c>
      <c r="B453" s="1" t="s">
        <v>928</v>
      </c>
      <c r="D453" s="1" t="s">
        <v>4061</v>
      </c>
      <c r="E453" s="1" t="s">
        <v>4084</v>
      </c>
      <c r="F453" s="3">
        <v>0</v>
      </c>
      <c r="G453" s="24" t="s">
        <v>3096</v>
      </c>
      <c r="I453" s="24" t="s">
        <v>2965</v>
      </c>
      <c r="J453" s="24" t="s">
        <v>2923</v>
      </c>
      <c r="K453" s="3">
        <v>30</v>
      </c>
      <c r="L453" s="3" t="s">
        <v>6745</v>
      </c>
      <c r="M453" s="3" t="str">
        <f>HYPERLINK("http://ictvonline.org/taxonomyHistory.asp?taxnode_id=20150532","ICTVonline=20150532")</f>
        <v>ICTVonline=20150532</v>
      </c>
    </row>
    <row r="454" spans="1:13" x14ac:dyDescent="0.15">
      <c r="A454" s="1" t="s">
        <v>1393</v>
      </c>
      <c r="B454" s="1" t="s">
        <v>928</v>
      </c>
      <c r="D454" s="1" t="s">
        <v>4061</v>
      </c>
      <c r="E454" s="1" t="s">
        <v>4085</v>
      </c>
      <c r="F454" s="3">
        <v>0</v>
      </c>
      <c r="G454" s="24" t="s">
        <v>3097</v>
      </c>
      <c r="I454" s="24" t="s">
        <v>2965</v>
      </c>
      <c r="J454" s="24" t="s">
        <v>2923</v>
      </c>
      <c r="K454" s="3">
        <v>30</v>
      </c>
      <c r="L454" s="3" t="s">
        <v>6745</v>
      </c>
      <c r="M454" s="3" t="str">
        <f>HYPERLINK("http://ictvonline.org/taxonomyHistory.asp?taxnode_id=20150533","ICTVonline=20150533")</f>
        <v>ICTVonline=20150533</v>
      </c>
    </row>
    <row r="455" spans="1:13" x14ac:dyDescent="0.15">
      <c r="A455" s="1" t="s">
        <v>1393</v>
      </c>
      <c r="B455" s="1" t="s">
        <v>928</v>
      </c>
      <c r="D455" s="1" t="s">
        <v>4061</v>
      </c>
      <c r="E455" s="1" t="s">
        <v>4086</v>
      </c>
      <c r="F455" s="3">
        <v>0</v>
      </c>
      <c r="G455" s="24" t="s">
        <v>3098</v>
      </c>
      <c r="I455" s="24" t="s">
        <v>2965</v>
      </c>
      <c r="J455" s="24" t="s">
        <v>2923</v>
      </c>
      <c r="K455" s="3">
        <v>30</v>
      </c>
      <c r="L455" s="3" t="s">
        <v>6745</v>
      </c>
      <c r="M455" s="3" t="str">
        <f>HYPERLINK("http://ictvonline.org/taxonomyHistory.asp?taxnode_id=20150534","ICTVonline=20150534")</f>
        <v>ICTVonline=20150534</v>
      </c>
    </row>
    <row r="456" spans="1:13" x14ac:dyDescent="0.15">
      <c r="A456" s="1" t="s">
        <v>1393</v>
      </c>
      <c r="B456" s="1" t="s">
        <v>928</v>
      </c>
      <c r="D456" s="1" t="s">
        <v>4061</v>
      </c>
      <c r="E456" s="1" t="s">
        <v>4087</v>
      </c>
      <c r="F456" s="3">
        <v>0</v>
      </c>
      <c r="G456" s="24" t="s">
        <v>3099</v>
      </c>
      <c r="I456" s="24" t="s">
        <v>2965</v>
      </c>
      <c r="J456" s="24" t="s">
        <v>2923</v>
      </c>
      <c r="K456" s="3">
        <v>30</v>
      </c>
      <c r="L456" s="3" t="s">
        <v>6745</v>
      </c>
      <c r="M456" s="3" t="str">
        <f>HYPERLINK("http://ictvonline.org/taxonomyHistory.asp?taxnode_id=20150535","ICTVonline=20150535")</f>
        <v>ICTVonline=20150535</v>
      </c>
    </row>
    <row r="457" spans="1:13" x14ac:dyDescent="0.15">
      <c r="A457" s="1" t="s">
        <v>1393</v>
      </c>
      <c r="B457" s="1" t="s">
        <v>928</v>
      </c>
      <c r="D457" s="1" t="s">
        <v>4061</v>
      </c>
      <c r="E457" s="1" t="s">
        <v>4088</v>
      </c>
      <c r="F457" s="3">
        <v>0</v>
      </c>
      <c r="G457" s="24" t="s">
        <v>3100</v>
      </c>
      <c r="I457" s="24" t="s">
        <v>2965</v>
      </c>
      <c r="J457" s="24" t="s">
        <v>2923</v>
      </c>
      <c r="K457" s="3">
        <v>30</v>
      </c>
      <c r="L457" s="3" t="s">
        <v>6745</v>
      </c>
      <c r="M457" s="3" t="str">
        <f>HYPERLINK("http://ictvonline.org/taxonomyHistory.asp?taxnode_id=20150536","ICTVonline=20150536")</f>
        <v>ICTVonline=20150536</v>
      </c>
    </row>
    <row r="458" spans="1:13" x14ac:dyDescent="0.15">
      <c r="A458" s="1" t="s">
        <v>1393</v>
      </c>
      <c r="B458" s="1" t="s">
        <v>928</v>
      </c>
      <c r="D458" s="1" t="s">
        <v>4061</v>
      </c>
      <c r="E458" s="1" t="s">
        <v>4089</v>
      </c>
      <c r="F458" s="3">
        <v>0</v>
      </c>
      <c r="G458" s="24" t="s">
        <v>3101</v>
      </c>
      <c r="I458" s="24" t="s">
        <v>2965</v>
      </c>
      <c r="J458" s="24" t="s">
        <v>2923</v>
      </c>
      <c r="K458" s="3">
        <v>30</v>
      </c>
      <c r="L458" s="3" t="s">
        <v>6745</v>
      </c>
      <c r="M458" s="3" t="str">
        <f>HYPERLINK("http://ictvonline.org/taxonomyHistory.asp?taxnode_id=20150537","ICTVonline=20150537")</f>
        <v>ICTVonline=20150537</v>
      </c>
    </row>
    <row r="459" spans="1:13" x14ac:dyDescent="0.15">
      <c r="A459" s="1" t="s">
        <v>1393</v>
      </c>
      <c r="B459" s="1" t="s">
        <v>928</v>
      </c>
      <c r="D459" s="1" t="s">
        <v>4061</v>
      </c>
      <c r="E459" s="1" t="s">
        <v>4090</v>
      </c>
      <c r="F459" s="3">
        <v>0</v>
      </c>
      <c r="G459" s="24" t="s">
        <v>3102</v>
      </c>
      <c r="I459" s="24" t="s">
        <v>2965</v>
      </c>
      <c r="J459" s="24" t="s">
        <v>2923</v>
      </c>
      <c r="K459" s="3">
        <v>30</v>
      </c>
      <c r="L459" s="3" t="s">
        <v>6745</v>
      </c>
      <c r="M459" s="3" t="str">
        <f>HYPERLINK("http://ictvonline.org/taxonomyHistory.asp?taxnode_id=20150538","ICTVonline=20150538")</f>
        <v>ICTVonline=20150538</v>
      </c>
    </row>
    <row r="460" spans="1:13" x14ac:dyDescent="0.15">
      <c r="A460" s="1" t="s">
        <v>1393</v>
      </c>
      <c r="B460" s="1" t="s">
        <v>928</v>
      </c>
      <c r="D460" s="1" t="s">
        <v>4061</v>
      </c>
      <c r="E460" s="1" t="s">
        <v>4091</v>
      </c>
      <c r="F460" s="3">
        <v>1</v>
      </c>
      <c r="I460" s="24" t="s">
        <v>2965</v>
      </c>
      <c r="J460" s="24" t="s">
        <v>2923</v>
      </c>
      <c r="K460" s="3">
        <v>30</v>
      </c>
      <c r="L460" s="3" t="s">
        <v>6745</v>
      </c>
      <c r="M460" s="3" t="str">
        <f>HYPERLINK("http://ictvonline.org/taxonomyHistory.asp?taxnode_id=20150539","ICTVonline=20150539")</f>
        <v>ICTVonline=20150539</v>
      </c>
    </row>
    <row r="461" spans="1:13" x14ac:dyDescent="0.15">
      <c r="A461" s="1" t="s">
        <v>1393</v>
      </c>
      <c r="B461" s="1" t="s">
        <v>928</v>
      </c>
      <c r="D461" s="1" t="s">
        <v>4061</v>
      </c>
      <c r="E461" s="1" t="s">
        <v>4092</v>
      </c>
      <c r="F461" s="3">
        <v>0</v>
      </c>
      <c r="G461" s="24" t="s">
        <v>3103</v>
      </c>
      <c r="I461" s="24" t="s">
        <v>2965</v>
      </c>
      <c r="J461" s="24" t="s">
        <v>2923</v>
      </c>
      <c r="K461" s="3">
        <v>30</v>
      </c>
      <c r="L461" s="3" t="s">
        <v>6745</v>
      </c>
      <c r="M461" s="3" t="str">
        <f>HYPERLINK("http://ictvonline.org/taxonomyHistory.asp?taxnode_id=20150540","ICTVonline=20150540")</f>
        <v>ICTVonline=20150540</v>
      </c>
    </row>
    <row r="462" spans="1:13" x14ac:dyDescent="0.15">
      <c r="A462" s="1" t="s">
        <v>1393</v>
      </c>
      <c r="B462" s="1" t="s">
        <v>928</v>
      </c>
      <c r="D462" s="1" t="s">
        <v>4061</v>
      </c>
      <c r="E462" s="1" t="s">
        <v>4093</v>
      </c>
      <c r="F462" s="3">
        <v>0</v>
      </c>
      <c r="G462" s="24" t="s">
        <v>3104</v>
      </c>
      <c r="I462" s="24" t="s">
        <v>2965</v>
      </c>
      <c r="J462" s="24" t="s">
        <v>2923</v>
      </c>
      <c r="K462" s="3">
        <v>30</v>
      </c>
      <c r="L462" s="3" t="s">
        <v>6745</v>
      </c>
      <c r="M462" s="3" t="str">
        <f>HYPERLINK("http://ictvonline.org/taxonomyHistory.asp?taxnode_id=20150541","ICTVonline=20150541")</f>
        <v>ICTVonline=20150541</v>
      </c>
    </row>
    <row r="463" spans="1:13" x14ac:dyDescent="0.15">
      <c r="A463" s="1" t="s">
        <v>1393</v>
      </c>
      <c r="B463" s="1" t="s">
        <v>928</v>
      </c>
      <c r="D463" s="1" t="s">
        <v>4061</v>
      </c>
      <c r="E463" s="1" t="s">
        <v>4094</v>
      </c>
      <c r="F463" s="3">
        <v>0</v>
      </c>
      <c r="G463" s="24" t="s">
        <v>3105</v>
      </c>
      <c r="I463" s="24" t="s">
        <v>2965</v>
      </c>
      <c r="J463" s="24" t="s">
        <v>2923</v>
      </c>
      <c r="K463" s="3">
        <v>30</v>
      </c>
      <c r="L463" s="3" t="s">
        <v>6745</v>
      </c>
      <c r="M463" s="3" t="str">
        <f>HYPERLINK("http://ictvonline.org/taxonomyHistory.asp?taxnode_id=20150542","ICTVonline=20150542")</f>
        <v>ICTVonline=20150542</v>
      </c>
    </row>
    <row r="464" spans="1:13" x14ac:dyDescent="0.15">
      <c r="A464" s="1" t="s">
        <v>1393</v>
      </c>
      <c r="B464" s="1" t="s">
        <v>928</v>
      </c>
      <c r="D464" s="1" t="s">
        <v>4061</v>
      </c>
      <c r="E464" s="1" t="s">
        <v>4095</v>
      </c>
      <c r="F464" s="3">
        <v>0</v>
      </c>
      <c r="G464" s="24" t="s">
        <v>3106</v>
      </c>
      <c r="I464" s="24" t="s">
        <v>2965</v>
      </c>
      <c r="J464" s="24" t="s">
        <v>2923</v>
      </c>
      <c r="K464" s="3">
        <v>30</v>
      </c>
      <c r="L464" s="3" t="s">
        <v>6745</v>
      </c>
      <c r="M464" s="3" t="str">
        <f>HYPERLINK("http://ictvonline.org/taxonomyHistory.asp?taxnode_id=20150543","ICTVonline=20150543")</f>
        <v>ICTVonline=20150543</v>
      </c>
    </row>
    <row r="465" spans="1:13" x14ac:dyDescent="0.15">
      <c r="A465" s="1" t="s">
        <v>1393</v>
      </c>
      <c r="B465" s="1" t="s">
        <v>928</v>
      </c>
      <c r="D465" s="1" t="s">
        <v>4061</v>
      </c>
      <c r="E465" s="1" t="s">
        <v>4096</v>
      </c>
      <c r="F465" s="3">
        <v>0</v>
      </c>
      <c r="G465" s="24" t="s">
        <v>3107</v>
      </c>
      <c r="I465" s="24" t="s">
        <v>2965</v>
      </c>
      <c r="J465" s="24" t="s">
        <v>2923</v>
      </c>
      <c r="K465" s="3">
        <v>30</v>
      </c>
      <c r="L465" s="3" t="s">
        <v>6745</v>
      </c>
      <c r="M465" s="3" t="str">
        <f>HYPERLINK("http://ictvonline.org/taxonomyHistory.asp?taxnode_id=20150544","ICTVonline=20150544")</f>
        <v>ICTVonline=20150544</v>
      </c>
    </row>
    <row r="466" spans="1:13" x14ac:dyDescent="0.15">
      <c r="A466" s="1" t="s">
        <v>1393</v>
      </c>
      <c r="B466" s="1" t="s">
        <v>928</v>
      </c>
      <c r="D466" s="1" t="s">
        <v>4061</v>
      </c>
      <c r="E466" s="1" t="s">
        <v>4097</v>
      </c>
      <c r="F466" s="3">
        <v>0</v>
      </c>
      <c r="G466" s="24" t="s">
        <v>3108</v>
      </c>
      <c r="I466" s="24" t="s">
        <v>2965</v>
      </c>
      <c r="J466" s="24" t="s">
        <v>2923</v>
      </c>
      <c r="K466" s="3">
        <v>30</v>
      </c>
      <c r="L466" s="3" t="s">
        <v>6745</v>
      </c>
      <c r="M466" s="3" t="str">
        <f>HYPERLINK("http://ictvonline.org/taxonomyHistory.asp?taxnode_id=20150545","ICTVonline=20150545")</f>
        <v>ICTVonline=20150545</v>
      </c>
    </row>
    <row r="467" spans="1:13" x14ac:dyDescent="0.15">
      <c r="A467" s="1" t="s">
        <v>1393</v>
      </c>
      <c r="B467" s="1" t="s">
        <v>928</v>
      </c>
      <c r="D467" s="1" t="s">
        <v>4061</v>
      </c>
      <c r="E467" s="1" t="s">
        <v>4098</v>
      </c>
      <c r="F467" s="3">
        <v>0</v>
      </c>
      <c r="G467" s="24" t="s">
        <v>3109</v>
      </c>
      <c r="I467" s="24" t="s">
        <v>2965</v>
      </c>
      <c r="J467" s="24" t="s">
        <v>2923</v>
      </c>
      <c r="K467" s="3">
        <v>30</v>
      </c>
      <c r="L467" s="3" t="s">
        <v>6745</v>
      </c>
      <c r="M467" s="3" t="str">
        <f>HYPERLINK("http://ictvonline.org/taxonomyHistory.asp?taxnode_id=20150546","ICTVonline=20150546")</f>
        <v>ICTVonline=20150546</v>
      </c>
    </row>
    <row r="468" spans="1:13" x14ac:dyDescent="0.15">
      <c r="A468" s="1" t="s">
        <v>1393</v>
      </c>
      <c r="B468" s="1" t="s">
        <v>928</v>
      </c>
      <c r="D468" s="1" t="s">
        <v>4061</v>
      </c>
      <c r="E468" s="1" t="s">
        <v>4099</v>
      </c>
      <c r="F468" s="3">
        <v>0</v>
      </c>
      <c r="G468" s="24" t="s">
        <v>3110</v>
      </c>
      <c r="I468" s="24" t="s">
        <v>2965</v>
      </c>
      <c r="J468" s="24" t="s">
        <v>2923</v>
      </c>
      <c r="K468" s="3">
        <v>30</v>
      </c>
      <c r="L468" s="3" t="s">
        <v>6745</v>
      </c>
      <c r="M468" s="3" t="str">
        <f>HYPERLINK("http://ictvonline.org/taxonomyHistory.asp?taxnode_id=20150547","ICTVonline=20150547")</f>
        <v>ICTVonline=20150547</v>
      </c>
    </row>
    <row r="469" spans="1:13" x14ac:dyDescent="0.15">
      <c r="A469" s="1" t="s">
        <v>1393</v>
      </c>
      <c r="B469" s="1" t="s">
        <v>928</v>
      </c>
      <c r="D469" s="1" t="s">
        <v>4061</v>
      </c>
      <c r="E469" s="1" t="s">
        <v>4100</v>
      </c>
      <c r="F469" s="3">
        <v>0</v>
      </c>
      <c r="G469" s="24" t="s">
        <v>3111</v>
      </c>
      <c r="I469" s="24" t="s">
        <v>2965</v>
      </c>
      <c r="J469" s="24" t="s">
        <v>2923</v>
      </c>
      <c r="K469" s="3">
        <v>30</v>
      </c>
      <c r="L469" s="3" t="s">
        <v>6745</v>
      </c>
      <c r="M469" s="3" t="str">
        <f>HYPERLINK("http://ictvonline.org/taxonomyHistory.asp?taxnode_id=20150548","ICTVonline=20150548")</f>
        <v>ICTVonline=20150548</v>
      </c>
    </row>
    <row r="470" spans="1:13" x14ac:dyDescent="0.15">
      <c r="A470" s="1" t="s">
        <v>1393</v>
      </c>
      <c r="B470" s="1" t="s">
        <v>928</v>
      </c>
      <c r="D470" s="1" t="s">
        <v>4061</v>
      </c>
      <c r="E470" s="1" t="s">
        <v>4101</v>
      </c>
      <c r="F470" s="3">
        <v>0</v>
      </c>
      <c r="G470" s="24" t="s">
        <v>3112</v>
      </c>
      <c r="I470" s="24" t="s">
        <v>2965</v>
      </c>
      <c r="J470" s="24" t="s">
        <v>2923</v>
      </c>
      <c r="K470" s="3">
        <v>30</v>
      </c>
      <c r="L470" s="3" t="s">
        <v>6745</v>
      </c>
      <c r="M470" s="3" t="str">
        <f>HYPERLINK("http://ictvonline.org/taxonomyHistory.asp?taxnode_id=20150549","ICTVonline=20150549")</f>
        <v>ICTVonline=20150549</v>
      </c>
    </row>
    <row r="471" spans="1:13" x14ac:dyDescent="0.15">
      <c r="A471" s="1" t="s">
        <v>1393</v>
      </c>
      <c r="B471" s="1" t="s">
        <v>928</v>
      </c>
      <c r="D471" s="1" t="s">
        <v>4061</v>
      </c>
      <c r="E471" s="1" t="s">
        <v>4102</v>
      </c>
      <c r="F471" s="3">
        <v>0</v>
      </c>
      <c r="G471" s="24" t="s">
        <v>3113</v>
      </c>
      <c r="I471" s="24" t="s">
        <v>2965</v>
      </c>
      <c r="J471" s="24" t="s">
        <v>2923</v>
      </c>
      <c r="K471" s="3">
        <v>30</v>
      </c>
      <c r="L471" s="3" t="s">
        <v>6745</v>
      </c>
      <c r="M471" s="3" t="str">
        <f>HYPERLINK("http://ictvonline.org/taxonomyHistory.asp?taxnode_id=20150550","ICTVonline=20150550")</f>
        <v>ICTVonline=20150550</v>
      </c>
    </row>
    <row r="472" spans="1:13" x14ac:dyDescent="0.15">
      <c r="A472" s="1" t="s">
        <v>1393</v>
      </c>
      <c r="B472" s="1" t="s">
        <v>928</v>
      </c>
      <c r="D472" s="1" t="s">
        <v>4061</v>
      </c>
      <c r="E472" s="1" t="s">
        <v>4103</v>
      </c>
      <c r="F472" s="3">
        <v>0</v>
      </c>
      <c r="G472" s="24" t="s">
        <v>3114</v>
      </c>
      <c r="I472" s="24" t="s">
        <v>2965</v>
      </c>
      <c r="J472" s="24" t="s">
        <v>2923</v>
      </c>
      <c r="K472" s="3">
        <v>30</v>
      </c>
      <c r="L472" s="3" t="s">
        <v>6745</v>
      </c>
      <c r="M472" s="3" t="str">
        <f>HYPERLINK("http://ictvonline.org/taxonomyHistory.asp?taxnode_id=20150551","ICTVonline=20150551")</f>
        <v>ICTVonline=20150551</v>
      </c>
    </row>
    <row r="473" spans="1:13" x14ac:dyDescent="0.15">
      <c r="A473" s="1" t="s">
        <v>1393</v>
      </c>
      <c r="B473" s="1" t="s">
        <v>928</v>
      </c>
      <c r="D473" s="1" t="s">
        <v>4061</v>
      </c>
      <c r="E473" s="1" t="s">
        <v>4104</v>
      </c>
      <c r="F473" s="3">
        <v>0</v>
      </c>
      <c r="G473" s="24" t="s">
        <v>3115</v>
      </c>
      <c r="I473" s="24" t="s">
        <v>2965</v>
      </c>
      <c r="J473" s="24" t="s">
        <v>2923</v>
      </c>
      <c r="K473" s="3">
        <v>30</v>
      </c>
      <c r="L473" s="3" t="s">
        <v>6745</v>
      </c>
      <c r="M473" s="3" t="str">
        <f>HYPERLINK("http://ictvonline.org/taxonomyHistory.asp?taxnode_id=20150552","ICTVonline=20150552")</f>
        <v>ICTVonline=20150552</v>
      </c>
    </row>
    <row r="474" spans="1:13" x14ac:dyDescent="0.15">
      <c r="A474" s="1" t="s">
        <v>1393</v>
      </c>
      <c r="B474" s="1" t="s">
        <v>928</v>
      </c>
      <c r="D474" s="1" t="s">
        <v>4061</v>
      </c>
      <c r="E474" s="1" t="s">
        <v>4105</v>
      </c>
      <c r="F474" s="3">
        <v>0</v>
      </c>
      <c r="G474" s="24" t="s">
        <v>3116</v>
      </c>
      <c r="I474" s="24" t="s">
        <v>2965</v>
      </c>
      <c r="J474" s="24" t="s">
        <v>2923</v>
      </c>
      <c r="K474" s="3">
        <v>30</v>
      </c>
      <c r="L474" s="3" t="s">
        <v>6745</v>
      </c>
      <c r="M474" s="3" t="str">
        <f>HYPERLINK("http://ictvonline.org/taxonomyHistory.asp?taxnode_id=20150553","ICTVonline=20150553")</f>
        <v>ICTVonline=20150553</v>
      </c>
    </row>
    <row r="475" spans="1:13" x14ac:dyDescent="0.15">
      <c r="A475" s="1" t="s">
        <v>1393</v>
      </c>
      <c r="B475" s="1" t="s">
        <v>928</v>
      </c>
      <c r="D475" s="1" t="s">
        <v>4061</v>
      </c>
      <c r="E475" s="1" t="s">
        <v>4106</v>
      </c>
      <c r="F475" s="3">
        <v>0</v>
      </c>
      <c r="G475" s="24" t="s">
        <v>3117</v>
      </c>
      <c r="I475" s="24" t="s">
        <v>2965</v>
      </c>
      <c r="J475" s="24" t="s">
        <v>2923</v>
      </c>
      <c r="K475" s="3">
        <v>30</v>
      </c>
      <c r="L475" s="3" t="s">
        <v>6745</v>
      </c>
      <c r="M475" s="3" t="str">
        <f>HYPERLINK("http://ictvonline.org/taxonomyHistory.asp?taxnode_id=20150554","ICTVonline=20150554")</f>
        <v>ICTVonline=20150554</v>
      </c>
    </row>
    <row r="476" spans="1:13" x14ac:dyDescent="0.15">
      <c r="A476" s="1" t="s">
        <v>1393</v>
      </c>
      <c r="B476" s="1" t="s">
        <v>928</v>
      </c>
      <c r="D476" s="1" t="s">
        <v>4061</v>
      </c>
      <c r="E476" s="1" t="s">
        <v>4107</v>
      </c>
      <c r="F476" s="3">
        <v>0</v>
      </c>
      <c r="G476" s="24" t="s">
        <v>3118</v>
      </c>
      <c r="I476" s="24" t="s">
        <v>2965</v>
      </c>
      <c r="J476" s="24" t="s">
        <v>2923</v>
      </c>
      <c r="K476" s="3">
        <v>30</v>
      </c>
      <c r="L476" s="3" t="s">
        <v>6745</v>
      </c>
      <c r="M476" s="3" t="str">
        <f>HYPERLINK("http://ictvonline.org/taxonomyHistory.asp?taxnode_id=20150555","ICTVonline=20150555")</f>
        <v>ICTVonline=20150555</v>
      </c>
    </row>
    <row r="477" spans="1:13" x14ac:dyDescent="0.15">
      <c r="A477" s="1" t="s">
        <v>1393</v>
      </c>
      <c r="B477" s="1" t="s">
        <v>928</v>
      </c>
      <c r="D477" s="1" t="s">
        <v>4061</v>
      </c>
      <c r="E477" s="1" t="s">
        <v>4108</v>
      </c>
      <c r="F477" s="3">
        <v>0</v>
      </c>
      <c r="G477" s="24" t="s">
        <v>3119</v>
      </c>
      <c r="I477" s="24" t="s">
        <v>2965</v>
      </c>
      <c r="J477" s="24" t="s">
        <v>2923</v>
      </c>
      <c r="K477" s="3">
        <v>30</v>
      </c>
      <c r="L477" s="3" t="s">
        <v>6745</v>
      </c>
      <c r="M477" s="3" t="str">
        <f>HYPERLINK("http://ictvonline.org/taxonomyHistory.asp?taxnode_id=20150556","ICTVonline=20150556")</f>
        <v>ICTVonline=20150556</v>
      </c>
    </row>
    <row r="478" spans="1:13" x14ac:dyDescent="0.15">
      <c r="A478" s="1" t="s">
        <v>1393</v>
      </c>
      <c r="B478" s="1" t="s">
        <v>928</v>
      </c>
      <c r="D478" s="1" t="s">
        <v>4061</v>
      </c>
      <c r="E478" s="1" t="s">
        <v>4109</v>
      </c>
      <c r="F478" s="3">
        <v>0</v>
      </c>
      <c r="G478" s="24" t="s">
        <v>3120</v>
      </c>
      <c r="I478" s="24" t="s">
        <v>2965</v>
      </c>
      <c r="J478" s="24" t="s">
        <v>2923</v>
      </c>
      <c r="K478" s="3">
        <v>30</v>
      </c>
      <c r="L478" s="3" t="s">
        <v>6745</v>
      </c>
      <c r="M478" s="3" t="str">
        <f>HYPERLINK("http://ictvonline.org/taxonomyHistory.asp?taxnode_id=20150557","ICTVonline=20150557")</f>
        <v>ICTVonline=20150557</v>
      </c>
    </row>
    <row r="479" spans="1:13" x14ac:dyDescent="0.15">
      <c r="A479" s="1" t="s">
        <v>1393</v>
      </c>
      <c r="B479" s="1" t="s">
        <v>928</v>
      </c>
      <c r="D479" s="1" t="s">
        <v>4061</v>
      </c>
      <c r="E479" s="1" t="s">
        <v>4110</v>
      </c>
      <c r="F479" s="3">
        <v>0</v>
      </c>
      <c r="G479" s="24" t="s">
        <v>3121</v>
      </c>
      <c r="I479" s="24" t="s">
        <v>2965</v>
      </c>
      <c r="J479" s="24" t="s">
        <v>2923</v>
      </c>
      <c r="K479" s="3">
        <v>30</v>
      </c>
      <c r="L479" s="3" t="s">
        <v>6745</v>
      </c>
      <c r="M479" s="3" t="str">
        <f>HYPERLINK("http://ictvonline.org/taxonomyHistory.asp?taxnode_id=20150558","ICTVonline=20150558")</f>
        <v>ICTVonline=20150558</v>
      </c>
    </row>
    <row r="480" spans="1:13" x14ac:dyDescent="0.15">
      <c r="A480" s="1" t="s">
        <v>1393</v>
      </c>
      <c r="B480" s="1" t="s">
        <v>928</v>
      </c>
      <c r="D480" s="1" t="s">
        <v>4061</v>
      </c>
      <c r="E480" s="1" t="s">
        <v>4111</v>
      </c>
      <c r="F480" s="3">
        <v>0</v>
      </c>
      <c r="G480" s="24" t="s">
        <v>3122</v>
      </c>
      <c r="I480" s="24" t="s">
        <v>2965</v>
      </c>
      <c r="J480" s="24" t="s">
        <v>2923</v>
      </c>
      <c r="K480" s="3">
        <v>30</v>
      </c>
      <c r="L480" s="3" t="s">
        <v>6745</v>
      </c>
      <c r="M480" s="3" t="str">
        <f>HYPERLINK("http://ictvonline.org/taxonomyHistory.asp?taxnode_id=20150559","ICTVonline=20150559")</f>
        <v>ICTVonline=20150559</v>
      </c>
    </row>
    <row r="481" spans="1:13" x14ac:dyDescent="0.15">
      <c r="A481" s="1" t="s">
        <v>1393</v>
      </c>
      <c r="B481" s="1" t="s">
        <v>928</v>
      </c>
      <c r="D481" s="1" t="s">
        <v>4061</v>
      </c>
      <c r="E481" s="1" t="s">
        <v>4112</v>
      </c>
      <c r="F481" s="3">
        <v>0</v>
      </c>
      <c r="G481" s="24" t="s">
        <v>3123</v>
      </c>
      <c r="I481" s="24" t="s">
        <v>2965</v>
      </c>
      <c r="J481" s="24" t="s">
        <v>2923</v>
      </c>
      <c r="K481" s="3">
        <v>30</v>
      </c>
      <c r="L481" s="3" t="s">
        <v>6745</v>
      </c>
      <c r="M481" s="3" t="str">
        <f>HYPERLINK("http://ictvonline.org/taxonomyHistory.asp?taxnode_id=20150560","ICTVonline=20150560")</f>
        <v>ICTVonline=20150560</v>
      </c>
    </row>
    <row r="482" spans="1:13" x14ac:dyDescent="0.15">
      <c r="A482" s="1" t="s">
        <v>1393</v>
      </c>
      <c r="B482" s="1" t="s">
        <v>928</v>
      </c>
      <c r="D482" s="1" t="s">
        <v>4061</v>
      </c>
      <c r="E482" s="1" t="s">
        <v>4113</v>
      </c>
      <c r="F482" s="3">
        <v>0</v>
      </c>
      <c r="G482" s="24" t="s">
        <v>3124</v>
      </c>
      <c r="I482" s="24" t="s">
        <v>2965</v>
      </c>
      <c r="J482" s="24" t="s">
        <v>2923</v>
      </c>
      <c r="K482" s="3">
        <v>30</v>
      </c>
      <c r="L482" s="3" t="s">
        <v>6745</v>
      </c>
      <c r="M482" s="3" t="str">
        <f>HYPERLINK("http://ictvonline.org/taxonomyHistory.asp?taxnode_id=20150561","ICTVonline=20150561")</f>
        <v>ICTVonline=20150561</v>
      </c>
    </row>
    <row r="483" spans="1:13" x14ac:dyDescent="0.15">
      <c r="A483" s="1" t="s">
        <v>1393</v>
      </c>
      <c r="B483" s="1" t="s">
        <v>928</v>
      </c>
      <c r="D483" s="1" t="s">
        <v>4061</v>
      </c>
      <c r="E483" s="1" t="s">
        <v>4114</v>
      </c>
      <c r="F483" s="3">
        <v>0</v>
      </c>
      <c r="G483" s="24" t="s">
        <v>3125</v>
      </c>
      <c r="I483" s="24" t="s">
        <v>2965</v>
      </c>
      <c r="J483" s="24" t="s">
        <v>2923</v>
      </c>
      <c r="K483" s="3">
        <v>30</v>
      </c>
      <c r="L483" s="3" t="s">
        <v>6745</v>
      </c>
      <c r="M483" s="3" t="str">
        <f>HYPERLINK("http://ictvonline.org/taxonomyHistory.asp?taxnode_id=20150562","ICTVonline=20150562")</f>
        <v>ICTVonline=20150562</v>
      </c>
    </row>
    <row r="484" spans="1:13" x14ac:dyDescent="0.15">
      <c r="A484" s="1" t="s">
        <v>1393</v>
      </c>
      <c r="B484" s="1" t="s">
        <v>928</v>
      </c>
      <c r="D484" s="1" t="s">
        <v>4061</v>
      </c>
      <c r="E484" s="1" t="s">
        <v>4115</v>
      </c>
      <c r="F484" s="3">
        <v>0</v>
      </c>
      <c r="G484" s="24" t="s">
        <v>3126</v>
      </c>
      <c r="I484" s="24" t="s">
        <v>2965</v>
      </c>
      <c r="J484" s="24" t="s">
        <v>2923</v>
      </c>
      <c r="K484" s="3">
        <v>30</v>
      </c>
      <c r="L484" s="3" t="s">
        <v>6745</v>
      </c>
      <c r="M484" s="3" t="str">
        <f>HYPERLINK("http://ictvonline.org/taxonomyHistory.asp?taxnode_id=20150563","ICTVonline=20150563")</f>
        <v>ICTVonline=20150563</v>
      </c>
    </row>
    <row r="485" spans="1:13" x14ac:dyDescent="0.15">
      <c r="A485" s="1" t="s">
        <v>1393</v>
      </c>
      <c r="B485" s="1" t="s">
        <v>928</v>
      </c>
      <c r="D485" s="1" t="s">
        <v>4061</v>
      </c>
      <c r="E485" s="1" t="s">
        <v>4116</v>
      </c>
      <c r="F485" s="3">
        <v>0</v>
      </c>
      <c r="G485" s="24" t="s">
        <v>3127</v>
      </c>
      <c r="I485" s="24" t="s">
        <v>2965</v>
      </c>
      <c r="J485" s="24" t="s">
        <v>2923</v>
      </c>
      <c r="K485" s="3">
        <v>30</v>
      </c>
      <c r="L485" s="3" t="s">
        <v>6745</v>
      </c>
      <c r="M485" s="3" t="str">
        <f>HYPERLINK("http://ictvonline.org/taxonomyHistory.asp?taxnode_id=20150564","ICTVonline=20150564")</f>
        <v>ICTVonline=20150564</v>
      </c>
    </row>
    <row r="486" spans="1:13" x14ac:dyDescent="0.15">
      <c r="A486" s="1" t="s">
        <v>1393</v>
      </c>
      <c r="B486" s="1" t="s">
        <v>928</v>
      </c>
      <c r="D486" s="1" t="s">
        <v>4061</v>
      </c>
      <c r="E486" s="1" t="s">
        <v>4117</v>
      </c>
      <c r="F486" s="3">
        <v>0</v>
      </c>
      <c r="G486" s="24" t="s">
        <v>3128</v>
      </c>
      <c r="I486" s="24" t="s">
        <v>2965</v>
      </c>
      <c r="J486" s="24" t="s">
        <v>2923</v>
      </c>
      <c r="K486" s="3">
        <v>30</v>
      </c>
      <c r="L486" s="3" t="s">
        <v>6745</v>
      </c>
      <c r="M486" s="3" t="str">
        <f>HYPERLINK("http://ictvonline.org/taxonomyHistory.asp?taxnode_id=20150565","ICTVonline=20150565")</f>
        <v>ICTVonline=20150565</v>
      </c>
    </row>
    <row r="487" spans="1:13" x14ac:dyDescent="0.15">
      <c r="A487" s="1" t="s">
        <v>1393</v>
      </c>
      <c r="B487" s="1" t="s">
        <v>928</v>
      </c>
      <c r="D487" s="1" t="s">
        <v>4061</v>
      </c>
      <c r="E487" s="1" t="s">
        <v>4118</v>
      </c>
      <c r="F487" s="3">
        <v>0</v>
      </c>
      <c r="G487" s="24" t="s">
        <v>3129</v>
      </c>
      <c r="I487" s="24" t="s">
        <v>2965</v>
      </c>
      <c r="J487" s="24" t="s">
        <v>2923</v>
      </c>
      <c r="K487" s="3">
        <v>30</v>
      </c>
      <c r="L487" s="3" t="s">
        <v>6745</v>
      </c>
      <c r="M487" s="3" t="str">
        <f>HYPERLINK("http://ictvonline.org/taxonomyHistory.asp?taxnode_id=20150566","ICTVonline=20150566")</f>
        <v>ICTVonline=20150566</v>
      </c>
    </row>
    <row r="488" spans="1:13" x14ac:dyDescent="0.15">
      <c r="A488" s="1" t="s">
        <v>1393</v>
      </c>
      <c r="B488" s="1" t="s">
        <v>928</v>
      </c>
      <c r="D488" s="1" t="s">
        <v>4061</v>
      </c>
      <c r="E488" s="1" t="s">
        <v>4119</v>
      </c>
      <c r="F488" s="3">
        <v>0</v>
      </c>
      <c r="G488" s="24" t="s">
        <v>3130</v>
      </c>
      <c r="I488" s="24" t="s">
        <v>2965</v>
      </c>
      <c r="J488" s="24" t="s">
        <v>2923</v>
      </c>
      <c r="K488" s="3">
        <v>30</v>
      </c>
      <c r="L488" s="3" t="s">
        <v>6745</v>
      </c>
      <c r="M488" s="3" t="str">
        <f>HYPERLINK("http://ictvonline.org/taxonomyHistory.asp?taxnode_id=20150567","ICTVonline=20150567")</f>
        <v>ICTVonline=20150567</v>
      </c>
    </row>
    <row r="489" spans="1:13" x14ac:dyDescent="0.15">
      <c r="A489" s="1" t="s">
        <v>1393</v>
      </c>
      <c r="B489" s="1" t="s">
        <v>928</v>
      </c>
      <c r="D489" s="1" t="s">
        <v>4061</v>
      </c>
      <c r="E489" s="1" t="s">
        <v>4120</v>
      </c>
      <c r="F489" s="3">
        <v>0</v>
      </c>
      <c r="G489" s="24" t="s">
        <v>3131</v>
      </c>
      <c r="I489" s="24" t="s">
        <v>2965</v>
      </c>
      <c r="J489" s="24" t="s">
        <v>2923</v>
      </c>
      <c r="K489" s="3">
        <v>30</v>
      </c>
      <c r="L489" s="3" t="s">
        <v>6745</v>
      </c>
      <c r="M489" s="3" t="str">
        <f>HYPERLINK("http://ictvonline.org/taxonomyHistory.asp?taxnode_id=20150568","ICTVonline=20150568")</f>
        <v>ICTVonline=20150568</v>
      </c>
    </row>
    <row r="490" spans="1:13" x14ac:dyDescent="0.15">
      <c r="A490" s="1" t="s">
        <v>1393</v>
      </c>
      <c r="B490" s="1" t="s">
        <v>928</v>
      </c>
      <c r="D490" s="1" t="s">
        <v>4061</v>
      </c>
      <c r="E490" s="1" t="s">
        <v>4121</v>
      </c>
      <c r="F490" s="3">
        <v>0</v>
      </c>
      <c r="G490" s="24" t="s">
        <v>3132</v>
      </c>
      <c r="I490" s="24" t="s">
        <v>2965</v>
      </c>
      <c r="J490" s="24" t="s">
        <v>2923</v>
      </c>
      <c r="K490" s="3">
        <v>30</v>
      </c>
      <c r="L490" s="3" t="s">
        <v>6745</v>
      </c>
      <c r="M490" s="3" t="str">
        <f>HYPERLINK("http://ictvonline.org/taxonomyHistory.asp?taxnode_id=20150569","ICTVonline=20150569")</f>
        <v>ICTVonline=20150569</v>
      </c>
    </row>
    <row r="491" spans="1:13" x14ac:dyDescent="0.15">
      <c r="A491" s="1" t="s">
        <v>1393</v>
      </c>
      <c r="B491" s="1" t="s">
        <v>928</v>
      </c>
      <c r="D491" s="1" t="s">
        <v>4061</v>
      </c>
      <c r="E491" s="1" t="s">
        <v>4122</v>
      </c>
      <c r="F491" s="3">
        <v>0</v>
      </c>
      <c r="G491" s="24" t="s">
        <v>3133</v>
      </c>
      <c r="I491" s="24" t="s">
        <v>2965</v>
      </c>
      <c r="J491" s="24" t="s">
        <v>2923</v>
      </c>
      <c r="K491" s="3">
        <v>30</v>
      </c>
      <c r="L491" s="3" t="s">
        <v>6745</v>
      </c>
      <c r="M491" s="3" t="str">
        <f>HYPERLINK("http://ictvonline.org/taxonomyHistory.asp?taxnode_id=20150570","ICTVonline=20150570")</f>
        <v>ICTVonline=20150570</v>
      </c>
    </row>
    <row r="492" spans="1:13" x14ac:dyDescent="0.15">
      <c r="A492" s="1" t="s">
        <v>1393</v>
      </c>
      <c r="B492" s="1" t="s">
        <v>928</v>
      </c>
      <c r="D492" s="1" t="s">
        <v>4061</v>
      </c>
      <c r="E492" s="1" t="s">
        <v>4123</v>
      </c>
      <c r="F492" s="3">
        <v>0</v>
      </c>
      <c r="G492" s="24" t="s">
        <v>3134</v>
      </c>
      <c r="I492" s="24" t="s">
        <v>2965</v>
      </c>
      <c r="J492" s="24" t="s">
        <v>2923</v>
      </c>
      <c r="K492" s="3">
        <v>30</v>
      </c>
      <c r="L492" s="3" t="s">
        <v>6745</v>
      </c>
      <c r="M492" s="3" t="str">
        <f>HYPERLINK("http://ictvonline.org/taxonomyHistory.asp?taxnode_id=20150571","ICTVonline=20150571")</f>
        <v>ICTVonline=20150571</v>
      </c>
    </row>
    <row r="493" spans="1:13" x14ac:dyDescent="0.15">
      <c r="A493" s="1" t="s">
        <v>1393</v>
      </c>
      <c r="B493" s="1" t="s">
        <v>928</v>
      </c>
      <c r="D493" s="1" t="s">
        <v>4124</v>
      </c>
      <c r="E493" s="1" t="s">
        <v>4125</v>
      </c>
      <c r="F493" s="3">
        <v>0</v>
      </c>
      <c r="I493" s="24" t="s">
        <v>2965</v>
      </c>
      <c r="J493" s="24" t="s">
        <v>2923</v>
      </c>
      <c r="K493" s="3">
        <v>30</v>
      </c>
      <c r="L493" s="3" t="s">
        <v>6745</v>
      </c>
      <c r="M493" s="3" t="str">
        <f>HYPERLINK("http://ictvonline.org/taxonomyHistory.asp?taxnode_id=20150573","ICTVonline=20150573")</f>
        <v>ICTVonline=20150573</v>
      </c>
    </row>
    <row r="494" spans="1:13" x14ac:dyDescent="0.15">
      <c r="A494" s="1" t="s">
        <v>1393</v>
      </c>
      <c r="B494" s="1" t="s">
        <v>928</v>
      </c>
      <c r="D494" s="1" t="s">
        <v>4124</v>
      </c>
      <c r="E494" s="1" t="s">
        <v>4126</v>
      </c>
      <c r="F494" s="3">
        <v>0</v>
      </c>
      <c r="I494" s="24" t="s">
        <v>2965</v>
      </c>
      <c r="J494" s="24" t="s">
        <v>2923</v>
      </c>
      <c r="K494" s="3">
        <v>30</v>
      </c>
      <c r="L494" s="3" t="s">
        <v>6745</v>
      </c>
      <c r="M494" s="3" t="str">
        <f>HYPERLINK("http://ictvonline.org/taxonomyHistory.asp?taxnode_id=20150574","ICTVonline=20150574")</f>
        <v>ICTVonline=20150574</v>
      </c>
    </row>
    <row r="495" spans="1:13" x14ac:dyDescent="0.15">
      <c r="A495" s="1" t="s">
        <v>1393</v>
      </c>
      <c r="B495" s="1" t="s">
        <v>928</v>
      </c>
      <c r="D495" s="1" t="s">
        <v>4124</v>
      </c>
      <c r="E495" s="1" t="s">
        <v>4127</v>
      </c>
      <c r="F495" s="3">
        <v>1</v>
      </c>
      <c r="I495" s="24" t="s">
        <v>2965</v>
      </c>
      <c r="J495" s="24" t="s">
        <v>2923</v>
      </c>
      <c r="K495" s="3">
        <v>30</v>
      </c>
      <c r="L495" s="3" t="s">
        <v>6745</v>
      </c>
      <c r="M495" s="3" t="str">
        <f>HYPERLINK("http://ictvonline.org/taxonomyHistory.asp?taxnode_id=20150575","ICTVonline=20150575")</f>
        <v>ICTVonline=20150575</v>
      </c>
    </row>
    <row r="496" spans="1:13" x14ac:dyDescent="0.15">
      <c r="A496" s="1" t="s">
        <v>1393</v>
      </c>
      <c r="B496" s="1" t="s">
        <v>928</v>
      </c>
      <c r="D496" s="1" t="s">
        <v>4128</v>
      </c>
      <c r="E496" s="1" t="s">
        <v>4129</v>
      </c>
      <c r="F496" s="3">
        <v>1</v>
      </c>
      <c r="G496" s="24" t="s">
        <v>3060</v>
      </c>
      <c r="I496" s="24" t="s">
        <v>2965</v>
      </c>
      <c r="J496" s="24" t="s">
        <v>2923</v>
      </c>
      <c r="K496" s="3">
        <v>30</v>
      </c>
      <c r="L496" s="3" t="s">
        <v>6745</v>
      </c>
      <c r="M496" s="3" t="str">
        <f>HYPERLINK("http://ictvonline.org/taxonomyHistory.asp?taxnode_id=20150491","ICTVonline=20150491")</f>
        <v>ICTVonline=20150491</v>
      </c>
    </row>
    <row r="497" spans="1:13" x14ac:dyDescent="0.15">
      <c r="A497" s="1" t="s">
        <v>1393</v>
      </c>
      <c r="B497" s="1" t="s">
        <v>928</v>
      </c>
      <c r="D497" s="1" t="s">
        <v>4128</v>
      </c>
      <c r="E497" s="1" t="s">
        <v>4130</v>
      </c>
      <c r="F497" s="3">
        <v>0</v>
      </c>
      <c r="G497" s="24" t="s">
        <v>3061</v>
      </c>
      <c r="I497" s="24" t="s">
        <v>2965</v>
      </c>
      <c r="J497" s="24" t="s">
        <v>2923</v>
      </c>
      <c r="K497" s="3">
        <v>30</v>
      </c>
      <c r="L497" s="3" t="s">
        <v>6745</v>
      </c>
      <c r="M497" s="3" t="str">
        <f>HYPERLINK("http://ictvonline.org/taxonomyHistory.asp?taxnode_id=20150492","ICTVonline=20150492")</f>
        <v>ICTVonline=20150492</v>
      </c>
    </row>
    <row r="498" spans="1:13" x14ac:dyDescent="0.15">
      <c r="A498" s="1" t="s">
        <v>1393</v>
      </c>
      <c r="B498" s="1" t="s">
        <v>928</v>
      </c>
      <c r="D498" s="1" t="s">
        <v>4131</v>
      </c>
      <c r="E498" s="1" t="s">
        <v>4132</v>
      </c>
      <c r="F498" s="3">
        <v>1</v>
      </c>
      <c r="I498" s="24" t="s">
        <v>2965</v>
      </c>
      <c r="J498" s="24" t="s">
        <v>2923</v>
      </c>
      <c r="K498" s="3">
        <v>30</v>
      </c>
      <c r="L498" s="3" t="s">
        <v>6745</v>
      </c>
      <c r="M498" s="3" t="str">
        <f>HYPERLINK("http://ictvonline.org/taxonomyHistory.asp?taxnode_id=20150577","ICTVonline=20150577")</f>
        <v>ICTVonline=20150577</v>
      </c>
    </row>
    <row r="499" spans="1:13" x14ac:dyDescent="0.15">
      <c r="A499" s="1" t="s">
        <v>1393</v>
      </c>
      <c r="B499" s="1" t="s">
        <v>928</v>
      </c>
      <c r="D499" s="1" t="s">
        <v>4133</v>
      </c>
      <c r="E499" s="1" t="s">
        <v>4134</v>
      </c>
      <c r="F499" s="3">
        <v>1</v>
      </c>
      <c r="G499" s="24" t="s">
        <v>7347</v>
      </c>
      <c r="H499" s="24" t="s">
        <v>4135</v>
      </c>
      <c r="I499" s="24" t="s">
        <v>2965</v>
      </c>
      <c r="J499" s="24" t="s">
        <v>2919</v>
      </c>
      <c r="K499" s="3">
        <v>30</v>
      </c>
      <c r="L499" s="3" t="s">
        <v>6787</v>
      </c>
      <c r="M499" s="3" t="str">
        <f>HYPERLINK("http://ictvonline.org/taxonomyHistory.asp?taxnode_id=20150758","ICTVonline=20150758")</f>
        <v>ICTVonline=20150758</v>
      </c>
    </row>
    <row r="500" spans="1:13" x14ac:dyDescent="0.15">
      <c r="A500" s="1" t="s">
        <v>1393</v>
      </c>
      <c r="B500" s="1" t="s">
        <v>928</v>
      </c>
      <c r="D500" s="1" t="s">
        <v>4133</v>
      </c>
      <c r="E500" s="1" t="s">
        <v>4136</v>
      </c>
      <c r="F500" s="3">
        <v>0</v>
      </c>
      <c r="G500" s="24" t="s">
        <v>7348</v>
      </c>
      <c r="H500" s="24" t="s">
        <v>4137</v>
      </c>
      <c r="I500" s="24" t="s">
        <v>2965</v>
      </c>
      <c r="J500" s="24" t="s">
        <v>2919</v>
      </c>
      <c r="K500" s="3">
        <v>30</v>
      </c>
      <c r="L500" s="3" t="s">
        <v>6787</v>
      </c>
      <c r="M500" s="3" t="str">
        <f>HYPERLINK("http://ictvonline.org/taxonomyHistory.asp?taxnode_id=20150759","ICTVonline=20150759")</f>
        <v>ICTVonline=20150759</v>
      </c>
    </row>
    <row r="501" spans="1:13" x14ac:dyDescent="0.15">
      <c r="A501" s="1" t="s">
        <v>1393</v>
      </c>
      <c r="B501" s="1" t="s">
        <v>928</v>
      </c>
      <c r="D501" s="1" t="s">
        <v>4133</v>
      </c>
      <c r="E501" s="1" t="s">
        <v>4138</v>
      </c>
      <c r="F501" s="3">
        <v>0</v>
      </c>
      <c r="G501" s="24" t="s">
        <v>7349</v>
      </c>
      <c r="H501" s="24" t="s">
        <v>4139</v>
      </c>
      <c r="I501" s="24" t="s">
        <v>2965</v>
      </c>
      <c r="J501" s="24" t="s">
        <v>2919</v>
      </c>
      <c r="K501" s="3">
        <v>30</v>
      </c>
      <c r="L501" s="3" t="s">
        <v>6787</v>
      </c>
      <c r="M501" s="3" t="str">
        <f>HYPERLINK("http://ictvonline.org/taxonomyHistory.asp?taxnode_id=20150761","ICTVonline=20150761")</f>
        <v>ICTVonline=20150761</v>
      </c>
    </row>
    <row r="502" spans="1:13" x14ac:dyDescent="0.15">
      <c r="A502" s="1" t="s">
        <v>1393</v>
      </c>
      <c r="B502" s="1" t="s">
        <v>928</v>
      </c>
      <c r="D502" s="1" t="s">
        <v>4133</v>
      </c>
      <c r="E502" s="1" t="s">
        <v>4140</v>
      </c>
      <c r="F502" s="3">
        <v>0</v>
      </c>
      <c r="G502" s="24" t="s">
        <v>7350</v>
      </c>
      <c r="H502" s="24" t="s">
        <v>4141</v>
      </c>
      <c r="I502" s="24" t="s">
        <v>2965</v>
      </c>
      <c r="J502" s="24" t="s">
        <v>2919</v>
      </c>
      <c r="K502" s="3">
        <v>30</v>
      </c>
      <c r="L502" s="3" t="s">
        <v>6787</v>
      </c>
      <c r="M502" s="3" t="str">
        <f>HYPERLINK("http://ictvonline.org/taxonomyHistory.asp?taxnode_id=20150760","ICTVonline=20150760")</f>
        <v>ICTVonline=20150760</v>
      </c>
    </row>
    <row r="503" spans="1:13" x14ac:dyDescent="0.15">
      <c r="A503" s="1" t="s">
        <v>1393</v>
      </c>
      <c r="B503" s="1" t="s">
        <v>928</v>
      </c>
      <c r="D503" s="1" t="s">
        <v>4142</v>
      </c>
      <c r="E503" s="1" t="s">
        <v>4143</v>
      </c>
      <c r="F503" s="3">
        <v>0</v>
      </c>
      <c r="G503" s="24" t="s">
        <v>3135</v>
      </c>
      <c r="I503" s="24" t="s">
        <v>2965</v>
      </c>
      <c r="J503" s="24" t="s">
        <v>2923</v>
      </c>
      <c r="K503" s="3">
        <v>30</v>
      </c>
      <c r="L503" s="3" t="s">
        <v>6745</v>
      </c>
      <c r="M503" s="3" t="str">
        <f>HYPERLINK("http://ictvonline.org/taxonomyHistory.asp?taxnode_id=20150579","ICTVonline=20150579")</f>
        <v>ICTVonline=20150579</v>
      </c>
    </row>
    <row r="504" spans="1:13" x14ac:dyDescent="0.15">
      <c r="A504" s="1" t="s">
        <v>1393</v>
      </c>
      <c r="B504" s="1" t="s">
        <v>928</v>
      </c>
      <c r="D504" s="1" t="s">
        <v>4142</v>
      </c>
      <c r="E504" s="1" t="s">
        <v>4144</v>
      </c>
      <c r="F504" s="3">
        <v>0</v>
      </c>
      <c r="G504" s="24" t="s">
        <v>3136</v>
      </c>
      <c r="I504" s="24" t="s">
        <v>2965</v>
      </c>
      <c r="J504" s="24" t="s">
        <v>2923</v>
      </c>
      <c r="K504" s="3">
        <v>30</v>
      </c>
      <c r="L504" s="3" t="s">
        <v>6745</v>
      </c>
      <c r="M504" s="3" t="str">
        <f>HYPERLINK("http://ictvonline.org/taxonomyHistory.asp?taxnode_id=20150580","ICTVonline=20150580")</f>
        <v>ICTVonline=20150580</v>
      </c>
    </row>
    <row r="505" spans="1:13" x14ac:dyDescent="0.15">
      <c r="A505" s="1" t="s">
        <v>1393</v>
      </c>
      <c r="B505" s="1" t="s">
        <v>928</v>
      </c>
      <c r="D505" s="1" t="s">
        <v>4142</v>
      </c>
      <c r="E505" s="1" t="s">
        <v>4145</v>
      </c>
      <c r="F505" s="3">
        <v>0</v>
      </c>
      <c r="G505" s="24" t="s">
        <v>3137</v>
      </c>
      <c r="I505" s="24" t="s">
        <v>2965</v>
      </c>
      <c r="J505" s="24" t="s">
        <v>2923</v>
      </c>
      <c r="K505" s="3">
        <v>30</v>
      </c>
      <c r="L505" s="3" t="s">
        <v>6745</v>
      </c>
      <c r="M505" s="3" t="str">
        <f>HYPERLINK("http://ictvonline.org/taxonomyHistory.asp?taxnode_id=20150581","ICTVonline=20150581")</f>
        <v>ICTVonline=20150581</v>
      </c>
    </row>
    <row r="506" spans="1:13" x14ac:dyDescent="0.15">
      <c r="A506" s="1" t="s">
        <v>1393</v>
      </c>
      <c r="B506" s="1" t="s">
        <v>928</v>
      </c>
      <c r="D506" s="1" t="s">
        <v>4142</v>
      </c>
      <c r="E506" s="1" t="s">
        <v>4146</v>
      </c>
      <c r="F506" s="3">
        <v>1</v>
      </c>
      <c r="G506" s="24" t="s">
        <v>3138</v>
      </c>
      <c r="I506" s="24" t="s">
        <v>2965</v>
      </c>
      <c r="J506" s="24" t="s">
        <v>2923</v>
      </c>
      <c r="K506" s="3">
        <v>30</v>
      </c>
      <c r="L506" s="3" t="s">
        <v>6745</v>
      </c>
      <c r="M506" s="3" t="str">
        <f>HYPERLINK("http://ictvonline.org/taxonomyHistory.asp?taxnode_id=20150582","ICTVonline=20150582")</f>
        <v>ICTVonline=20150582</v>
      </c>
    </row>
    <row r="507" spans="1:13" x14ac:dyDescent="0.15">
      <c r="A507" s="1" t="s">
        <v>1393</v>
      </c>
      <c r="B507" s="1" t="s">
        <v>928</v>
      </c>
      <c r="D507" s="1" t="s">
        <v>4142</v>
      </c>
      <c r="E507" s="1" t="s">
        <v>4147</v>
      </c>
      <c r="F507" s="3">
        <v>0</v>
      </c>
      <c r="G507" s="24" t="s">
        <v>3139</v>
      </c>
      <c r="I507" s="24" t="s">
        <v>2965</v>
      </c>
      <c r="J507" s="24" t="s">
        <v>2923</v>
      </c>
      <c r="K507" s="3">
        <v>30</v>
      </c>
      <c r="L507" s="3" t="s">
        <v>6745</v>
      </c>
      <c r="M507" s="3" t="str">
        <f>HYPERLINK("http://ictvonline.org/taxonomyHistory.asp?taxnode_id=20150583","ICTVonline=20150583")</f>
        <v>ICTVonline=20150583</v>
      </c>
    </row>
    <row r="508" spans="1:13" x14ac:dyDescent="0.15">
      <c r="A508" s="1" t="s">
        <v>1393</v>
      </c>
      <c r="B508" s="1" t="s">
        <v>928</v>
      </c>
      <c r="D508" s="1" t="s">
        <v>4142</v>
      </c>
      <c r="E508" s="1" t="s">
        <v>4148</v>
      </c>
      <c r="F508" s="3">
        <v>0</v>
      </c>
      <c r="G508" s="24" t="s">
        <v>3140</v>
      </c>
      <c r="I508" s="24" t="s">
        <v>2965</v>
      </c>
      <c r="J508" s="24" t="s">
        <v>2923</v>
      </c>
      <c r="K508" s="3">
        <v>30</v>
      </c>
      <c r="L508" s="3" t="s">
        <v>6745</v>
      </c>
      <c r="M508" s="3" t="str">
        <f>HYPERLINK("http://ictvonline.org/taxonomyHistory.asp?taxnode_id=20150584","ICTVonline=20150584")</f>
        <v>ICTVonline=20150584</v>
      </c>
    </row>
    <row r="509" spans="1:13" x14ac:dyDescent="0.15">
      <c r="A509" s="1" t="s">
        <v>1393</v>
      </c>
      <c r="B509" s="1" t="s">
        <v>928</v>
      </c>
      <c r="D509" s="1" t="s">
        <v>4149</v>
      </c>
      <c r="E509" s="1" t="s">
        <v>4150</v>
      </c>
      <c r="F509" s="3">
        <v>1</v>
      </c>
      <c r="G509" s="24" t="s">
        <v>3141</v>
      </c>
      <c r="I509" s="24" t="s">
        <v>2965</v>
      </c>
      <c r="J509" s="24" t="s">
        <v>2923</v>
      </c>
      <c r="K509" s="3">
        <v>30</v>
      </c>
      <c r="L509" s="3" t="s">
        <v>6745</v>
      </c>
      <c r="M509" s="3" t="str">
        <f>HYPERLINK("http://ictvonline.org/taxonomyHistory.asp?taxnode_id=20150586","ICTVonline=20150586")</f>
        <v>ICTVonline=20150586</v>
      </c>
    </row>
    <row r="510" spans="1:13" x14ac:dyDescent="0.15">
      <c r="A510" s="1" t="s">
        <v>1393</v>
      </c>
      <c r="B510" s="1" t="s">
        <v>928</v>
      </c>
      <c r="D510" s="1" t="s">
        <v>4149</v>
      </c>
      <c r="E510" s="1" t="s">
        <v>4151</v>
      </c>
      <c r="F510" s="3">
        <v>0</v>
      </c>
      <c r="G510" s="24" t="s">
        <v>3142</v>
      </c>
      <c r="I510" s="24" t="s">
        <v>2965</v>
      </c>
      <c r="J510" s="24" t="s">
        <v>2923</v>
      </c>
      <c r="K510" s="3">
        <v>30</v>
      </c>
      <c r="L510" s="3" t="s">
        <v>6745</v>
      </c>
      <c r="M510" s="3" t="str">
        <f>HYPERLINK("http://ictvonline.org/taxonomyHistory.asp?taxnode_id=20150587","ICTVonline=20150587")</f>
        <v>ICTVonline=20150587</v>
      </c>
    </row>
    <row r="511" spans="1:13" x14ac:dyDescent="0.15">
      <c r="A511" s="1" t="s">
        <v>1393</v>
      </c>
      <c r="B511" s="1" t="s">
        <v>928</v>
      </c>
      <c r="D511" s="1" t="s">
        <v>4152</v>
      </c>
      <c r="E511" s="1" t="s">
        <v>4153</v>
      </c>
      <c r="F511" s="3">
        <v>0</v>
      </c>
      <c r="G511" s="24" t="s">
        <v>7351</v>
      </c>
      <c r="H511" s="24" t="s">
        <v>4154</v>
      </c>
      <c r="I511" s="24" t="s">
        <v>2965</v>
      </c>
      <c r="J511" s="24" t="s">
        <v>2919</v>
      </c>
      <c r="K511" s="3">
        <v>30</v>
      </c>
      <c r="L511" s="3" t="s">
        <v>6788</v>
      </c>
      <c r="M511" s="3" t="str">
        <f>HYPERLINK("http://ictvonline.org/taxonomyHistory.asp?taxnode_id=20150804","ICTVonline=20150804")</f>
        <v>ICTVonline=20150804</v>
      </c>
    </row>
    <row r="512" spans="1:13" x14ac:dyDescent="0.15">
      <c r="A512" s="1" t="s">
        <v>1393</v>
      </c>
      <c r="B512" s="1" t="s">
        <v>928</v>
      </c>
      <c r="D512" s="1" t="s">
        <v>4152</v>
      </c>
      <c r="E512" s="1" t="s">
        <v>4155</v>
      </c>
      <c r="F512" s="3">
        <v>0</v>
      </c>
      <c r="G512" s="24" t="s">
        <v>7352</v>
      </c>
      <c r="H512" s="24" t="s">
        <v>4156</v>
      </c>
      <c r="I512" s="24" t="s">
        <v>2965</v>
      </c>
      <c r="J512" s="24" t="s">
        <v>2919</v>
      </c>
      <c r="K512" s="3">
        <v>30</v>
      </c>
      <c r="L512" s="3" t="s">
        <v>6788</v>
      </c>
      <c r="M512" s="3" t="str">
        <f>HYPERLINK("http://ictvonline.org/taxonomyHistory.asp?taxnode_id=20150807","ICTVonline=20150807")</f>
        <v>ICTVonline=20150807</v>
      </c>
    </row>
    <row r="513" spans="1:13" x14ac:dyDescent="0.15">
      <c r="A513" s="1" t="s">
        <v>1393</v>
      </c>
      <c r="B513" s="1" t="s">
        <v>928</v>
      </c>
      <c r="D513" s="1" t="s">
        <v>4152</v>
      </c>
      <c r="E513" s="1" t="s">
        <v>4157</v>
      </c>
      <c r="F513" s="3">
        <v>0</v>
      </c>
      <c r="G513" s="24" t="s">
        <v>7353</v>
      </c>
      <c r="H513" s="24" t="s">
        <v>4158</v>
      </c>
      <c r="I513" s="24" t="s">
        <v>2965</v>
      </c>
      <c r="J513" s="24" t="s">
        <v>2919</v>
      </c>
      <c r="K513" s="3">
        <v>30</v>
      </c>
      <c r="L513" s="3" t="s">
        <v>6788</v>
      </c>
      <c r="M513" s="3" t="str">
        <f>HYPERLINK("http://ictvonline.org/taxonomyHistory.asp?taxnode_id=20150805","ICTVonline=20150805")</f>
        <v>ICTVonline=20150805</v>
      </c>
    </row>
    <row r="514" spans="1:13" x14ac:dyDescent="0.15">
      <c r="A514" s="1" t="s">
        <v>1393</v>
      </c>
      <c r="B514" s="1" t="s">
        <v>928</v>
      </c>
      <c r="D514" s="1" t="s">
        <v>4152</v>
      </c>
      <c r="E514" s="1" t="s">
        <v>4159</v>
      </c>
      <c r="F514" s="3">
        <v>0</v>
      </c>
      <c r="G514" s="24" t="s">
        <v>7354</v>
      </c>
      <c r="H514" s="24" t="s">
        <v>4160</v>
      </c>
      <c r="I514" s="24" t="s">
        <v>2965</v>
      </c>
      <c r="J514" s="24" t="s">
        <v>2919</v>
      </c>
      <c r="K514" s="3">
        <v>30</v>
      </c>
      <c r="L514" s="3" t="s">
        <v>6788</v>
      </c>
      <c r="M514" s="3" t="str">
        <f>HYPERLINK("http://ictvonline.org/taxonomyHistory.asp?taxnode_id=20150806","ICTVonline=20150806")</f>
        <v>ICTVonline=20150806</v>
      </c>
    </row>
    <row r="515" spans="1:13" x14ac:dyDescent="0.15">
      <c r="A515" s="1" t="s">
        <v>1393</v>
      </c>
      <c r="B515" s="1" t="s">
        <v>928</v>
      </c>
      <c r="D515" s="1" t="s">
        <v>4152</v>
      </c>
      <c r="E515" s="1" t="s">
        <v>4161</v>
      </c>
      <c r="F515" s="3">
        <v>1</v>
      </c>
      <c r="G515" s="24" t="s">
        <v>7355</v>
      </c>
      <c r="H515" s="24" t="s">
        <v>4162</v>
      </c>
      <c r="I515" s="24" t="s">
        <v>2965</v>
      </c>
      <c r="J515" s="24" t="s">
        <v>2919</v>
      </c>
      <c r="K515" s="3">
        <v>30</v>
      </c>
      <c r="L515" s="3" t="s">
        <v>6788</v>
      </c>
      <c r="M515" s="3" t="str">
        <f>HYPERLINK("http://ictvonline.org/taxonomyHistory.asp?taxnode_id=20150803","ICTVonline=20150803")</f>
        <v>ICTVonline=20150803</v>
      </c>
    </row>
    <row r="516" spans="1:13" x14ac:dyDescent="0.15">
      <c r="A516" s="1" t="s">
        <v>1393</v>
      </c>
      <c r="B516" s="1" t="s">
        <v>928</v>
      </c>
      <c r="D516" s="1" t="s">
        <v>4163</v>
      </c>
      <c r="E516" s="1" t="s">
        <v>4164</v>
      </c>
      <c r="F516" s="3">
        <v>1</v>
      </c>
      <c r="G516" s="24" t="s">
        <v>3143</v>
      </c>
      <c r="I516" s="24" t="s">
        <v>2965</v>
      </c>
      <c r="J516" s="24" t="s">
        <v>2923</v>
      </c>
      <c r="K516" s="3">
        <v>30</v>
      </c>
      <c r="L516" s="3" t="s">
        <v>6745</v>
      </c>
      <c r="M516" s="3" t="str">
        <f>HYPERLINK("http://ictvonline.org/taxonomyHistory.asp?taxnode_id=20150589","ICTVonline=20150589")</f>
        <v>ICTVonline=20150589</v>
      </c>
    </row>
    <row r="517" spans="1:13" x14ac:dyDescent="0.15">
      <c r="A517" s="1" t="s">
        <v>1393</v>
      </c>
      <c r="B517" s="1" t="s">
        <v>928</v>
      </c>
      <c r="D517" s="1" t="s">
        <v>4165</v>
      </c>
      <c r="E517" s="1" t="s">
        <v>4166</v>
      </c>
      <c r="F517" s="3">
        <v>0</v>
      </c>
      <c r="G517" s="24" t="s">
        <v>3144</v>
      </c>
      <c r="I517" s="24" t="s">
        <v>2965</v>
      </c>
      <c r="J517" s="24" t="s">
        <v>2923</v>
      </c>
      <c r="K517" s="3">
        <v>30</v>
      </c>
      <c r="L517" s="3" t="s">
        <v>6745</v>
      </c>
      <c r="M517" s="3" t="str">
        <f>HYPERLINK("http://ictvonline.org/taxonomyHistory.asp?taxnode_id=20150591","ICTVonline=20150591")</f>
        <v>ICTVonline=20150591</v>
      </c>
    </row>
    <row r="518" spans="1:13" x14ac:dyDescent="0.15">
      <c r="A518" s="1" t="s">
        <v>1393</v>
      </c>
      <c r="B518" s="1" t="s">
        <v>928</v>
      </c>
      <c r="D518" s="1" t="s">
        <v>4165</v>
      </c>
      <c r="E518" s="1" t="s">
        <v>4167</v>
      </c>
      <c r="F518" s="3">
        <v>0</v>
      </c>
      <c r="G518" s="24" t="s">
        <v>3145</v>
      </c>
      <c r="I518" s="24" t="s">
        <v>2965</v>
      </c>
      <c r="J518" s="24" t="s">
        <v>2923</v>
      </c>
      <c r="K518" s="3">
        <v>30</v>
      </c>
      <c r="L518" s="3" t="s">
        <v>6745</v>
      </c>
      <c r="M518" s="3" t="str">
        <f>HYPERLINK("http://ictvonline.org/taxonomyHistory.asp?taxnode_id=20150592","ICTVonline=20150592")</f>
        <v>ICTVonline=20150592</v>
      </c>
    </row>
    <row r="519" spans="1:13" x14ac:dyDescent="0.15">
      <c r="A519" s="1" t="s">
        <v>1393</v>
      </c>
      <c r="B519" s="1" t="s">
        <v>928</v>
      </c>
      <c r="D519" s="1" t="s">
        <v>4165</v>
      </c>
      <c r="E519" s="1" t="s">
        <v>4168</v>
      </c>
      <c r="F519" s="3">
        <v>0</v>
      </c>
      <c r="G519" s="24" t="s">
        <v>3146</v>
      </c>
      <c r="I519" s="24" t="s">
        <v>2965</v>
      </c>
      <c r="J519" s="24" t="s">
        <v>2923</v>
      </c>
      <c r="K519" s="3">
        <v>30</v>
      </c>
      <c r="L519" s="3" t="s">
        <v>6745</v>
      </c>
      <c r="M519" s="3" t="str">
        <f>HYPERLINK("http://ictvonline.org/taxonomyHistory.asp?taxnode_id=20150593","ICTVonline=20150593")</f>
        <v>ICTVonline=20150593</v>
      </c>
    </row>
    <row r="520" spans="1:13" x14ac:dyDescent="0.15">
      <c r="A520" s="1" t="s">
        <v>1393</v>
      </c>
      <c r="B520" s="1" t="s">
        <v>928</v>
      </c>
      <c r="D520" s="1" t="s">
        <v>4165</v>
      </c>
      <c r="E520" s="1" t="s">
        <v>4169</v>
      </c>
      <c r="F520" s="3">
        <v>0</v>
      </c>
      <c r="G520" s="24" t="s">
        <v>3147</v>
      </c>
      <c r="I520" s="24" t="s">
        <v>2965</v>
      </c>
      <c r="J520" s="24" t="s">
        <v>2923</v>
      </c>
      <c r="K520" s="3">
        <v>30</v>
      </c>
      <c r="L520" s="3" t="s">
        <v>6745</v>
      </c>
      <c r="M520" s="3" t="str">
        <f>HYPERLINK("http://ictvonline.org/taxonomyHistory.asp?taxnode_id=20150594","ICTVonline=20150594")</f>
        <v>ICTVonline=20150594</v>
      </c>
    </row>
    <row r="521" spans="1:13" x14ac:dyDescent="0.15">
      <c r="A521" s="1" t="s">
        <v>1393</v>
      </c>
      <c r="B521" s="1" t="s">
        <v>928</v>
      </c>
      <c r="D521" s="1" t="s">
        <v>4165</v>
      </c>
      <c r="E521" s="1" t="s">
        <v>4170</v>
      </c>
      <c r="F521" s="3">
        <v>0</v>
      </c>
      <c r="G521" s="24" t="s">
        <v>3148</v>
      </c>
      <c r="I521" s="24" t="s">
        <v>2965</v>
      </c>
      <c r="J521" s="24" t="s">
        <v>2923</v>
      </c>
      <c r="K521" s="3">
        <v>30</v>
      </c>
      <c r="L521" s="3" t="s">
        <v>6745</v>
      </c>
      <c r="M521" s="3" t="str">
        <f>HYPERLINK("http://ictvonline.org/taxonomyHistory.asp?taxnode_id=20150595","ICTVonline=20150595")</f>
        <v>ICTVonline=20150595</v>
      </c>
    </row>
    <row r="522" spans="1:13" x14ac:dyDescent="0.15">
      <c r="A522" s="1" t="s">
        <v>1393</v>
      </c>
      <c r="B522" s="1" t="s">
        <v>928</v>
      </c>
      <c r="D522" s="1" t="s">
        <v>4165</v>
      </c>
      <c r="E522" s="1" t="s">
        <v>4171</v>
      </c>
      <c r="F522" s="3">
        <v>0</v>
      </c>
      <c r="G522" s="24" t="s">
        <v>3149</v>
      </c>
      <c r="I522" s="24" t="s">
        <v>2965</v>
      </c>
      <c r="J522" s="24" t="s">
        <v>2923</v>
      </c>
      <c r="K522" s="3">
        <v>30</v>
      </c>
      <c r="L522" s="3" t="s">
        <v>6745</v>
      </c>
      <c r="M522" s="3" t="str">
        <f>HYPERLINK("http://ictvonline.org/taxonomyHistory.asp?taxnode_id=20150596","ICTVonline=20150596")</f>
        <v>ICTVonline=20150596</v>
      </c>
    </row>
    <row r="523" spans="1:13" x14ac:dyDescent="0.15">
      <c r="A523" s="1" t="s">
        <v>1393</v>
      </c>
      <c r="B523" s="1" t="s">
        <v>928</v>
      </c>
      <c r="D523" s="1" t="s">
        <v>4165</v>
      </c>
      <c r="E523" s="1" t="s">
        <v>4172</v>
      </c>
      <c r="F523" s="3">
        <v>0</v>
      </c>
      <c r="G523" s="24" t="s">
        <v>3150</v>
      </c>
      <c r="I523" s="24" t="s">
        <v>2965</v>
      </c>
      <c r="J523" s="24" t="s">
        <v>2923</v>
      </c>
      <c r="K523" s="3">
        <v>30</v>
      </c>
      <c r="L523" s="3" t="s">
        <v>6745</v>
      </c>
      <c r="M523" s="3" t="str">
        <f>HYPERLINK("http://ictvonline.org/taxonomyHistory.asp?taxnode_id=20150597","ICTVonline=20150597")</f>
        <v>ICTVonline=20150597</v>
      </c>
    </row>
    <row r="524" spans="1:13" x14ac:dyDescent="0.15">
      <c r="A524" s="1" t="s">
        <v>1393</v>
      </c>
      <c r="B524" s="1" t="s">
        <v>928</v>
      </c>
      <c r="D524" s="1" t="s">
        <v>4165</v>
      </c>
      <c r="E524" s="1" t="s">
        <v>4173</v>
      </c>
      <c r="F524" s="3">
        <v>1</v>
      </c>
      <c r="G524" s="24" t="s">
        <v>3151</v>
      </c>
      <c r="I524" s="24" t="s">
        <v>2965</v>
      </c>
      <c r="J524" s="24" t="s">
        <v>2923</v>
      </c>
      <c r="K524" s="3">
        <v>30</v>
      </c>
      <c r="L524" s="3" t="s">
        <v>6745</v>
      </c>
      <c r="M524" s="3" t="str">
        <f>HYPERLINK("http://ictvonline.org/taxonomyHistory.asp?taxnode_id=20150598","ICTVonline=20150598")</f>
        <v>ICTVonline=20150598</v>
      </c>
    </row>
    <row r="525" spans="1:13" x14ac:dyDescent="0.15">
      <c r="A525" s="1" t="s">
        <v>1393</v>
      </c>
      <c r="B525" s="1" t="s">
        <v>928</v>
      </c>
      <c r="D525" s="1" t="s">
        <v>4165</v>
      </c>
      <c r="E525" s="1" t="s">
        <v>4174</v>
      </c>
      <c r="F525" s="3">
        <v>0</v>
      </c>
      <c r="G525" s="24" t="s">
        <v>3152</v>
      </c>
      <c r="I525" s="24" t="s">
        <v>2965</v>
      </c>
      <c r="J525" s="24" t="s">
        <v>2923</v>
      </c>
      <c r="K525" s="3">
        <v>30</v>
      </c>
      <c r="L525" s="3" t="s">
        <v>6745</v>
      </c>
      <c r="M525" s="3" t="str">
        <f>HYPERLINK("http://ictvonline.org/taxonomyHistory.asp?taxnode_id=20150599","ICTVonline=20150599")</f>
        <v>ICTVonline=20150599</v>
      </c>
    </row>
    <row r="526" spans="1:13" x14ac:dyDescent="0.15">
      <c r="A526" s="1" t="s">
        <v>1393</v>
      </c>
      <c r="B526" s="1" t="s">
        <v>928</v>
      </c>
      <c r="D526" s="1" t="s">
        <v>4165</v>
      </c>
      <c r="E526" s="1" t="s">
        <v>4175</v>
      </c>
      <c r="F526" s="3">
        <v>0</v>
      </c>
      <c r="G526" s="24" t="s">
        <v>3153</v>
      </c>
      <c r="I526" s="24" t="s">
        <v>2965</v>
      </c>
      <c r="J526" s="24" t="s">
        <v>2923</v>
      </c>
      <c r="K526" s="3">
        <v>30</v>
      </c>
      <c r="L526" s="3" t="s">
        <v>6745</v>
      </c>
      <c r="M526" s="3" t="str">
        <f>HYPERLINK("http://ictvonline.org/taxonomyHistory.asp?taxnode_id=20150600","ICTVonline=20150600")</f>
        <v>ICTVonline=20150600</v>
      </c>
    </row>
    <row r="527" spans="1:13" x14ac:dyDescent="0.15">
      <c r="A527" s="1" t="s">
        <v>1393</v>
      </c>
      <c r="B527" s="1" t="s">
        <v>928</v>
      </c>
      <c r="D527" s="1" t="s">
        <v>4165</v>
      </c>
      <c r="E527" s="1" t="s">
        <v>4176</v>
      </c>
      <c r="F527" s="3">
        <v>0</v>
      </c>
      <c r="G527" s="24" t="s">
        <v>3154</v>
      </c>
      <c r="I527" s="24" t="s">
        <v>2965</v>
      </c>
      <c r="J527" s="24" t="s">
        <v>2923</v>
      </c>
      <c r="K527" s="3">
        <v>30</v>
      </c>
      <c r="L527" s="3" t="s">
        <v>6745</v>
      </c>
      <c r="M527" s="3" t="str">
        <f>HYPERLINK("http://ictvonline.org/taxonomyHistory.asp?taxnode_id=20150601","ICTVonline=20150601")</f>
        <v>ICTVonline=20150601</v>
      </c>
    </row>
    <row r="528" spans="1:13" x14ac:dyDescent="0.15">
      <c r="A528" s="1" t="s">
        <v>1393</v>
      </c>
      <c r="B528" s="1" t="s">
        <v>928</v>
      </c>
      <c r="D528" s="1" t="s">
        <v>4165</v>
      </c>
      <c r="E528" s="1" t="s">
        <v>4177</v>
      </c>
      <c r="F528" s="3">
        <v>0</v>
      </c>
      <c r="G528" s="24" t="s">
        <v>3155</v>
      </c>
      <c r="I528" s="24" t="s">
        <v>2965</v>
      </c>
      <c r="J528" s="24" t="s">
        <v>2923</v>
      </c>
      <c r="K528" s="3">
        <v>30</v>
      </c>
      <c r="L528" s="3" t="s">
        <v>6745</v>
      </c>
      <c r="M528" s="3" t="str">
        <f>HYPERLINK("http://ictvonline.org/taxonomyHistory.asp?taxnode_id=20150602","ICTVonline=20150602")</f>
        <v>ICTVonline=20150602</v>
      </c>
    </row>
    <row r="529" spans="1:13" x14ac:dyDescent="0.15">
      <c r="A529" s="1" t="s">
        <v>1393</v>
      </c>
      <c r="B529" s="1" t="s">
        <v>928</v>
      </c>
      <c r="D529" s="1" t="s">
        <v>4178</v>
      </c>
      <c r="E529" s="1" t="s">
        <v>4179</v>
      </c>
      <c r="F529" s="3">
        <v>0</v>
      </c>
      <c r="G529" s="24" t="s">
        <v>3156</v>
      </c>
      <c r="I529" s="24" t="s">
        <v>2965</v>
      </c>
      <c r="J529" s="24" t="s">
        <v>2923</v>
      </c>
      <c r="K529" s="3">
        <v>30</v>
      </c>
      <c r="L529" s="3" t="s">
        <v>6745</v>
      </c>
      <c r="M529" s="3" t="str">
        <f>HYPERLINK("http://ictvonline.org/taxonomyHistory.asp?taxnode_id=20150604","ICTVonline=20150604")</f>
        <v>ICTVonline=20150604</v>
      </c>
    </row>
    <row r="530" spans="1:13" x14ac:dyDescent="0.15">
      <c r="A530" s="1" t="s">
        <v>1393</v>
      </c>
      <c r="B530" s="1" t="s">
        <v>928</v>
      </c>
      <c r="D530" s="1" t="s">
        <v>4178</v>
      </c>
      <c r="E530" s="1" t="s">
        <v>4180</v>
      </c>
      <c r="F530" s="3">
        <v>1</v>
      </c>
      <c r="I530" s="24" t="s">
        <v>2965</v>
      </c>
      <c r="J530" s="24" t="s">
        <v>2923</v>
      </c>
      <c r="K530" s="3">
        <v>30</v>
      </c>
      <c r="L530" s="3" t="s">
        <v>6745</v>
      </c>
      <c r="M530" s="3" t="str">
        <f>HYPERLINK("http://ictvonline.org/taxonomyHistory.asp?taxnode_id=20150605","ICTVonline=20150605")</f>
        <v>ICTVonline=20150605</v>
      </c>
    </row>
    <row r="531" spans="1:13" x14ac:dyDescent="0.15">
      <c r="A531" s="1" t="s">
        <v>1393</v>
      </c>
      <c r="B531" s="1" t="s">
        <v>928</v>
      </c>
      <c r="D531" s="1" t="s">
        <v>4178</v>
      </c>
      <c r="E531" s="1" t="s">
        <v>4181</v>
      </c>
      <c r="F531" s="3">
        <v>0</v>
      </c>
      <c r="G531" s="24" t="s">
        <v>3157</v>
      </c>
      <c r="I531" s="24" t="s">
        <v>2965</v>
      </c>
      <c r="J531" s="24" t="s">
        <v>2923</v>
      </c>
      <c r="K531" s="3">
        <v>30</v>
      </c>
      <c r="L531" s="3" t="s">
        <v>6745</v>
      </c>
      <c r="M531" s="3" t="str">
        <f>HYPERLINK("http://ictvonline.org/taxonomyHistory.asp?taxnode_id=20150606","ICTVonline=20150606")</f>
        <v>ICTVonline=20150606</v>
      </c>
    </row>
    <row r="532" spans="1:13" x14ac:dyDescent="0.15">
      <c r="A532" s="1" t="s">
        <v>1393</v>
      </c>
      <c r="B532" s="1" t="s">
        <v>928</v>
      </c>
      <c r="D532" s="1" t="s">
        <v>4182</v>
      </c>
      <c r="E532" s="1" t="s">
        <v>4183</v>
      </c>
      <c r="F532" s="3">
        <v>0</v>
      </c>
      <c r="G532" s="24" t="s">
        <v>3158</v>
      </c>
      <c r="I532" s="24" t="s">
        <v>2965</v>
      </c>
      <c r="J532" s="24" t="s">
        <v>2923</v>
      </c>
      <c r="K532" s="3">
        <v>30</v>
      </c>
      <c r="L532" s="3" t="s">
        <v>6745</v>
      </c>
      <c r="M532" s="3" t="str">
        <f>HYPERLINK("http://ictvonline.org/taxonomyHistory.asp?taxnode_id=20150608","ICTVonline=20150608")</f>
        <v>ICTVonline=20150608</v>
      </c>
    </row>
    <row r="533" spans="1:13" x14ac:dyDescent="0.15">
      <c r="A533" s="1" t="s">
        <v>1393</v>
      </c>
      <c r="B533" s="1" t="s">
        <v>928</v>
      </c>
      <c r="D533" s="1" t="s">
        <v>4182</v>
      </c>
      <c r="E533" s="1" t="s">
        <v>4184</v>
      </c>
      <c r="F533" s="3">
        <v>0</v>
      </c>
      <c r="G533" s="24" t="s">
        <v>3159</v>
      </c>
      <c r="I533" s="24" t="s">
        <v>2965</v>
      </c>
      <c r="J533" s="24" t="s">
        <v>2923</v>
      </c>
      <c r="K533" s="3">
        <v>30</v>
      </c>
      <c r="L533" s="3" t="s">
        <v>6745</v>
      </c>
      <c r="M533" s="3" t="str">
        <f>HYPERLINK("http://ictvonline.org/taxonomyHistory.asp?taxnode_id=20150609","ICTVonline=20150609")</f>
        <v>ICTVonline=20150609</v>
      </c>
    </row>
    <row r="534" spans="1:13" x14ac:dyDescent="0.15">
      <c r="A534" s="1" t="s">
        <v>1393</v>
      </c>
      <c r="B534" s="1" t="s">
        <v>928</v>
      </c>
      <c r="D534" s="1" t="s">
        <v>4182</v>
      </c>
      <c r="E534" s="1" t="s">
        <v>4185</v>
      </c>
      <c r="F534" s="3">
        <v>1</v>
      </c>
      <c r="G534" s="24" t="s">
        <v>3160</v>
      </c>
      <c r="I534" s="24" t="s">
        <v>2965</v>
      </c>
      <c r="J534" s="24" t="s">
        <v>2923</v>
      </c>
      <c r="K534" s="3">
        <v>30</v>
      </c>
      <c r="L534" s="3" t="s">
        <v>6745</v>
      </c>
      <c r="M534" s="3" t="str">
        <f>HYPERLINK("http://ictvonline.org/taxonomyHistory.asp?taxnode_id=20150610","ICTVonline=20150610")</f>
        <v>ICTVonline=20150610</v>
      </c>
    </row>
    <row r="535" spans="1:13" x14ac:dyDescent="0.15">
      <c r="A535" s="1" t="s">
        <v>1393</v>
      </c>
      <c r="B535" s="1" t="s">
        <v>928</v>
      </c>
      <c r="D535" s="1" t="s">
        <v>4182</v>
      </c>
      <c r="E535" s="1" t="s">
        <v>4186</v>
      </c>
      <c r="F535" s="3">
        <v>0</v>
      </c>
      <c r="G535" s="24" t="s">
        <v>3161</v>
      </c>
      <c r="I535" s="24" t="s">
        <v>2965</v>
      </c>
      <c r="J535" s="24" t="s">
        <v>2923</v>
      </c>
      <c r="K535" s="3">
        <v>30</v>
      </c>
      <c r="L535" s="3" t="s">
        <v>6745</v>
      </c>
      <c r="M535" s="3" t="str">
        <f>HYPERLINK("http://ictvonline.org/taxonomyHistory.asp?taxnode_id=20150611","ICTVonline=20150611")</f>
        <v>ICTVonline=20150611</v>
      </c>
    </row>
    <row r="536" spans="1:13" x14ac:dyDescent="0.15">
      <c r="A536" s="1" t="s">
        <v>1393</v>
      </c>
      <c r="B536" s="1" t="s">
        <v>928</v>
      </c>
      <c r="D536" s="1" t="s">
        <v>4182</v>
      </c>
      <c r="E536" s="1" t="s">
        <v>4187</v>
      </c>
      <c r="F536" s="3">
        <v>0</v>
      </c>
      <c r="G536" s="24" t="s">
        <v>3162</v>
      </c>
      <c r="I536" s="24" t="s">
        <v>2965</v>
      </c>
      <c r="J536" s="24" t="s">
        <v>2923</v>
      </c>
      <c r="K536" s="3">
        <v>30</v>
      </c>
      <c r="L536" s="3" t="s">
        <v>6745</v>
      </c>
      <c r="M536" s="3" t="str">
        <f>HYPERLINK("http://ictvonline.org/taxonomyHistory.asp?taxnode_id=20150612","ICTVonline=20150612")</f>
        <v>ICTVonline=20150612</v>
      </c>
    </row>
    <row r="537" spans="1:13" x14ac:dyDescent="0.15">
      <c r="A537" s="1" t="s">
        <v>1393</v>
      </c>
      <c r="B537" s="1" t="s">
        <v>928</v>
      </c>
      <c r="D537" s="1" t="s">
        <v>4188</v>
      </c>
      <c r="E537" s="1" t="s">
        <v>4189</v>
      </c>
      <c r="F537" s="3">
        <v>0</v>
      </c>
      <c r="G537" s="24" t="s">
        <v>3166</v>
      </c>
      <c r="I537" s="24" t="s">
        <v>2965</v>
      </c>
      <c r="J537" s="24" t="s">
        <v>2923</v>
      </c>
      <c r="K537" s="3">
        <v>30</v>
      </c>
      <c r="L537" s="3" t="s">
        <v>6745</v>
      </c>
      <c r="M537" s="3" t="str">
        <f>HYPERLINK("http://ictvonline.org/taxonomyHistory.asp?taxnode_id=20150618","ICTVonline=20150618")</f>
        <v>ICTVonline=20150618</v>
      </c>
    </row>
    <row r="538" spans="1:13" x14ac:dyDescent="0.15">
      <c r="A538" s="1" t="s">
        <v>1393</v>
      </c>
      <c r="B538" s="1" t="s">
        <v>928</v>
      </c>
      <c r="D538" s="1" t="s">
        <v>4188</v>
      </c>
      <c r="E538" s="1" t="s">
        <v>4190</v>
      </c>
      <c r="F538" s="3">
        <v>0</v>
      </c>
      <c r="G538" s="24" t="s">
        <v>3167</v>
      </c>
      <c r="I538" s="24" t="s">
        <v>2965</v>
      </c>
      <c r="J538" s="24" t="s">
        <v>2923</v>
      </c>
      <c r="K538" s="3">
        <v>30</v>
      </c>
      <c r="L538" s="3" t="s">
        <v>6745</v>
      </c>
      <c r="M538" s="3" t="str">
        <f>HYPERLINK("http://ictvonline.org/taxonomyHistory.asp?taxnode_id=20150619","ICTVonline=20150619")</f>
        <v>ICTVonline=20150619</v>
      </c>
    </row>
    <row r="539" spans="1:13" x14ac:dyDescent="0.15">
      <c r="A539" s="1" t="s">
        <v>1393</v>
      </c>
      <c r="B539" s="1" t="s">
        <v>928</v>
      </c>
      <c r="D539" s="1" t="s">
        <v>4188</v>
      </c>
      <c r="E539" s="1" t="s">
        <v>4191</v>
      </c>
      <c r="F539" s="3">
        <v>0</v>
      </c>
      <c r="G539" s="24" t="s">
        <v>3168</v>
      </c>
      <c r="I539" s="24" t="s">
        <v>2965</v>
      </c>
      <c r="J539" s="24" t="s">
        <v>2923</v>
      </c>
      <c r="K539" s="3">
        <v>30</v>
      </c>
      <c r="L539" s="3" t="s">
        <v>6745</v>
      </c>
      <c r="M539" s="3" t="str">
        <f>HYPERLINK("http://ictvonline.org/taxonomyHistory.asp?taxnode_id=20150620","ICTVonline=20150620")</f>
        <v>ICTVonline=20150620</v>
      </c>
    </row>
    <row r="540" spans="1:13" x14ac:dyDescent="0.15">
      <c r="A540" s="1" t="s">
        <v>1393</v>
      </c>
      <c r="B540" s="1" t="s">
        <v>928</v>
      </c>
      <c r="D540" s="1" t="s">
        <v>4188</v>
      </c>
      <c r="E540" s="1" t="s">
        <v>4192</v>
      </c>
      <c r="F540" s="3">
        <v>0</v>
      </c>
      <c r="G540" s="24" t="s">
        <v>3169</v>
      </c>
      <c r="I540" s="24" t="s">
        <v>2965</v>
      </c>
      <c r="J540" s="24" t="s">
        <v>2923</v>
      </c>
      <c r="K540" s="3">
        <v>30</v>
      </c>
      <c r="L540" s="3" t="s">
        <v>6745</v>
      </c>
      <c r="M540" s="3" t="str">
        <f>HYPERLINK("http://ictvonline.org/taxonomyHistory.asp?taxnode_id=20150621","ICTVonline=20150621")</f>
        <v>ICTVonline=20150621</v>
      </c>
    </row>
    <row r="541" spans="1:13" x14ac:dyDescent="0.15">
      <c r="A541" s="1" t="s">
        <v>1393</v>
      </c>
      <c r="B541" s="1" t="s">
        <v>928</v>
      </c>
      <c r="D541" s="1" t="s">
        <v>4188</v>
      </c>
      <c r="E541" s="1" t="s">
        <v>4193</v>
      </c>
      <c r="F541" s="3">
        <v>0</v>
      </c>
      <c r="G541" s="24" t="s">
        <v>3170</v>
      </c>
      <c r="I541" s="24" t="s">
        <v>2965</v>
      </c>
      <c r="J541" s="24" t="s">
        <v>2923</v>
      </c>
      <c r="K541" s="3">
        <v>30</v>
      </c>
      <c r="L541" s="3" t="s">
        <v>6745</v>
      </c>
      <c r="M541" s="3" t="str">
        <f>HYPERLINK("http://ictvonline.org/taxonomyHistory.asp?taxnode_id=20150622","ICTVonline=20150622")</f>
        <v>ICTVonline=20150622</v>
      </c>
    </row>
    <row r="542" spans="1:13" x14ac:dyDescent="0.15">
      <c r="A542" s="1" t="s">
        <v>1393</v>
      </c>
      <c r="B542" s="1" t="s">
        <v>928</v>
      </c>
      <c r="D542" s="1" t="s">
        <v>4188</v>
      </c>
      <c r="E542" s="1" t="s">
        <v>4194</v>
      </c>
      <c r="F542" s="3">
        <v>0</v>
      </c>
      <c r="G542" s="24" t="s">
        <v>3171</v>
      </c>
      <c r="I542" s="24" t="s">
        <v>2965</v>
      </c>
      <c r="J542" s="24" t="s">
        <v>2923</v>
      </c>
      <c r="K542" s="3">
        <v>30</v>
      </c>
      <c r="L542" s="3" t="s">
        <v>6745</v>
      </c>
      <c r="M542" s="3" t="str">
        <f>HYPERLINK("http://ictvonline.org/taxonomyHistory.asp?taxnode_id=20150623","ICTVonline=20150623")</f>
        <v>ICTVonline=20150623</v>
      </c>
    </row>
    <row r="543" spans="1:13" x14ac:dyDescent="0.15">
      <c r="A543" s="1" t="s">
        <v>1393</v>
      </c>
      <c r="B543" s="1" t="s">
        <v>928</v>
      </c>
      <c r="D543" s="1" t="s">
        <v>4188</v>
      </c>
      <c r="E543" s="1" t="s">
        <v>4195</v>
      </c>
      <c r="F543" s="3">
        <v>0</v>
      </c>
      <c r="G543" s="24" t="s">
        <v>3172</v>
      </c>
      <c r="I543" s="24" t="s">
        <v>2965</v>
      </c>
      <c r="J543" s="24" t="s">
        <v>2923</v>
      </c>
      <c r="K543" s="3">
        <v>30</v>
      </c>
      <c r="L543" s="3" t="s">
        <v>6745</v>
      </c>
      <c r="M543" s="3" t="str">
        <f>HYPERLINK("http://ictvonline.org/taxonomyHistory.asp?taxnode_id=20150624","ICTVonline=20150624")</f>
        <v>ICTVonline=20150624</v>
      </c>
    </row>
    <row r="544" spans="1:13" x14ac:dyDescent="0.15">
      <c r="A544" s="1" t="s">
        <v>1393</v>
      </c>
      <c r="B544" s="1" t="s">
        <v>928</v>
      </c>
      <c r="D544" s="1" t="s">
        <v>4188</v>
      </c>
      <c r="E544" s="1" t="s">
        <v>4196</v>
      </c>
      <c r="F544" s="3">
        <v>0</v>
      </c>
      <c r="G544" s="24" t="s">
        <v>3173</v>
      </c>
      <c r="I544" s="24" t="s">
        <v>2965</v>
      </c>
      <c r="J544" s="24" t="s">
        <v>2923</v>
      </c>
      <c r="K544" s="3">
        <v>30</v>
      </c>
      <c r="L544" s="3" t="s">
        <v>6745</v>
      </c>
      <c r="M544" s="3" t="str">
        <f>HYPERLINK("http://ictvonline.org/taxonomyHistory.asp?taxnode_id=20150625","ICTVonline=20150625")</f>
        <v>ICTVonline=20150625</v>
      </c>
    </row>
    <row r="545" spans="1:13" x14ac:dyDescent="0.15">
      <c r="A545" s="1" t="s">
        <v>1393</v>
      </c>
      <c r="B545" s="1" t="s">
        <v>928</v>
      </c>
      <c r="D545" s="1" t="s">
        <v>4188</v>
      </c>
      <c r="E545" s="1" t="s">
        <v>4197</v>
      </c>
      <c r="F545" s="3">
        <v>0</v>
      </c>
      <c r="G545" s="24" t="s">
        <v>3174</v>
      </c>
      <c r="I545" s="24" t="s">
        <v>2965</v>
      </c>
      <c r="J545" s="24" t="s">
        <v>2923</v>
      </c>
      <c r="K545" s="3">
        <v>30</v>
      </c>
      <c r="L545" s="3" t="s">
        <v>6745</v>
      </c>
      <c r="M545" s="3" t="str">
        <f>HYPERLINK("http://ictvonline.org/taxonomyHistory.asp?taxnode_id=20150626","ICTVonline=20150626")</f>
        <v>ICTVonline=20150626</v>
      </c>
    </row>
    <row r="546" spans="1:13" x14ac:dyDescent="0.15">
      <c r="A546" s="1" t="s">
        <v>1393</v>
      </c>
      <c r="B546" s="1" t="s">
        <v>928</v>
      </c>
      <c r="D546" s="1" t="s">
        <v>4188</v>
      </c>
      <c r="E546" s="1" t="s">
        <v>4198</v>
      </c>
      <c r="F546" s="3">
        <v>0</v>
      </c>
      <c r="G546" s="24" t="s">
        <v>3175</v>
      </c>
      <c r="I546" s="24" t="s">
        <v>2965</v>
      </c>
      <c r="J546" s="24" t="s">
        <v>2923</v>
      </c>
      <c r="K546" s="3">
        <v>30</v>
      </c>
      <c r="L546" s="3" t="s">
        <v>6745</v>
      </c>
      <c r="M546" s="3" t="str">
        <f>HYPERLINK("http://ictvonline.org/taxonomyHistory.asp?taxnode_id=20150627","ICTVonline=20150627")</f>
        <v>ICTVonline=20150627</v>
      </c>
    </row>
    <row r="547" spans="1:13" x14ac:dyDescent="0.15">
      <c r="A547" s="1" t="s">
        <v>1393</v>
      </c>
      <c r="B547" s="1" t="s">
        <v>928</v>
      </c>
      <c r="D547" s="1" t="s">
        <v>4188</v>
      </c>
      <c r="E547" s="1" t="s">
        <v>4199</v>
      </c>
      <c r="F547" s="3">
        <v>0</v>
      </c>
      <c r="G547" s="24" t="s">
        <v>3176</v>
      </c>
      <c r="I547" s="24" t="s">
        <v>2965</v>
      </c>
      <c r="J547" s="24" t="s">
        <v>2923</v>
      </c>
      <c r="K547" s="3">
        <v>30</v>
      </c>
      <c r="L547" s="3" t="s">
        <v>6745</v>
      </c>
      <c r="M547" s="3" t="str">
        <f>HYPERLINK("http://ictvonline.org/taxonomyHistory.asp?taxnode_id=20150628","ICTVonline=20150628")</f>
        <v>ICTVonline=20150628</v>
      </c>
    </row>
    <row r="548" spans="1:13" x14ac:dyDescent="0.15">
      <c r="A548" s="1" t="s">
        <v>1393</v>
      </c>
      <c r="B548" s="1" t="s">
        <v>928</v>
      </c>
      <c r="D548" s="1" t="s">
        <v>4188</v>
      </c>
      <c r="E548" s="1" t="s">
        <v>4200</v>
      </c>
      <c r="F548" s="3">
        <v>0</v>
      </c>
      <c r="G548" s="24" t="s">
        <v>3177</v>
      </c>
      <c r="I548" s="24" t="s">
        <v>2965</v>
      </c>
      <c r="J548" s="24" t="s">
        <v>2923</v>
      </c>
      <c r="K548" s="3">
        <v>30</v>
      </c>
      <c r="L548" s="3" t="s">
        <v>6745</v>
      </c>
      <c r="M548" s="3" t="str">
        <f>HYPERLINK("http://ictvonline.org/taxonomyHistory.asp?taxnode_id=20150629","ICTVonline=20150629")</f>
        <v>ICTVonline=20150629</v>
      </c>
    </row>
    <row r="549" spans="1:13" x14ac:dyDescent="0.15">
      <c r="A549" s="1" t="s">
        <v>1393</v>
      </c>
      <c r="B549" s="1" t="s">
        <v>928</v>
      </c>
      <c r="D549" s="1" t="s">
        <v>4188</v>
      </c>
      <c r="E549" s="1" t="s">
        <v>4201</v>
      </c>
      <c r="F549" s="3">
        <v>0</v>
      </c>
      <c r="G549" s="24" t="s">
        <v>3178</v>
      </c>
      <c r="I549" s="24" t="s">
        <v>2965</v>
      </c>
      <c r="J549" s="24" t="s">
        <v>2923</v>
      </c>
      <c r="K549" s="3">
        <v>30</v>
      </c>
      <c r="L549" s="3" t="s">
        <v>6745</v>
      </c>
      <c r="M549" s="3" t="str">
        <f>HYPERLINK("http://ictvonline.org/taxonomyHistory.asp?taxnode_id=20150630","ICTVonline=20150630")</f>
        <v>ICTVonline=20150630</v>
      </c>
    </row>
    <row r="550" spans="1:13" x14ac:dyDescent="0.15">
      <c r="A550" s="1" t="s">
        <v>1393</v>
      </c>
      <c r="B550" s="1" t="s">
        <v>928</v>
      </c>
      <c r="D550" s="1" t="s">
        <v>4188</v>
      </c>
      <c r="E550" s="1" t="s">
        <v>4202</v>
      </c>
      <c r="F550" s="3">
        <v>0</v>
      </c>
      <c r="G550" s="24" t="s">
        <v>3179</v>
      </c>
      <c r="I550" s="24" t="s">
        <v>2965</v>
      </c>
      <c r="J550" s="24" t="s">
        <v>2923</v>
      </c>
      <c r="K550" s="3">
        <v>30</v>
      </c>
      <c r="L550" s="3" t="s">
        <v>6745</v>
      </c>
      <c r="M550" s="3" t="str">
        <f>HYPERLINK("http://ictvonline.org/taxonomyHistory.asp?taxnode_id=20150631","ICTVonline=20150631")</f>
        <v>ICTVonline=20150631</v>
      </c>
    </row>
    <row r="551" spans="1:13" x14ac:dyDescent="0.15">
      <c r="A551" s="1" t="s">
        <v>1393</v>
      </c>
      <c r="B551" s="1" t="s">
        <v>928</v>
      </c>
      <c r="D551" s="1" t="s">
        <v>4188</v>
      </c>
      <c r="E551" s="1" t="s">
        <v>4203</v>
      </c>
      <c r="F551" s="3">
        <v>0</v>
      </c>
      <c r="G551" s="24" t="s">
        <v>3180</v>
      </c>
      <c r="I551" s="24" t="s">
        <v>2965</v>
      </c>
      <c r="J551" s="24" t="s">
        <v>2923</v>
      </c>
      <c r="K551" s="3">
        <v>30</v>
      </c>
      <c r="L551" s="3" t="s">
        <v>6745</v>
      </c>
      <c r="M551" s="3" t="str">
        <f>HYPERLINK("http://ictvonline.org/taxonomyHistory.asp?taxnode_id=20150632","ICTVonline=20150632")</f>
        <v>ICTVonline=20150632</v>
      </c>
    </row>
    <row r="552" spans="1:13" x14ac:dyDescent="0.15">
      <c r="A552" s="1" t="s">
        <v>1393</v>
      </c>
      <c r="B552" s="1" t="s">
        <v>928</v>
      </c>
      <c r="D552" s="1" t="s">
        <v>4188</v>
      </c>
      <c r="E552" s="1" t="s">
        <v>4204</v>
      </c>
      <c r="F552" s="3">
        <v>0</v>
      </c>
      <c r="G552" s="24" t="s">
        <v>3181</v>
      </c>
      <c r="I552" s="24" t="s">
        <v>2965</v>
      </c>
      <c r="J552" s="24" t="s">
        <v>2923</v>
      </c>
      <c r="K552" s="3">
        <v>30</v>
      </c>
      <c r="L552" s="3" t="s">
        <v>6745</v>
      </c>
      <c r="M552" s="3" t="str">
        <f>HYPERLINK("http://ictvonline.org/taxonomyHistory.asp?taxnode_id=20150633","ICTVonline=20150633")</f>
        <v>ICTVonline=20150633</v>
      </c>
    </row>
    <row r="553" spans="1:13" x14ac:dyDescent="0.15">
      <c r="A553" s="1" t="s">
        <v>1393</v>
      </c>
      <c r="B553" s="1" t="s">
        <v>928</v>
      </c>
      <c r="D553" s="1" t="s">
        <v>4188</v>
      </c>
      <c r="E553" s="1" t="s">
        <v>4205</v>
      </c>
      <c r="F553" s="3">
        <v>0</v>
      </c>
      <c r="G553" s="24" t="s">
        <v>3182</v>
      </c>
      <c r="I553" s="24" t="s">
        <v>2965</v>
      </c>
      <c r="J553" s="24" t="s">
        <v>2923</v>
      </c>
      <c r="K553" s="3">
        <v>30</v>
      </c>
      <c r="L553" s="3" t="s">
        <v>6745</v>
      </c>
      <c r="M553" s="3" t="str">
        <f>HYPERLINK("http://ictvonline.org/taxonomyHistory.asp?taxnode_id=20150634","ICTVonline=20150634")</f>
        <v>ICTVonline=20150634</v>
      </c>
    </row>
    <row r="554" spans="1:13" x14ac:dyDescent="0.15">
      <c r="A554" s="1" t="s">
        <v>1393</v>
      </c>
      <c r="B554" s="1" t="s">
        <v>928</v>
      </c>
      <c r="D554" s="1" t="s">
        <v>4188</v>
      </c>
      <c r="E554" s="1" t="s">
        <v>4206</v>
      </c>
      <c r="F554" s="3">
        <v>0</v>
      </c>
      <c r="G554" s="24" t="s">
        <v>3183</v>
      </c>
      <c r="I554" s="24" t="s">
        <v>2965</v>
      </c>
      <c r="J554" s="24" t="s">
        <v>2923</v>
      </c>
      <c r="K554" s="3">
        <v>30</v>
      </c>
      <c r="L554" s="3" t="s">
        <v>6745</v>
      </c>
      <c r="M554" s="3" t="str">
        <f>HYPERLINK("http://ictvonline.org/taxonomyHistory.asp?taxnode_id=20150635","ICTVonline=20150635")</f>
        <v>ICTVonline=20150635</v>
      </c>
    </row>
    <row r="555" spans="1:13" x14ac:dyDescent="0.15">
      <c r="A555" s="1" t="s">
        <v>1393</v>
      </c>
      <c r="B555" s="1" t="s">
        <v>928</v>
      </c>
      <c r="D555" s="1" t="s">
        <v>4188</v>
      </c>
      <c r="E555" s="1" t="s">
        <v>4207</v>
      </c>
      <c r="F555" s="3">
        <v>0</v>
      </c>
      <c r="G555" s="24" t="s">
        <v>3184</v>
      </c>
      <c r="I555" s="24" t="s">
        <v>2965</v>
      </c>
      <c r="J555" s="24" t="s">
        <v>2923</v>
      </c>
      <c r="K555" s="3">
        <v>30</v>
      </c>
      <c r="L555" s="3" t="s">
        <v>6745</v>
      </c>
      <c r="M555" s="3" t="str">
        <f>HYPERLINK("http://ictvonline.org/taxonomyHistory.asp?taxnode_id=20150636","ICTVonline=20150636")</f>
        <v>ICTVonline=20150636</v>
      </c>
    </row>
    <row r="556" spans="1:13" x14ac:dyDescent="0.15">
      <c r="A556" s="1" t="s">
        <v>1393</v>
      </c>
      <c r="B556" s="1" t="s">
        <v>928</v>
      </c>
      <c r="D556" s="1" t="s">
        <v>4188</v>
      </c>
      <c r="E556" s="1" t="s">
        <v>4208</v>
      </c>
      <c r="F556" s="3">
        <v>0</v>
      </c>
      <c r="G556" s="24" t="s">
        <v>3185</v>
      </c>
      <c r="I556" s="24" t="s">
        <v>2965</v>
      </c>
      <c r="J556" s="24" t="s">
        <v>2923</v>
      </c>
      <c r="K556" s="3">
        <v>30</v>
      </c>
      <c r="L556" s="3" t="s">
        <v>6745</v>
      </c>
      <c r="M556" s="3" t="str">
        <f>HYPERLINK("http://ictvonline.org/taxonomyHistory.asp?taxnode_id=20150637","ICTVonline=20150637")</f>
        <v>ICTVonline=20150637</v>
      </c>
    </row>
    <row r="557" spans="1:13" x14ac:dyDescent="0.15">
      <c r="A557" s="1" t="s">
        <v>1393</v>
      </c>
      <c r="B557" s="1" t="s">
        <v>928</v>
      </c>
      <c r="D557" s="1" t="s">
        <v>4188</v>
      </c>
      <c r="E557" s="1" t="s">
        <v>4209</v>
      </c>
      <c r="F557" s="3">
        <v>0</v>
      </c>
      <c r="G557" s="24" t="s">
        <v>3186</v>
      </c>
      <c r="I557" s="24" t="s">
        <v>2965</v>
      </c>
      <c r="J557" s="24" t="s">
        <v>2923</v>
      </c>
      <c r="K557" s="3">
        <v>30</v>
      </c>
      <c r="L557" s="3" t="s">
        <v>6745</v>
      </c>
      <c r="M557" s="3" t="str">
        <f>HYPERLINK("http://ictvonline.org/taxonomyHistory.asp?taxnode_id=20150638","ICTVonline=20150638")</f>
        <v>ICTVonline=20150638</v>
      </c>
    </row>
    <row r="558" spans="1:13" x14ac:dyDescent="0.15">
      <c r="A558" s="1" t="s">
        <v>1393</v>
      </c>
      <c r="B558" s="1" t="s">
        <v>928</v>
      </c>
      <c r="D558" s="1" t="s">
        <v>4188</v>
      </c>
      <c r="E558" s="1" t="s">
        <v>4210</v>
      </c>
      <c r="F558" s="3">
        <v>1</v>
      </c>
      <c r="G558" s="24" t="s">
        <v>3187</v>
      </c>
      <c r="I558" s="24" t="s">
        <v>2965</v>
      </c>
      <c r="J558" s="24" t="s">
        <v>2923</v>
      </c>
      <c r="K558" s="3">
        <v>30</v>
      </c>
      <c r="L558" s="3" t="s">
        <v>6745</v>
      </c>
      <c r="M558" s="3" t="str">
        <f>HYPERLINK("http://ictvonline.org/taxonomyHistory.asp?taxnode_id=20150639","ICTVonline=20150639")</f>
        <v>ICTVonline=20150639</v>
      </c>
    </row>
    <row r="559" spans="1:13" x14ac:dyDescent="0.15">
      <c r="A559" s="1" t="s">
        <v>1393</v>
      </c>
      <c r="B559" s="1" t="s">
        <v>928</v>
      </c>
      <c r="D559" s="1" t="s">
        <v>4188</v>
      </c>
      <c r="E559" s="1" t="s">
        <v>4211</v>
      </c>
      <c r="F559" s="3">
        <v>0</v>
      </c>
      <c r="G559" s="24" t="s">
        <v>3188</v>
      </c>
      <c r="I559" s="24" t="s">
        <v>2965</v>
      </c>
      <c r="J559" s="24" t="s">
        <v>2923</v>
      </c>
      <c r="K559" s="3">
        <v>30</v>
      </c>
      <c r="L559" s="3" t="s">
        <v>6745</v>
      </c>
      <c r="M559" s="3" t="str">
        <f>HYPERLINK("http://ictvonline.org/taxonomyHistory.asp?taxnode_id=20150640","ICTVonline=20150640")</f>
        <v>ICTVonline=20150640</v>
      </c>
    </row>
    <row r="560" spans="1:13" x14ac:dyDescent="0.15">
      <c r="A560" s="1" t="s">
        <v>1393</v>
      </c>
      <c r="B560" s="1" t="s">
        <v>928</v>
      </c>
      <c r="D560" s="1" t="s">
        <v>4188</v>
      </c>
      <c r="E560" s="1" t="s">
        <v>4212</v>
      </c>
      <c r="F560" s="3">
        <v>0</v>
      </c>
      <c r="G560" s="24" t="s">
        <v>3189</v>
      </c>
      <c r="I560" s="24" t="s">
        <v>2965</v>
      </c>
      <c r="J560" s="24" t="s">
        <v>2923</v>
      </c>
      <c r="K560" s="3">
        <v>30</v>
      </c>
      <c r="L560" s="3" t="s">
        <v>6745</v>
      </c>
      <c r="M560" s="3" t="str">
        <f>HYPERLINK("http://ictvonline.org/taxonomyHistory.asp?taxnode_id=20150641","ICTVonline=20150641")</f>
        <v>ICTVonline=20150641</v>
      </c>
    </row>
    <row r="561" spans="1:13" x14ac:dyDescent="0.15">
      <c r="A561" s="1" t="s">
        <v>1393</v>
      </c>
      <c r="B561" s="1" t="s">
        <v>928</v>
      </c>
      <c r="D561" s="1" t="s">
        <v>4188</v>
      </c>
      <c r="E561" s="1" t="s">
        <v>4213</v>
      </c>
      <c r="F561" s="3">
        <v>0</v>
      </c>
      <c r="G561" s="24" t="s">
        <v>3190</v>
      </c>
      <c r="I561" s="24" t="s">
        <v>2965</v>
      </c>
      <c r="J561" s="24" t="s">
        <v>2923</v>
      </c>
      <c r="K561" s="3">
        <v>30</v>
      </c>
      <c r="L561" s="3" t="s">
        <v>6745</v>
      </c>
      <c r="M561" s="3" t="str">
        <f>HYPERLINK("http://ictvonline.org/taxonomyHistory.asp?taxnode_id=20150642","ICTVonline=20150642")</f>
        <v>ICTVonline=20150642</v>
      </c>
    </row>
    <row r="562" spans="1:13" x14ac:dyDescent="0.15">
      <c r="A562" s="1" t="s">
        <v>1393</v>
      </c>
      <c r="B562" s="1" t="s">
        <v>928</v>
      </c>
      <c r="D562" s="1" t="s">
        <v>4188</v>
      </c>
      <c r="E562" s="1" t="s">
        <v>4214</v>
      </c>
      <c r="F562" s="3">
        <v>0</v>
      </c>
      <c r="G562" s="24" t="s">
        <v>3191</v>
      </c>
      <c r="I562" s="24" t="s">
        <v>2965</v>
      </c>
      <c r="J562" s="24" t="s">
        <v>2923</v>
      </c>
      <c r="K562" s="3">
        <v>30</v>
      </c>
      <c r="L562" s="3" t="s">
        <v>6745</v>
      </c>
      <c r="M562" s="3" t="str">
        <f>HYPERLINK("http://ictvonline.org/taxonomyHistory.asp?taxnode_id=20150643","ICTVonline=20150643")</f>
        <v>ICTVonline=20150643</v>
      </c>
    </row>
    <row r="563" spans="1:13" x14ac:dyDescent="0.15">
      <c r="A563" s="1" t="s">
        <v>1393</v>
      </c>
      <c r="B563" s="1" t="s">
        <v>928</v>
      </c>
      <c r="D563" s="1" t="s">
        <v>4188</v>
      </c>
      <c r="E563" s="1" t="s">
        <v>4215</v>
      </c>
      <c r="F563" s="3">
        <v>0</v>
      </c>
      <c r="G563" s="24" t="s">
        <v>3192</v>
      </c>
      <c r="I563" s="24" t="s">
        <v>2965</v>
      </c>
      <c r="J563" s="24" t="s">
        <v>2923</v>
      </c>
      <c r="K563" s="3">
        <v>30</v>
      </c>
      <c r="L563" s="3" t="s">
        <v>6745</v>
      </c>
      <c r="M563" s="3" t="str">
        <f>HYPERLINK("http://ictvonline.org/taxonomyHistory.asp?taxnode_id=20150644","ICTVonline=20150644")</f>
        <v>ICTVonline=20150644</v>
      </c>
    </row>
    <row r="564" spans="1:13" x14ac:dyDescent="0.15">
      <c r="A564" s="1" t="s">
        <v>1393</v>
      </c>
      <c r="B564" s="1" t="s">
        <v>928</v>
      </c>
      <c r="D564" s="1" t="s">
        <v>4188</v>
      </c>
      <c r="E564" s="1" t="s">
        <v>4216</v>
      </c>
      <c r="F564" s="3">
        <v>0</v>
      </c>
      <c r="G564" s="24" t="s">
        <v>3193</v>
      </c>
      <c r="I564" s="24" t="s">
        <v>2965</v>
      </c>
      <c r="J564" s="24" t="s">
        <v>2923</v>
      </c>
      <c r="K564" s="3">
        <v>30</v>
      </c>
      <c r="L564" s="3" t="s">
        <v>6745</v>
      </c>
      <c r="M564" s="3" t="str">
        <f>HYPERLINK("http://ictvonline.org/taxonomyHistory.asp?taxnode_id=20150645","ICTVonline=20150645")</f>
        <v>ICTVonline=20150645</v>
      </c>
    </row>
    <row r="565" spans="1:13" x14ac:dyDescent="0.15">
      <c r="A565" s="1" t="s">
        <v>1393</v>
      </c>
      <c r="B565" s="1" t="s">
        <v>928</v>
      </c>
      <c r="D565" s="1" t="s">
        <v>4188</v>
      </c>
      <c r="E565" s="1" t="s">
        <v>4217</v>
      </c>
      <c r="F565" s="3">
        <v>0</v>
      </c>
      <c r="G565" s="24" t="s">
        <v>3194</v>
      </c>
      <c r="I565" s="24" t="s">
        <v>2965</v>
      </c>
      <c r="J565" s="24" t="s">
        <v>2923</v>
      </c>
      <c r="K565" s="3">
        <v>30</v>
      </c>
      <c r="L565" s="3" t="s">
        <v>6745</v>
      </c>
      <c r="M565" s="3" t="str">
        <f>HYPERLINK("http://ictvonline.org/taxonomyHistory.asp?taxnode_id=20150646","ICTVonline=20150646")</f>
        <v>ICTVonline=20150646</v>
      </c>
    </row>
    <row r="566" spans="1:13" x14ac:dyDescent="0.15">
      <c r="A566" s="1" t="s">
        <v>1393</v>
      </c>
      <c r="B566" s="1" t="s">
        <v>928</v>
      </c>
      <c r="D566" s="1" t="s">
        <v>4188</v>
      </c>
      <c r="E566" s="1" t="s">
        <v>4218</v>
      </c>
      <c r="F566" s="3">
        <v>0</v>
      </c>
      <c r="G566" s="24" t="s">
        <v>3195</v>
      </c>
      <c r="I566" s="24" t="s">
        <v>2965</v>
      </c>
      <c r="J566" s="24" t="s">
        <v>2923</v>
      </c>
      <c r="K566" s="3">
        <v>30</v>
      </c>
      <c r="L566" s="3" t="s">
        <v>6745</v>
      </c>
      <c r="M566" s="3" t="str">
        <f>HYPERLINK("http://ictvonline.org/taxonomyHistory.asp?taxnode_id=20150647","ICTVonline=20150647")</f>
        <v>ICTVonline=20150647</v>
      </c>
    </row>
    <row r="567" spans="1:13" x14ac:dyDescent="0.15">
      <c r="A567" s="1" t="s">
        <v>1393</v>
      </c>
      <c r="B567" s="1" t="s">
        <v>928</v>
      </c>
      <c r="D567" s="1" t="s">
        <v>4188</v>
      </c>
      <c r="E567" s="1" t="s">
        <v>4219</v>
      </c>
      <c r="F567" s="3">
        <v>0</v>
      </c>
      <c r="G567" s="24" t="s">
        <v>3196</v>
      </c>
      <c r="I567" s="24" t="s">
        <v>2965</v>
      </c>
      <c r="J567" s="24" t="s">
        <v>2923</v>
      </c>
      <c r="K567" s="3">
        <v>30</v>
      </c>
      <c r="L567" s="3" t="s">
        <v>6745</v>
      </c>
      <c r="M567" s="3" t="str">
        <f>HYPERLINK("http://ictvonline.org/taxonomyHistory.asp?taxnode_id=20150648","ICTVonline=20150648")</f>
        <v>ICTVonline=20150648</v>
      </c>
    </row>
    <row r="568" spans="1:13" x14ac:dyDescent="0.15">
      <c r="A568" s="1" t="s">
        <v>1393</v>
      </c>
      <c r="B568" s="1" t="s">
        <v>928</v>
      </c>
      <c r="D568" s="1" t="s">
        <v>4220</v>
      </c>
      <c r="E568" s="1" t="s">
        <v>4221</v>
      </c>
      <c r="F568" s="3">
        <v>1</v>
      </c>
      <c r="G568" s="24" t="s">
        <v>3197</v>
      </c>
      <c r="I568" s="24" t="s">
        <v>2965</v>
      </c>
      <c r="J568" s="24" t="s">
        <v>2923</v>
      </c>
      <c r="K568" s="3">
        <v>30</v>
      </c>
      <c r="L568" s="3" t="s">
        <v>6745</v>
      </c>
      <c r="M568" s="3" t="str">
        <f>HYPERLINK("http://ictvonline.org/taxonomyHistory.asp?taxnode_id=20150650","ICTVonline=20150650")</f>
        <v>ICTVonline=20150650</v>
      </c>
    </row>
    <row r="569" spans="1:13" x14ac:dyDescent="0.15">
      <c r="A569" s="1" t="s">
        <v>1393</v>
      </c>
      <c r="B569" s="1" t="s">
        <v>928</v>
      </c>
      <c r="D569" s="1" t="s">
        <v>4220</v>
      </c>
      <c r="E569" s="1" t="s">
        <v>4222</v>
      </c>
      <c r="F569" s="3">
        <v>0</v>
      </c>
      <c r="G569" s="24" t="s">
        <v>3198</v>
      </c>
      <c r="I569" s="24" t="s">
        <v>2965</v>
      </c>
      <c r="J569" s="24" t="s">
        <v>2923</v>
      </c>
      <c r="K569" s="3">
        <v>30</v>
      </c>
      <c r="L569" s="3" t="s">
        <v>6745</v>
      </c>
      <c r="M569" s="3" t="str">
        <f>HYPERLINK("http://ictvonline.org/taxonomyHistory.asp?taxnode_id=20150651","ICTVonline=20150651")</f>
        <v>ICTVonline=20150651</v>
      </c>
    </row>
    <row r="570" spans="1:13" x14ac:dyDescent="0.15">
      <c r="A570" s="1" t="s">
        <v>1393</v>
      </c>
      <c r="B570" s="1" t="s">
        <v>928</v>
      </c>
      <c r="D570" s="1" t="s">
        <v>4220</v>
      </c>
      <c r="E570" s="1" t="s">
        <v>4223</v>
      </c>
      <c r="F570" s="3">
        <v>0</v>
      </c>
      <c r="G570" s="24" t="s">
        <v>3199</v>
      </c>
      <c r="I570" s="24" t="s">
        <v>2965</v>
      </c>
      <c r="J570" s="24" t="s">
        <v>2923</v>
      </c>
      <c r="K570" s="3">
        <v>30</v>
      </c>
      <c r="L570" s="3" t="s">
        <v>6745</v>
      </c>
      <c r="M570" s="3" t="str">
        <f>HYPERLINK("http://ictvonline.org/taxonomyHistory.asp?taxnode_id=20150652","ICTVonline=20150652")</f>
        <v>ICTVonline=20150652</v>
      </c>
    </row>
    <row r="571" spans="1:13" x14ac:dyDescent="0.15">
      <c r="A571" s="1" t="s">
        <v>1393</v>
      </c>
      <c r="B571" s="1" t="s">
        <v>928</v>
      </c>
      <c r="D571" s="1" t="s">
        <v>4224</v>
      </c>
      <c r="E571" s="1" t="s">
        <v>4225</v>
      </c>
      <c r="F571" s="3">
        <v>0</v>
      </c>
      <c r="G571" s="24" t="s">
        <v>3200</v>
      </c>
      <c r="I571" s="24" t="s">
        <v>2965</v>
      </c>
      <c r="J571" s="24" t="s">
        <v>2923</v>
      </c>
      <c r="K571" s="3">
        <v>30</v>
      </c>
      <c r="L571" s="3" t="s">
        <v>6745</v>
      </c>
      <c r="M571" s="3" t="str">
        <f>HYPERLINK("http://ictvonline.org/taxonomyHistory.asp?taxnode_id=20150654","ICTVonline=20150654")</f>
        <v>ICTVonline=20150654</v>
      </c>
    </row>
    <row r="572" spans="1:13" x14ac:dyDescent="0.15">
      <c r="A572" s="1" t="s">
        <v>1393</v>
      </c>
      <c r="B572" s="1" t="s">
        <v>928</v>
      </c>
      <c r="D572" s="1" t="s">
        <v>4224</v>
      </c>
      <c r="E572" s="1" t="s">
        <v>4226</v>
      </c>
      <c r="F572" s="3">
        <v>1</v>
      </c>
      <c r="G572" s="24" t="s">
        <v>3201</v>
      </c>
      <c r="I572" s="24" t="s">
        <v>2965</v>
      </c>
      <c r="J572" s="24" t="s">
        <v>2923</v>
      </c>
      <c r="K572" s="3">
        <v>30</v>
      </c>
      <c r="L572" s="3" t="s">
        <v>6745</v>
      </c>
      <c r="M572" s="3" t="str">
        <f>HYPERLINK("http://ictvonline.org/taxonomyHistory.asp?taxnode_id=20150655","ICTVonline=20150655")</f>
        <v>ICTVonline=20150655</v>
      </c>
    </row>
    <row r="573" spans="1:13" x14ac:dyDescent="0.15">
      <c r="A573" s="1" t="s">
        <v>1393</v>
      </c>
      <c r="B573" s="1" t="s">
        <v>928</v>
      </c>
      <c r="D573" s="1" t="s">
        <v>4224</v>
      </c>
      <c r="E573" s="1" t="s">
        <v>4227</v>
      </c>
      <c r="F573" s="3">
        <v>0</v>
      </c>
      <c r="G573" s="24" t="s">
        <v>3202</v>
      </c>
      <c r="I573" s="24" t="s">
        <v>2965</v>
      </c>
      <c r="J573" s="24" t="s">
        <v>2923</v>
      </c>
      <c r="K573" s="3">
        <v>30</v>
      </c>
      <c r="L573" s="3" t="s">
        <v>6745</v>
      </c>
      <c r="M573" s="3" t="str">
        <f>HYPERLINK("http://ictvonline.org/taxonomyHistory.asp?taxnode_id=20150656","ICTVonline=20150656")</f>
        <v>ICTVonline=20150656</v>
      </c>
    </row>
    <row r="574" spans="1:13" x14ac:dyDescent="0.15">
      <c r="A574" s="1" t="s">
        <v>1393</v>
      </c>
      <c r="B574" s="1" t="s">
        <v>928</v>
      </c>
      <c r="D574" s="1" t="s">
        <v>4228</v>
      </c>
      <c r="E574" s="1" t="s">
        <v>4229</v>
      </c>
      <c r="F574" s="3">
        <v>0</v>
      </c>
      <c r="G574" s="24" t="s">
        <v>7356</v>
      </c>
      <c r="H574" s="24" t="s">
        <v>4230</v>
      </c>
      <c r="I574" s="24" t="s">
        <v>2965</v>
      </c>
      <c r="J574" s="24" t="s">
        <v>2919</v>
      </c>
      <c r="K574" s="3">
        <v>30</v>
      </c>
      <c r="L574" s="3" t="s">
        <v>6789</v>
      </c>
      <c r="M574" s="3" t="str">
        <f>HYPERLINK("http://ictvonline.org/taxonomyHistory.asp?taxnode_id=20150795","ICTVonline=20150795")</f>
        <v>ICTVonline=20150795</v>
      </c>
    </row>
    <row r="575" spans="1:13" x14ac:dyDescent="0.15">
      <c r="A575" s="1" t="s">
        <v>1393</v>
      </c>
      <c r="B575" s="1" t="s">
        <v>928</v>
      </c>
      <c r="D575" s="1" t="s">
        <v>4228</v>
      </c>
      <c r="E575" s="1" t="s">
        <v>4231</v>
      </c>
      <c r="F575" s="3">
        <v>1</v>
      </c>
      <c r="G575" s="24" t="s">
        <v>7357</v>
      </c>
      <c r="H575" s="24" t="s">
        <v>4232</v>
      </c>
      <c r="I575" s="24" t="s">
        <v>2965</v>
      </c>
      <c r="J575" s="24" t="s">
        <v>2919</v>
      </c>
      <c r="K575" s="3">
        <v>30</v>
      </c>
      <c r="L575" s="3" t="s">
        <v>6789</v>
      </c>
      <c r="M575" s="3" t="str">
        <f>HYPERLINK("http://ictvonline.org/taxonomyHistory.asp?taxnode_id=20150794","ICTVonline=20150794")</f>
        <v>ICTVonline=20150794</v>
      </c>
    </row>
    <row r="576" spans="1:13" x14ac:dyDescent="0.15">
      <c r="A576" s="1" t="s">
        <v>1393</v>
      </c>
      <c r="B576" s="1" t="s">
        <v>928</v>
      </c>
      <c r="D576" s="1" t="s">
        <v>4233</v>
      </c>
      <c r="E576" s="1" t="s">
        <v>4234</v>
      </c>
      <c r="F576" s="3">
        <v>1</v>
      </c>
      <c r="I576" s="24" t="s">
        <v>2965</v>
      </c>
      <c r="J576" s="24" t="s">
        <v>2923</v>
      </c>
      <c r="K576" s="3">
        <v>30</v>
      </c>
      <c r="L576" s="3" t="s">
        <v>6745</v>
      </c>
      <c r="M576" s="3" t="str">
        <f>HYPERLINK("http://ictvonline.org/taxonomyHistory.asp?taxnode_id=20150658","ICTVonline=20150658")</f>
        <v>ICTVonline=20150658</v>
      </c>
    </row>
    <row r="577" spans="1:13" x14ac:dyDescent="0.15">
      <c r="A577" s="1" t="s">
        <v>1393</v>
      </c>
      <c r="B577" s="1" t="s">
        <v>928</v>
      </c>
      <c r="D577" s="1" t="s">
        <v>4235</v>
      </c>
      <c r="E577" s="1" t="s">
        <v>4236</v>
      </c>
      <c r="F577" s="3">
        <v>0</v>
      </c>
      <c r="G577" s="24" t="s">
        <v>3203</v>
      </c>
      <c r="I577" s="24" t="s">
        <v>2965</v>
      </c>
      <c r="J577" s="24" t="s">
        <v>2923</v>
      </c>
      <c r="K577" s="3">
        <v>30</v>
      </c>
      <c r="L577" s="3" t="s">
        <v>6745</v>
      </c>
      <c r="M577" s="3" t="str">
        <f>HYPERLINK("http://ictvonline.org/taxonomyHistory.asp?taxnode_id=20150660","ICTVonline=20150660")</f>
        <v>ICTVonline=20150660</v>
      </c>
    </row>
    <row r="578" spans="1:13" x14ac:dyDescent="0.15">
      <c r="A578" s="1" t="s">
        <v>1393</v>
      </c>
      <c r="B578" s="1" t="s">
        <v>928</v>
      </c>
      <c r="D578" s="1" t="s">
        <v>4235</v>
      </c>
      <c r="E578" s="1" t="s">
        <v>4237</v>
      </c>
      <c r="F578" s="3">
        <v>1</v>
      </c>
      <c r="G578" s="24" t="s">
        <v>3204</v>
      </c>
      <c r="I578" s="24" t="s">
        <v>2965</v>
      </c>
      <c r="J578" s="24" t="s">
        <v>2923</v>
      </c>
      <c r="K578" s="3">
        <v>30</v>
      </c>
      <c r="L578" s="3" t="s">
        <v>6745</v>
      </c>
      <c r="M578" s="3" t="str">
        <f>HYPERLINK("http://ictvonline.org/taxonomyHistory.asp?taxnode_id=20150661","ICTVonline=20150661")</f>
        <v>ICTVonline=20150661</v>
      </c>
    </row>
    <row r="579" spans="1:13" x14ac:dyDescent="0.15">
      <c r="A579" s="1" t="s">
        <v>1393</v>
      </c>
      <c r="B579" s="1" t="s">
        <v>928</v>
      </c>
      <c r="D579" s="1" t="s">
        <v>4238</v>
      </c>
      <c r="E579" s="1" t="s">
        <v>4239</v>
      </c>
      <c r="F579" s="3">
        <v>0</v>
      </c>
      <c r="G579" s="24" t="s">
        <v>3205</v>
      </c>
      <c r="I579" s="24" t="s">
        <v>2965</v>
      </c>
      <c r="J579" s="24" t="s">
        <v>2923</v>
      </c>
      <c r="K579" s="3">
        <v>30</v>
      </c>
      <c r="L579" s="3" t="s">
        <v>6745</v>
      </c>
      <c r="M579" s="3" t="str">
        <f>HYPERLINK("http://ictvonline.org/taxonomyHistory.asp?taxnode_id=20150663","ICTVonline=20150663")</f>
        <v>ICTVonline=20150663</v>
      </c>
    </row>
    <row r="580" spans="1:13" x14ac:dyDescent="0.15">
      <c r="A580" s="1" t="s">
        <v>1393</v>
      </c>
      <c r="B580" s="1" t="s">
        <v>928</v>
      </c>
      <c r="D580" s="1" t="s">
        <v>4238</v>
      </c>
      <c r="E580" s="1" t="s">
        <v>4240</v>
      </c>
      <c r="F580" s="3">
        <v>0</v>
      </c>
      <c r="G580" s="24" t="s">
        <v>3206</v>
      </c>
      <c r="I580" s="24" t="s">
        <v>2965</v>
      </c>
      <c r="J580" s="24" t="s">
        <v>2923</v>
      </c>
      <c r="K580" s="3">
        <v>30</v>
      </c>
      <c r="L580" s="3" t="s">
        <v>6745</v>
      </c>
      <c r="M580" s="3" t="str">
        <f>HYPERLINK("http://ictvonline.org/taxonomyHistory.asp?taxnode_id=20150664","ICTVonline=20150664")</f>
        <v>ICTVonline=20150664</v>
      </c>
    </row>
    <row r="581" spans="1:13" x14ac:dyDescent="0.15">
      <c r="A581" s="1" t="s">
        <v>1393</v>
      </c>
      <c r="B581" s="1" t="s">
        <v>928</v>
      </c>
      <c r="D581" s="1" t="s">
        <v>4238</v>
      </c>
      <c r="E581" s="1" t="s">
        <v>4241</v>
      </c>
      <c r="F581" s="3">
        <v>1</v>
      </c>
      <c r="G581" s="24" t="s">
        <v>3207</v>
      </c>
      <c r="I581" s="24" t="s">
        <v>2965</v>
      </c>
      <c r="J581" s="24" t="s">
        <v>2923</v>
      </c>
      <c r="K581" s="3">
        <v>30</v>
      </c>
      <c r="L581" s="3" t="s">
        <v>6745</v>
      </c>
      <c r="M581" s="3" t="str">
        <f>HYPERLINK("http://ictvonline.org/taxonomyHistory.asp?taxnode_id=20150665","ICTVonline=20150665")</f>
        <v>ICTVonline=20150665</v>
      </c>
    </row>
    <row r="582" spans="1:13" x14ac:dyDescent="0.15">
      <c r="A582" s="1" t="s">
        <v>1393</v>
      </c>
      <c r="B582" s="1" t="s">
        <v>928</v>
      </c>
      <c r="D582" s="1" t="s">
        <v>4238</v>
      </c>
      <c r="E582" s="1" t="s">
        <v>4242</v>
      </c>
      <c r="F582" s="3">
        <v>0</v>
      </c>
      <c r="G582" s="24" t="s">
        <v>3208</v>
      </c>
      <c r="I582" s="24" t="s">
        <v>2965</v>
      </c>
      <c r="J582" s="24" t="s">
        <v>2923</v>
      </c>
      <c r="K582" s="3">
        <v>30</v>
      </c>
      <c r="L582" s="3" t="s">
        <v>6745</v>
      </c>
      <c r="M582" s="3" t="str">
        <f>HYPERLINK("http://ictvonline.org/taxonomyHistory.asp?taxnode_id=20150666","ICTVonline=20150666")</f>
        <v>ICTVonline=20150666</v>
      </c>
    </row>
    <row r="583" spans="1:13" x14ac:dyDescent="0.15">
      <c r="A583" s="1" t="s">
        <v>1393</v>
      </c>
      <c r="B583" s="1" t="s">
        <v>928</v>
      </c>
      <c r="D583" s="1" t="s">
        <v>4238</v>
      </c>
      <c r="E583" s="1" t="s">
        <v>4243</v>
      </c>
      <c r="F583" s="3">
        <v>0</v>
      </c>
      <c r="G583" s="24" t="s">
        <v>3209</v>
      </c>
      <c r="I583" s="24" t="s">
        <v>2965</v>
      </c>
      <c r="J583" s="24" t="s">
        <v>2923</v>
      </c>
      <c r="K583" s="3">
        <v>30</v>
      </c>
      <c r="L583" s="3" t="s">
        <v>6745</v>
      </c>
      <c r="M583" s="3" t="str">
        <f>HYPERLINK("http://ictvonline.org/taxonomyHistory.asp?taxnode_id=20150667","ICTVonline=20150667")</f>
        <v>ICTVonline=20150667</v>
      </c>
    </row>
    <row r="584" spans="1:13" x14ac:dyDescent="0.15">
      <c r="A584" s="1" t="s">
        <v>1393</v>
      </c>
      <c r="B584" s="1" t="s">
        <v>928</v>
      </c>
      <c r="D584" s="1" t="s">
        <v>4244</v>
      </c>
      <c r="E584" s="1" t="s">
        <v>4245</v>
      </c>
      <c r="F584" s="3">
        <v>0</v>
      </c>
      <c r="G584" s="24" t="s">
        <v>7358</v>
      </c>
      <c r="H584" s="24" t="s">
        <v>4246</v>
      </c>
      <c r="I584" s="24" t="s">
        <v>2965</v>
      </c>
      <c r="J584" s="24" t="s">
        <v>2919</v>
      </c>
      <c r="K584" s="3">
        <v>30</v>
      </c>
      <c r="L584" s="3" t="s">
        <v>6790</v>
      </c>
      <c r="M584" s="3" t="str">
        <f>HYPERLINK("http://ictvonline.org/taxonomyHistory.asp?taxnode_id=20150753","ICTVonline=20150753")</f>
        <v>ICTVonline=20150753</v>
      </c>
    </row>
    <row r="585" spans="1:13" x14ac:dyDescent="0.15">
      <c r="A585" s="1" t="s">
        <v>1393</v>
      </c>
      <c r="B585" s="1" t="s">
        <v>928</v>
      </c>
      <c r="D585" s="1" t="s">
        <v>4244</v>
      </c>
      <c r="E585" s="1" t="s">
        <v>4247</v>
      </c>
      <c r="F585" s="3">
        <v>1</v>
      </c>
      <c r="G585" s="24" t="s">
        <v>7359</v>
      </c>
      <c r="H585" s="24" t="s">
        <v>4248</v>
      </c>
      <c r="I585" s="24" t="s">
        <v>2965</v>
      </c>
      <c r="J585" s="24" t="s">
        <v>2919</v>
      </c>
      <c r="K585" s="3">
        <v>30</v>
      </c>
      <c r="L585" s="3" t="s">
        <v>6790</v>
      </c>
      <c r="M585" s="3" t="str">
        <f>HYPERLINK("http://ictvonline.org/taxonomyHistory.asp?taxnode_id=20150750","ICTVonline=20150750")</f>
        <v>ICTVonline=20150750</v>
      </c>
    </row>
    <row r="586" spans="1:13" x14ac:dyDescent="0.15">
      <c r="A586" s="1" t="s">
        <v>1393</v>
      </c>
      <c r="B586" s="1" t="s">
        <v>928</v>
      </c>
      <c r="D586" s="1" t="s">
        <v>4244</v>
      </c>
      <c r="E586" s="1" t="s">
        <v>4249</v>
      </c>
      <c r="F586" s="3">
        <v>0</v>
      </c>
      <c r="G586" s="24" t="s">
        <v>7360</v>
      </c>
      <c r="H586" s="24" t="s">
        <v>4250</v>
      </c>
      <c r="I586" s="24" t="s">
        <v>2965</v>
      </c>
      <c r="J586" s="24" t="s">
        <v>2919</v>
      </c>
      <c r="K586" s="3">
        <v>30</v>
      </c>
      <c r="L586" s="3" t="s">
        <v>6790</v>
      </c>
      <c r="M586" s="3" t="str">
        <f>HYPERLINK("http://ictvonline.org/taxonomyHistory.asp?taxnode_id=20150752","ICTVonline=20150752")</f>
        <v>ICTVonline=20150752</v>
      </c>
    </row>
    <row r="587" spans="1:13" x14ac:dyDescent="0.15">
      <c r="A587" s="1" t="s">
        <v>1393</v>
      </c>
      <c r="B587" s="1" t="s">
        <v>928</v>
      </c>
      <c r="D587" s="1" t="s">
        <v>4244</v>
      </c>
      <c r="E587" s="1" t="s">
        <v>4251</v>
      </c>
      <c r="F587" s="3">
        <v>0</v>
      </c>
      <c r="G587" s="24" t="s">
        <v>7361</v>
      </c>
      <c r="H587" s="24" t="s">
        <v>4252</v>
      </c>
      <c r="I587" s="24" t="s">
        <v>2965</v>
      </c>
      <c r="J587" s="24" t="s">
        <v>2919</v>
      </c>
      <c r="K587" s="3">
        <v>30</v>
      </c>
      <c r="L587" s="3" t="s">
        <v>6790</v>
      </c>
      <c r="M587" s="3" t="str">
        <f>HYPERLINK("http://ictvonline.org/taxonomyHistory.asp?taxnode_id=20150751","ICTVonline=20150751")</f>
        <v>ICTVonline=20150751</v>
      </c>
    </row>
    <row r="588" spans="1:13" x14ac:dyDescent="0.15">
      <c r="A588" s="1" t="s">
        <v>1393</v>
      </c>
      <c r="B588" s="1" t="s">
        <v>928</v>
      </c>
      <c r="D588" s="1" t="s">
        <v>4253</v>
      </c>
      <c r="E588" s="1" t="s">
        <v>4254</v>
      </c>
      <c r="F588" s="3">
        <v>0</v>
      </c>
      <c r="G588" s="24" t="s">
        <v>7362</v>
      </c>
      <c r="H588" s="24" t="s">
        <v>4255</v>
      </c>
      <c r="I588" s="24" t="s">
        <v>2965</v>
      </c>
      <c r="J588" s="24" t="s">
        <v>2919</v>
      </c>
      <c r="K588" s="3">
        <v>30</v>
      </c>
      <c r="L588" s="3" t="s">
        <v>6791</v>
      </c>
      <c r="M588" s="3" t="str">
        <f>HYPERLINK("http://ictvonline.org/taxonomyHistory.asp?taxnode_id=20150756","ICTVonline=20150756")</f>
        <v>ICTVonline=20150756</v>
      </c>
    </row>
    <row r="589" spans="1:13" x14ac:dyDescent="0.15">
      <c r="A589" s="1" t="s">
        <v>1393</v>
      </c>
      <c r="B589" s="1" t="s">
        <v>928</v>
      </c>
      <c r="D589" s="1" t="s">
        <v>4253</v>
      </c>
      <c r="E589" s="1" t="s">
        <v>4256</v>
      </c>
      <c r="F589" s="3">
        <v>1</v>
      </c>
      <c r="G589" s="24" t="s">
        <v>7363</v>
      </c>
      <c r="H589" s="24" t="s">
        <v>4257</v>
      </c>
      <c r="I589" s="24" t="s">
        <v>2965</v>
      </c>
      <c r="J589" s="24" t="s">
        <v>2919</v>
      </c>
      <c r="K589" s="3">
        <v>30</v>
      </c>
      <c r="L589" s="3" t="s">
        <v>6791</v>
      </c>
      <c r="M589" s="3" t="str">
        <f>HYPERLINK("http://ictvonline.org/taxonomyHistory.asp?taxnode_id=20150755","ICTVonline=20150755")</f>
        <v>ICTVonline=20150755</v>
      </c>
    </row>
    <row r="590" spans="1:13" x14ac:dyDescent="0.15">
      <c r="A590" s="1" t="s">
        <v>1393</v>
      </c>
      <c r="B590" s="1" t="s">
        <v>928</v>
      </c>
      <c r="D590" s="1" t="s">
        <v>4258</v>
      </c>
      <c r="E590" s="1" t="s">
        <v>4259</v>
      </c>
      <c r="F590" s="3">
        <v>0</v>
      </c>
      <c r="G590" s="24" t="s">
        <v>7364</v>
      </c>
      <c r="H590" s="24" t="s">
        <v>4260</v>
      </c>
      <c r="I590" s="24" t="s">
        <v>2965</v>
      </c>
      <c r="J590" s="24" t="s">
        <v>2919</v>
      </c>
      <c r="K590" s="3">
        <v>30</v>
      </c>
      <c r="L590" s="3" t="s">
        <v>6792</v>
      </c>
      <c r="M590" s="3" t="str">
        <f>HYPERLINK("http://ictvonline.org/taxonomyHistory.asp?taxnode_id=20150792","ICTVonline=20150792")</f>
        <v>ICTVonline=20150792</v>
      </c>
    </row>
    <row r="591" spans="1:13" x14ac:dyDescent="0.15">
      <c r="A591" s="1" t="s">
        <v>1393</v>
      </c>
      <c r="B591" s="1" t="s">
        <v>928</v>
      </c>
      <c r="D591" s="1" t="s">
        <v>4258</v>
      </c>
      <c r="E591" s="1" t="s">
        <v>4261</v>
      </c>
      <c r="F591" s="3">
        <v>1</v>
      </c>
      <c r="G591" s="24" t="s">
        <v>7365</v>
      </c>
      <c r="H591" s="24" t="s">
        <v>4262</v>
      </c>
      <c r="I591" s="24" t="s">
        <v>2965</v>
      </c>
      <c r="J591" s="24" t="s">
        <v>2919</v>
      </c>
      <c r="K591" s="3">
        <v>30</v>
      </c>
      <c r="L591" s="3" t="s">
        <v>6792</v>
      </c>
      <c r="M591" s="3" t="str">
        <f>HYPERLINK("http://ictvonline.org/taxonomyHistory.asp?taxnode_id=20150791","ICTVonline=20150791")</f>
        <v>ICTVonline=20150791</v>
      </c>
    </row>
    <row r="592" spans="1:13" x14ac:dyDescent="0.15">
      <c r="A592" s="1" t="s">
        <v>1393</v>
      </c>
      <c r="B592" s="1" t="s">
        <v>928</v>
      </c>
      <c r="D592" s="1" t="s">
        <v>4263</v>
      </c>
      <c r="E592" s="1" t="s">
        <v>4264</v>
      </c>
      <c r="F592" s="3">
        <v>0</v>
      </c>
      <c r="G592" s="24" t="s">
        <v>3210</v>
      </c>
      <c r="I592" s="24" t="s">
        <v>2965</v>
      </c>
      <c r="J592" s="24" t="s">
        <v>2923</v>
      </c>
      <c r="K592" s="3">
        <v>30</v>
      </c>
      <c r="L592" s="3" t="s">
        <v>6745</v>
      </c>
      <c r="M592" s="3" t="str">
        <f>HYPERLINK("http://ictvonline.org/taxonomyHistory.asp?taxnode_id=20150669","ICTVonline=20150669")</f>
        <v>ICTVonline=20150669</v>
      </c>
    </row>
    <row r="593" spans="1:13" x14ac:dyDescent="0.15">
      <c r="A593" s="1" t="s">
        <v>1393</v>
      </c>
      <c r="B593" s="1" t="s">
        <v>928</v>
      </c>
      <c r="D593" s="1" t="s">
        <v>4263</v>
      </c>
      <c r="E593" s="1" t="s">
        <v>4265</v>
      </c>
      <c r="F593" s="3">
        <v>0</v>
      </c>
      <c r="G593" s="24" t="s">
        <v>3211</v>
      </c>
      <c r="I593" s="24" t="s">
        <v>2965</v>
      </c>
      <c r="J593" s="24" t="s">
        <v>2923</v>
      </c>
      <c r="K593" s="3">
        <v>30</v>
      </c>
      <c r="L593" s="3" t="s">
        <v>6745</v>
      </c>
      <c r="M593" s="3" t="str">
        <f>HYPERLINK("http://ictvonline.org/taxonomyHistory.asp?taxnode_id=20150670","ICTVonline=20150670")</f>
        <v>ICTVonline=20150670</v>
      </c>
    </row>
    <row r="594" spans="1:13" x14ac:dyDescent="0.15">
      <c r="A594" s="1" t="s">
        <v>1393</v>
      </c>
      <c r="B594" s="1" t="s">
        <v>928</v>
      </c>
      <c r="D594" s="1" t="s">
        <v>4263</v>
      </c>
      <c r="E594" s="1" t="s">
        <v>4266</v>
      </c>
      <c r="F594" s="3">
        <v>0</v>
      </c>
      <c r="G594" s="24" t="s">
        <v>3212</v>
      </c>
      <c r="I594" s="24" t="s">
        <v>2965</v>
      </c>
      <c r="J594" s="24" t="s">
        <v>2923</v>
      </c>
      <c r="K594" s="3">
        <v>30</v>
      </c>
      <c r="L594" s="3" t="s">
        <v>6745</v>
      </c>
      <c r="M594" s="3" t="str">
        <f>HYPERLINK("http://ictvonline.org/taxonomyHistory.asp?taxnode_id=20150671","ICTVonline=20150671")</f>
        <v>ICTVonline=20150671</v>
      </c>
    </row>
    <row r="595" spans="1:13" x14ac:dyDescent="0.15">
      <c r="A595" s="1" t="s">
        <v>1393</v>
      </c>
      <c r="B595" s="1" t="s">
        <v>928</v>
      </c>
      <c r="D595" s="1" t="s">
        <v>4263</v>
      </c>
      <c r="E595" s="1" t="s">
        <v>4267</v>
      </c>
      <c r="F595" s="3">
        <v>0</v>
      </c>
      <c r="G595" s="24" t="s">
        <v>3213</v>
      </c>
      <c r="I595" s="24" t="s">
        <v>2965</v>
      </c>
      <c r="J595" s="24" t="s">
        <v>2923</v>
      </c>
      <c r="K595" s="3">
        <v>30</v>
      </c>
      <c r="L595" s="3" t="s">
        <v>6745</v>
      </c>
      <c r="M595" s="3" t="str">
        <f>HYPERLINK("http://ictvonline.org/taxonomyHistory.asp?taxnode_id=20150672","ICTVonline=20150672")</f>
        <v>ICTVonline=20150672</v>
      </c>
    </row>
    <row r="596" spans="1:13" x14ac:dyDescent="0.15">
      <c r="A596" s="1" t="s">
        <v>1393</v>
      </c>
      <c r="B596" s="1" t="s">
        <v>928</v>
      </c>
      <c r="D596" s="1" t="s">
        <v>4263</v>
      </c>
      <c r="E596" s="1" t="s">
        <v>4268</v>
      </c>
      <c r="F596" s="3">
        <v>1</v>
      </c>
      <c r="G596" s="24" t="s">
        <v>3214</v>
      </c>
      <c r="I596" s="24" t="s">
        <v>2965</v>
      </c>
      <c r="J596" s="24" t="s">
        <v>2923</v>
      </c>
      <c r="K596" s="3">
        <v>30</v>
      </c>
      <c r="L596" s="3" t="s">
        <v>6745</v>
      </c>
      <c r="M596" s="3" t="str">
        <f>HYPERLINK("http://ictvonline.org/taxonomyHistory.asp?taxnode_id=20150673","ICTVonline=20150673")</f>
        <v>ICTVonline=20150673</v>
      </c>
    </row>
    <row r="597" spans="1:13" x14ac:dyDescent="0.15">
      <c r="A597" s="1" t="s">
        <v>1393</v>
      </c>
      <c r="B597" s="1" t="s">
        <v>928</v>
      </c>
      <c r="D597" s="1" t="s">
        <v>4269</v>
      </c>
      <c r="E597" s="1" t="s">
        <v>4270</v>
      </c>
      <c r="F597" s="3">
        <v>0</v>
      </c>
      <c r="G597" s="24" t="s">
        <v>3215</v>
      </c>
      <c r="I597" s="24" t="s">
        <v>2965</v>
      </c>
      <c r="J597" s="24" t="s">
        <v>2923</v>
      </c>
      <c r="K597" s="3">
        <v>30</v>
      </c>
      <c r="L597" s="3" t="s">
        <v>6745</v>
      </c>
      <c r="M597" s="3" t="str">
        <f>HYPERLINK("http://ictvonline.org/taxonomyHistory.asp?taxnode_id=20150675","ICTVonline=20150675")</f>
        <v>ICTVonline=20150675</v>
      </c>
    </row>
    <row r="598" spans="1:13" x14ac:dyDescent="0.15">
      <c r="A598" s="1" t="s">
        <v>1393</v>
      </c>
      <c r="B598" s="1" t="s">
        <v>928</v>
      </c>
      <c r="D598" s="1" t="s">
        <v>4269</v>
      </c>
      <c r="E598" s="1" t="s">
        <v>4271</v>
      </c>
      <c r="F598" s="3">
        <v>1</v>
      </c>
      <c r="G598" s="24" t="s">
        <v>3217</v>
      </c>
      <c r="I598" s="24" t="s">
        <v>2965</v>
      </c>
      <c r="J598" s="24" t="s">
        <v>2923</v>
      </c>
      <c r="K598" s="3">
        <v>30</v>
      </c>
      <c r="L598" s="3" t="s">
        <v>6745</v>
      </c>
      <c r="M598" s="3" t="str">
        <f>HYPERLINK("http://ictvonline.org/taxonomyHistory.asp?taxnode_id=20150677","ICTVonline=20150677")</f>
        <v>ICTVonline=20150677</v>
      </c>
    </row>
    <row r="599" spans="1:13" x14ac:dyDescent="0.15">
      <c r="A599" s="1" t="s">
        <v>1393</v>
      </c>
      <c r="B599" s="1" t="s">
        <v>928</v>
      </c>
      <c r="D599" s="1" t="s">
        <v>4269</v>
      </c>
      <c r="E599" s="1" t="s">
        <v>4272</v>
      </c>
      <c r="F599" s="3">
        <v>0</v>
      </c>
      <c r="G599" s="24" t="s">
        <v>3216</v>
      </c>
      <c r="I599" s="24" t="s">
        <v>2965</v>
      </c>
      <c r="J599" s="24" t="s">
        <v>2923</v>
      </c>
      <c r="K599" s="3">
        <v>30</v>
      </c>
      <c r="L599" s="3" t="s">
        <v>6745</v>
      </c>
      <c r="M599" s="3" t="str">
        <f>HYPERLINK("http://ictvonline.org/taxonomyHistory.asp?taxnode_id=20150676","ICTVonline=20150676")</f>
        <v>ICTVonline=20150676</v>
      </c>
    </row>
    <row r="600" spans="1:13" x14ac:dyDescent="0.15">
      <c r="A600" s="1" t="s">
        <v>1393</v>
      </c>
      <c r="B600" s="1" t="s">
        <v>928</v>
      </c>
      <c r="D600" s="1" t="s">
        <v>4269</v>
      </c>
      <c r="E600" s="1" t="s">
        <v>4273</v>
      </c>
      <c r="F600" s="3">
        <v>0</v>
      </c>
      <c r="G600" s="24" t="s">
        <v>3218</v>
      </c>
      <c r="I600" s="24" t="s">
        <v>2965</v>
      </c>
      <c r="J600" s="24" t="s">
        <v>2923</v>
      </c>
      <c r="K600" s="3">
        <v>30</v>
      </c>
      <c r="L600" s="3" t="s">
        <v>6745</v>
      </c>
      <c r="M600" s="3" t="str">
        <f>HYPERLINK("http://ictvonline.org/taxonomyHistory.asp?taxnode_id=20150678","ICTVonline=20150678")</f>
        <v>ICTVonline=20150678</v>
      </c>
    </row>
    <row r="601" spans="1:13" x14ac:dyDescent="0.15">
      <c r="A601" s="1" t="s">
        <v>1393</v>
      </c>
      <c r="B601" s="1" t="s">
        <v>928</v>
      </c>
      <c r="D601" s="1" t="s">
        <v>4269</v>
      </c>
      <c r="E601" s="1" t="s">
        <v>4274</v>
      </c>
      <c r="F601" s="3">
        <v>0</v>
      </c>
      <c r="G601" s="24" t="s">
        <v>3219</v>
      </c>
      <c r="I601" s="24" t="s">
        <v>2965</v>
      </c>
      <c r="J601" s="24" t="s">
        <v>2923</v>
      </c>
      <c r="K601" s="3">
        <v>30</v>
      </c>
      <c r="L601" s="3" t="s">
        <v>6745</v>
      </c>
      <c r="M601" s="3" t="str">
        <f>HYPERLINK("http://ictvonline.org/taxonomyHistory.asp?taxnode_id=20150679","ICTVonline=20150679")</f>
        <v>ICTVonline=20150679</v>
      </c>
    </row>
    <row r="602" spans="1:13" x14ac:dyDescent="0.15">
      <c r="A602" s="1" t="s">
        <v>1393</v>
      </c>
      <c r="B602" s="1" t="s">
        <v>928</v>
      </c>
      <c r="D602" s="1" t="s">
        <v>4275</v>
      </c>
      <c r="E602" s="1" t="s">
        <v>4276</v>
      </c>
      <c r="F602" s="3">
        <v>1</v>
      </c>
      <c r="G602" s="24" t="s">
        <v>7366</v>
      </c>
      <c r="H602" s="24" t="s">
        <v>4277</v>
      </c>
      <c r="I602" s="24" t="s">
        <v>2965</v>
      </c>
      <c r="J602" s="24" t="s">
        <v>2919</v>
      </c>
      <c r="K602" s="3">
        <v>30</v>
      </c>
      <c r="L602" s="3" t="s">
        <v>6793</v>
      </c>
      <c r="M602" s="3" t="str">
        <f>HYPERLINK("http://ictvonline.org/taxonomyHistory.asp?taxnode_id=20150785","ICTVonline=20150785")</f>
        <v>ICTVonline=20150785</v>
      </c>
    </row>
    <row r="603" spans="1:13" x14ac:dyDescent="0.15">
      <c r="A603" s="1" t="s">
        <v>1393</v>
      </c>
      <c r="B603" s="1" t="s">
        <v>928</v>
      </c>
      <c r="D603" s="1" t="s">
        <v>4275</v>
      </c>
      <c r="E603" s="1" t="s">
        <v>4278</v>
      </c>
      <c r="F603" s="3">
        <v>0</v>
      </c>
      <c r="G603" s="24" t="s">
        <v>7367</v>
      </c>
      <c r="H603" s="24" t="s">
        <v>4279</v>
      </c>
      <c r="I603" s="24" t="s">
        <v>2965</v>
      </c>
      <c r="J603" s="24" t="s">
        <v>2919</v>
      </c>
      <c r="K603" s="3">
        <v>30</v>
      </c>
      <c r="L603" s="3" t="s">
        <v>6793</v>
      </c>
      <c r="M603" s="3" t="str">
        <f>HYPERLINK("http://ictvonline.org/taxonomyHistory.asp?taxnode_id=20150789","ICTVonline=20150789")</f>
        <v>ICTVonline=20150789</v>
      </c>
    </row>
    <row r="604" spans="1:13" x14ac:dyDescent="0.15">
      <c r="A604" s="1" t="s">
        <v>1393</v>
      </c>
      <c r="B604" s="1" t="s">
        <v>928</v>
      </c>
      <c r="D604" s="1" t="s">
        <v>4275</v>
      </c>
      <c r="E604" s="1" t="s">
        <v>4280</v>
      </c>
      <c r="F604" s="3">
        <v>0</v>
      </c>
      <c r="G604" s="24" t="s">
        <v>7368</v>
      </c>
      <c r="H604" s="24" t="s">
        <v>4281</v>
      </c>
      <c r="I604" s="24" t="s">
        <v>2965</v>
      </c>
      <c r="J604" s="24" t="s">
        <v>2919</v>
      </c>
      <c r="K604" s="3">
        <v>30</v>
      </c>
      <c r="L604" s="3" t="s">
        <v>6793</v>
      </c>
      <c r="M604" s="3" t="str">
        <f>HYPERLINK("http://ictvonline.org/taxonomyHistory.asp?taxnode_id=20150788","ICTVonline=20150788")</f>
        <v>ICTVonline=20150788</v>
      </c>
    </row>
    <row r="605" spans="1:13" x14ac:dyDescent="0.15">
      <c r="A605" s="1" t="s">
        <v>1393</v>
      </c>
      <c r="B605" s="1" t="s">
        <v>928</v>
      </c>
      <c r="D605" s="1" t="s">
        <v>4275</v>
      </c>
      <c r="E605" s="1" t="s">
        <v>4282</v>
      </c>
      <c r="F605" s="3">
        <v>0</v>
      </c>
      <c r="G605" s="24" t="s">
        <v>7369</v>
      </c>
      <c r="H605" s="24" t="s">
        <v>4283</v>
      </c>
      <c r="I605" s="24" t="s">
        <v>2965</v>
      </c>
      <c r="J605" s="24" t="s">
        <v>2919</v>
      </c>
      <c r="K605" s="3">
        <v>30</v>
      </c>
      <c r="L605" s="3" t="s">
        <v>6793</v>
      </c>
      <c r="M605" s="3" t="str">
        <f>HYPERLINK("http://ictvonline.org/taxonomyHistory.asp?taxnode_id=20150786","ICTVonline=20150786")</f>
        <v>ICTVonline=20150786</v>
      </c>
    </row>
    <row r="606" spans="1:13" x14ac:dyDescent="0.15">
      <c r="A606" s="1" t="s">
        <v>1393</v>
      </c>
      <c r="B606" s="1" t="s">
        <v>928</v>
      </c>
      <c r="D606" s="1" t="s">
        <v>4275</v>
      </c>
      <c r="E606" s="1" t="s">
        <v>4284</v>
      </c>
      <c r="F606" s="3">
        <v>0</v>
      </c>
      <c r="G606" s="24" t="s">
        <v>7370</v>
      </c>
      <c r="H606" s="24" t="s">
        <v>4285</v>
      </c>
      <c r="I606" s="24" t="s">
        <v>2965</v>
      </c>
      <c r="J606" s="24" t="s">
        <v>2919</v>
      </c>
      <c r="K606" s="3">
        <v>30</v>
      </c>
      <c r="L606" s="3" t="s">
        <v>6793</v>
      </c>
      <c r="M606" s="3" t="str">
        <f>HYPERLINK("http://ictvonline.org/taxonomyHistory.asp?taxnode_id=20150787","ICTVonline=20150787")</f>
        <v>ICTVonline=20150787</v>
      </c>
    </row>
    <row r="607" spans="1:13" x14ac:dyDescent="0.15">
      <c r="A607" s="1" t="s">
        <v>1393</v>
      </c>
      <c r="B607" s="1" t="s">
        <v>928</v>
      </c>
      <c r="D607" s="1" t="s">
        <v>4286</v>
      </c>
      <c r="E607" s="1" t="s">
        <v>4287</v>
      </c>
      <c r="F607" s="3">
        <v>0</v>
      </c>
      <c r="G607" s="24" t="s">
        <v>3220</v>
      </c>
      <c r="I607" s="24" t="s">
        <v>2965</v>
      </c>
      <c r="J607" s="24" t="s">
        <v>2923</v>
      </c>
      <c r="K607" s="3">
        <v>30</v>
      </c>
      <c r="L607" s="3" t="s">
        <v>6745</v>
      </c>
      <c r="M607" s="3" t="str">
        <f>HYPERLINK("http://ictvonline.org/taxonomyHistory.asp?taxnode_id=20150681","ICTVonline=20150681")</f>
        <v>ICTVonline=20150681</v>
      </c>
    </row>
    <row r="608" spans="1:13" x14ac:dyDescent="0.15">
      <c r="A608" s="1" t="s">
        <v>1393</v>
      </c>
      <c r="B608" s="1" t="s">
        <v>928</v>
      </c>
      <c r="D608" s="1" t="s">
        <v>4286</v>
      </c>
      <c r="E608" s="1" t="s">
        <v>4288</v>
      </c>
      <c r="F608" s="3">
        <v>0</v>
      </c>
      <c r="G608" s="24" t="s">
        <v>3221</v>
      </c>
      <c r="I608" s="24" t="s">
        <v>2965</v>
      </c>
      <c r="J608" s="24" t="s">
        <v>2923</v>
      </c>
      <c r="K608" s="3">
        <v>30</v>
      </c>
      <c r="L608" s="3" t="s">
        <v>6745</v>
      </c>
      <c r="M608" s="3" t="str">
        <f>HYPERLINK("http://ictvonline.org/taxonomyHistory.asp?taxnode_id=20150682","ICTVonline=20150682")</f>
        <v>ICTVonline=20150682</v>
      </c>
    </row>
    <row r="609" spans="1:13" x14ac:dyDescent="0.15">
      <c r="A609" s="1" t="s">
        <v>1393</v>
      </c>
      <c r="B609" s="1" t="s">
        <v>928</v>
      </c>
      <c r="D609" s="1" t="s">
        <v>4286</v>
      </c>
      <c r="E609" s="1" t="s">
        <v>4289</v>
      </c>
      <c r="F609" s="3">
        <v>0</v>
      </c>
      <c r="G609" s="24" t="s">
        <v>3222</v>
      </c>
      <c r="I609" s="24" t="s">
        <v>2965</v>
      </c>
      <c r="J609" s="24" t="s">
        <v>2923</v>
      </c>
      <c r="K609" s="3">
        <v>30</v>
      </c>
      <c r="L609" s="3" t="s">
        <v>6745</v>
      </c>
      <c r="M609" s="3" t="str">
        <f>HYPERLINK("http://ictvonline.org/taxonomyHistory.asp?taxnode_id=20150683","ICTVonline=20150683")</f>
        <v>ICTVonline=20150683</v>
      </c>
    </row>
    <row r="610" spans="1:13" x14ac:dyDescent="0.15">
      <c r="A610" s="1" t="s">
        <v>1393</v>
      </c>
      <c r="B610" s="1" t="s">
        <v>928</v>
      </c>
      <c r="D610" s="1" t="s">
        <v>4286</v>
      </c>
      <c r="E610" s="1" t="s">
        <v>4290</v>
      </c>
      <c r="F610" s="3">
        <v>0</v>
      </c>
      <c r="G610" s="24" t="s">
        <v>3223</v>
      </c>
      <c r="I610" s="24" t="s">
        <v>2965</v>
      </c>
      <c r="J610" s="24" t="s">
        <v>2923</v>
      </c>
      <c r="K610" s="3">
        <v>30</v>
      </c>
      <c r="L610" s="3" t="s">
        <v>6745</v>
      </c>
      <c r="M610" s="3" t="str">
        <f>HYPERLINK("http://ictvonline.org/taxonomyHistory.asp?taxnode_id=20150684","ICTVonline=20150684")</f>
        <v>ICTVonline=20150684</v>
      </c>
    </row>
    <row r="611" spans="1:13" x14ac:dyDescent="0.15">
      <c r="A611" s="1" t="s">
        <v>1393</v>
      </c>
      <c r="B611" s="1" t="s">
        <v>928</v>
      </c>
      <c r="D611" s="1" t="s">
        <v>4286</v>
      </c>
      <c r="E611" s="1" t="s">
        <v>4291</v>
      </c>
      <c r="F611" s="3">
        <v>0</v>
      </c>
      <c r="G611" s="24" t="s">
        <v>3224</v>
      </c>
      <c r="I611" s="24" t="s">
        <v>2965</v>
      </c>
      <c r="J611" s="24" t="s">
        <v>2923</v>
      </c>
      <c r="K611" s="3">
        <v>30</v>
      </c>
      <c r="L611" s="3" t="s">
        <v>6745</v>
      </c>
      <c r="M611" s="3" t="str">
        <f>HYPERLINK("http://ictvonline.org/taxonomyHistory.asp?taxnode_id=20150685","ICTVonline=20150685")</f>
        <v>ICTVonline=20150685</v>
      </c>
    </row>
    <row r="612" spans="1:13" x14ac:dyDescent="0.15">
      <c r="A612" s="1" t="s">
        <v>1393</v>
      </c>
      <c r="B612" s="1" t="s">
        <v>928</v>
      </c>
      <c r="D612" s="1" t="s">
        <v>4286</v>
      </c>
      <c r="E612" s="1" t="s">
        <v>4292</v>
      </c>
      <c r="F612" s="3">
        <v>0</v>
      </c>
      <c r="G612" s="24" t="s">
        <v>3225</v>
      </c>
      <c r="I612" s="24" t="s">
        <v>2965</v>
      </c>
      <c r="J612" s="24" t="s">
        <v>2923</v>
      </c>
      <c r="K612" s="3">
        <v>30</v>
      </c>
      <c r="L612" s="3" t="s">
        <v>6745</v>
      </c>
      <c r="M612" s="3" t="str">
        <f>HYPERLINK("http://ictvonline.org/taxonomyHistory.asp?taxnode_id=20150686","ICTVonline=20150686")</f>
        <v>ICTVonline=20150686</v>
      </c>
    </row>
    <row r="613" spans="1:13" x14ac:dyDescent="0.15">
      <c r="A613" s="1" t="s">
        <v>1393</v>
      </c>
      <c r="B613" s="1" t="s">
        <v>928</v>
      </c>
      <c r="D613" s="1" t="s">
        <v>4286</v>
      </c>
      <c r="E613" s="1" t="s">
        <v>4293</v>
      </c>
      <c r="F613" s="3">
        <v>0</v>
      </c>
      <c r="G613" s="24" t="s">
        <v>3226</v>
      </c>
      <c r="I613" s="24" t="s">
        <v>2965</v>
      </c>
      <c r="J613" s="24" t="s">
        <v>2923</v>
      </c>
      <c r="K613" s="3">
        <v>30</v>
      </c>
      <c r="L613" s="3" t="s">
        <v>6745</v>
      </c>
      <c r="M613" s="3" t="str">
        <f>HYPERLINK("http://ictvonline.org/taxonomyHistory.asp?taxnode_id=20150687","ICTVonline=20150687")</f>
        <v>ICTVonline=20150687</v>
      </c>
    </row>
    <row r="614" spans="1:13" x14ac:dyDescent="0.15">
      <c r="A614" s="1" t="s">
        <v>1393</v>
      </c>
      <c r="B614" s="1" t="s">
        <v>928</v>
      </c>
      <c r="D614" s="1" t="s">
        <v>4286</v>
      </c>
      <c r="E614" s="1" t="s">
        <v>4294</v>
      </c>
      <c r="F614" s="3">
        <v>0</v>
      </c>
      <c r="G614" s="24" t="s">
        <v>3227</v>
      </c>
      <c r="I614" s="24" t="s">
        <v>2965</v>
      </c>
      <c r="J614" s="24" t="s">
        <v>2923</v>
      </c>
      <c r="K614" s="3">
        <v>30</v>
      </c>
      <c r="L614" s="3" t="s">
        <v>6745</v>
      </c>
      <c r="M614" s="3" t="str">
        <f>HYPERLINK("http://ictvonline.org/taxonomyHistory.asp?taxnode_id=20150688","ICTVonline=20150688")</f>
        <v>ICTVonline=20150688</v>
      </c>
    </row>
    <row r="615" spans="1:13" x14ac:dyDescent="0.15">
      <c r="A615" s="1" t="s">
        <v>1393</v>
      </c>
      <c r="B615" s="1" t="s">
        <v>928</v>
      </c>
      <c r="D615" s="1" t="s">
        <v>4286</v>
      </c>
      <c r="E615" s="1" t="s">
        <v>4295</v>
      </c>
      <c r="F615" s="3">
        <v>0</v>
      </c>
      <c r="G615" s="24" t="s">
        <v>3228</v>
      </c>
      <c r="I615" s="24" t="s">
        <v>2965</v>
      </c>
      <c r="J615" s="24" t="s">
        <v>2923</v>
      </c>
      <c r="K615" s="3">
        <v>30</v>
      </c>
      <c r="L615" s="3" t="s">
        <v>6745</v>
      </c>
      <c r="M615" s="3" t="str">
        <f>HYPERLINK("http://ictvonline.org/taxonomyHistory.asp?taxnode_id=20150689","ICTVonline=20150689")</f>
        <v>ICTVonline=20150689</v>
      </c>
    </row>
    <row r="616" spans="1:13" x14ac:dyDescent="0.15">
      <c r="A616" s="1" t="s">
        <v>1393</v>
      </c>
      <c r="B616" s="1" t="s">
        <v>928</v>
      </c>
      <c r="D616" s="1" t="s">
        <v>4286</v>
      </c>
      <c r="E616" s="1" t="s">
        <v>4296</v>
      </c>
      <c r="F616" s="3">
        <v>0</v>
      </c>
      <c r="G616" s="24" t="s">
        <v>3229</v>
      </c>
      <c r="I616" s="24" t="s">
        <v>2965</v>
      </c>
      <c r="J616" s="24" t="s">
        <v>2923</v>
      </c>
      <c r="K616" s="3">
        <v>30</v>
      </c>
      <c r="L616" s="3" t="s">
        <v>6745</v>
      </c>
      <c r="M616" s="3" t="str">
        <f>HYPERLINK("http://ictvonline.org/taxonomyHistory.asp?taxnode_id=20150690","ICTVonline=20150690")</f>
        <v>ICTVonline=20150690</v>
      </c>
    </row>
    <row r="617" spans="1:13" x14ac:dyDescent="0.15">
      <c r="A617" s="1" t="s">
        <v>1393</v>
      </c>
      <c r="B617" s="1" t="s">
        <v>928</v>
      </c>
      <c r="D617" s="1" t="s">
        <v>4286</v>
      </c>
      <c r="E617" s="1" t="s">
        <v>4297</v>
      </c>
      <c r="F617" s="3">
        <v>0</v>
      </c>
      <c r="G617" s="24" t="s">
        <v>3230</v>
      </c>
      <c r="I617" s="24" t="s">
        <v>2965</v>
      </c>
      <c r="J617" s="24" t="s">
        <v>2923</v>
      </c>
      <c r="K617" s="3">
        <v>30</v>
      </c>
      <c r="L617" s="3" t="s">
        <v>6745</v>
      </c>
      <c r="M617" s="3" t="str">
        <f>HYPERLINK("http://ictvonline.org/taxonomyHistory.asp?taxnode_id=20150691","ICTVonline=20150691")</f>
        <v>ICTVonline=20150691</v>
      </c>
    </row>
    <row r="618" spans="1:13" x14ac:dyDescent="0.15">
      <c r="A618" s="1" t="s">
        <v>1393</v>
      </c>
      <c r="B618" s="1" t="s">
        <v>928</v>
      </c>
      <c r="D618" s="1" t="s">
        <v>4286</v>
      </c>
      <c r="E618" s="1" t="s">
        <v>4298</v>
      </c>
      <c r="F618" s="3">
        <v>0</v>
      </c>
      <c r="G618" s="24" t="s">
        <v>3231</v>
      </c>
      <c r="I618" s="24" t="s">
        <v>2965</v>
      </c>
      <c r="J618" s="24" t="s">
        <v>2923</v>
      </c>
      <c r="K618" s="3">
        <v>30</v>
      </c>
      <c r="L618" s="3" t="s">
        <v>6745</v>
      </c>
      <c r="M618" s="3" t="str">
        <f>HYPERLINK("http://ictvonline.org/taxonomyHistory.asp?taxnode_id=20150692","ICTVonline=20150692")</f>
        <v>ICTVonline=20150692</v>
      </c>
    </row>
    <row r="619" spans="1:13" x14ac:dyDescent="0.15">
      <c r="A619" s="1" t="s">
        <v>1393</v>
      </c>
      <c r="B619" s="1" t="s">
        <v>928</v>
      </c>
      <c r="D619" s="1" t="s">
        <v>4286</v>
      </c>
      <c r="E619" s="1" t="s">
        <v>4299</v>
      </c>
      <c r="F619" s="3">
        <v>0</v>
      </c>
      <c r="G619" s="24" t="s">
        <v>3232</v>
      </c>
      <c r="I619" s="24" t="s">
        <v>2965</v>
      </c>
      <c r="J619" s="24" t="s">
        <v>2923</v>
      </c>
      <c r="K619" s="3">
        <v>30</v>
      </c>
      <c r="L619" s="3" t="s">
        <v>6745</v>
      </c>
      <c r="M619" s="3" t="str">
        <f>HYPERLINK("http://ictvonline.org/taxonomyHistory.asp?taxnode_id=20150693","ICTVonline=20150693")</f>
        <v>ICTVonline=20150693</v>
      </c>
    </row>
    <row r="620" spans="1:13" s="26" customFormat="1" x14ac:dyDescent="0.15">
      <c r="A620" s="1" t="s">
        <v>1393</v>
      </c>
      <c r="B620" s="1" t="s">
        <v>928</v>
      </c>
      <c r="C620" s="1"/>
      <c r="D620" s="1" t="s">
        <v>4286</v>
      </c>
      <c r="E620" s="1" t="s">
        <v>4300</v>
      </c>
      <c r="F620" s="3">
        <v>0</v>
      </c>
      <c r="G620" s="24" t="s">
        <v>3233</v>
      </c>
      <c r="H620" s="24"/>
      <c r="I620" s="24" t="s">
        <v>2965</v>
      </c>
      <c r="J620" s="24" t="s">
        <v>2923</v>
      </c>
      <c r="K620" s="3">
        <v>30</v>
      </c>
      <c r="L620" s="3" t="s">
        <v>6745</v>
      </c>
      <c r="M620" s="3" t="str">
        <f>HYPERLINK("http://ictvonline.org/taxonomyHistory.asp?taxnode_id=20150694","ICTVonline=20150694")</f>
        <v>ICTVonline=20150694</v>
      </c>
    </row>
    <row r="621" spans="1:13" x14ac:dyDescent="0.15">
      <c r="A621" s="1" t="s">
        <v>1393</v>
      </c>
      <c r="B621" s="1" t="s">
        <v>928</v>
      </c>
      <c r="D621" s="1" t="s">
        <v>4286</v>
      </c>
      <c r="E621" s="1" t="s">
        <v>4301</v>
      </c>
      <c r="F621" s="3">
        <v>0</v>
      </c>
      <c r="G621" s="24" t="s">
        <v>3234</v>
      </c>
      <c r="I621" s="24" t="s">
        <v>2965</v>
      </c>
      <c r="J621" s="24" t="s">
        <v>2923</v>
      </c>
      <c r="K621" s="3">
        <v>30</v>
      </c>
      <c r="L621" s="3" t="s">
        <v>6745</v>
      </c>
      <c r="M621" s="3" t="str">
        <f>HYPERLINK("http://ictvonline.org/taxonomyHistory.asp?taxnode_id=20150695","ICTVonline=20150695")</f>
        <v>ICTVonline=20150695</v>
      </c>
    </row>
    <row r="622" spans="1:13" x14ac:dyDescent="0.15">
      <c r="A622" s="1" t="s">
        <v>1393</v>
      </c>
      <c r="B622" s="1" t="s">
        <v>928</v>
      </c>
      <c r="D622" s="1" t="s">
        <v>4286</v>
      </c>
      <c r="E622" s="1" t="s">
        <v>4302</v>
      </c>
      <c r="F622" s="3">
        <v>1</v>
      </c>
      <c r="G622" s="24" t="s">
        <v>3235</v>
      </c>
      <c r="I622" s="24" t="s">
        <v>2965</v>
      </c>
      <c r="J622" s="24" t="s">
        <v>2923</v>
      </c>
      <c r="K622" s="3">
        <v>30</v>
      </c>
      <c r="L622" s="3" t="s">
        <v>6745</v>
      </c>
      <c r="M622" s="3" t="str">
        <f>HYPERLINK("http://ictvonline.org/taxonomyHistory.asp?taxnode_id=20150696","ICTVonline=20150696")</f>
        <v>ICTVonline=20150696</v>
      </c>
    </row>
    <row r="623" spans="1:13" x14ac:dyDescent="0.15">
      <c r="A623" s="1" t="s">
        <v>1393</v>
      </c>
      <c r="B623" s="1" t="s">
        <v>928</v>
      </c>
      <c r="D623" s="1" t="s">
        <v>4286</v>
      </c>
      <c r="E623" s="1" t="s">
        <v>4303</v>
      </c>
      <c r="F623" s="3">
        <v>0</v>
      </c>
      <c r="G623" s="24" t="s">
        <v>3236</v>
      </c>
      <c r="I623" s="24" t="s">
        <v>2965</v>
      </c>
      <c r="J623" s="24" t="s">
        <v>2923</v>
      </c>
      <c r="K623" s="3">
        <v>30</v>
      </c>
      <c r="L623" s="3" t="s">
        <v>6745</v>
      </c>
      <c r="M623" s="3" t="str">
        <f>HYPERLINK("http://ictvonline.org/taxonomyHistory.asp?taxnode_id=20150697","ICTVonline=20150697")</f>
        <v>ICTVonline=20150697</v>
      </c>
    </row>
    <row r="624" spans="1:13" x14ac:dyDescent="0.15">
      <c r="A624" s="1" t="s">
        <v>1393</v>
      </c>
      <c r="B624" s="1" t="s">
        <v>928</v>
      </c>
      <c r="D624" s="1" t="s">
        <v>4304</v>
      </c>
      <c r="E624" s="1" t="s">
        <v>4305</v>
      </c>
      <c r="F624" s="3">
        <v>1</v>
      </c>
      <c r="G624" s="24" t="s">
        <v>7371</v>
      </c>
      <c r="H624" s="24" t="s">
        <v>4306</v>
      </c>
      <c r="I624" s="24" t="s">
        <v>2965</v>
      </c>
      <c r="J624" s="24" t="s">
        <v>2919</v>
      </c>
      <c r="K624" s="3">
        <v>30</v>
      </c>
      <c r="L624" s="3" t="s">
        <v>6794</v>
      </c>
      <c r="M624" s="3" t="str">
        <f>HYPERLINK("http://ictvonline.org/taxonomyHistory.asp?taxnode_id=20150780","ICTVonline=20150780")</f>
        <v>ICTVonline=20150780</v>
      </c>
    </row>
    <row r="625" spans="1:13" x14ac:dyDescent="0.15">
      <c r="A625" s="1" t="s">
        <v>1393</v>
      </c>
      <c r="B625" s="1" t="s">
        <v>928</v>
      </c>
      <c r="D625" s="1" t="s">
        <v>4304</v>
      </c>
      <c r="E625" s="1" t="s">
        <v>4307</v>
      </c>
      <c r="F625" s="3">
        <v>0</v>
      </c>
      <c r="G625" s="24" t="s">
        <v>7372</v>
      </c>
      <c r="H625" s="24" t="s">
        <v>4308</v>
      </c>
      <c r="I625" s="24" t="s">
        <v>2965</v>
      </c>
      <c r="J625" s="24" t="s">
        <v>2919</v>
      </c>
      <c r="K625" s="3">
        <v>30</v>
      </c>
      <c r="L625" s="3" t="s">
        <v>6794</v>
      </c>
      <c r="M625" s="3" t="str">
        <f>HYPERLINK("http://ictvonline.org/taxonomyHistory.asp?taxnode_id=20150782","ICTVonline=20150782")</f>
        <v>ICTVonline=20150782</v>
      </c>
    </row>
    <row r="626" spans="1:13" x14ac:dyDescent="0.15">
      <c r="A626" s="1" t="s">
        <v>1393</v>
      </c>
      <c r="B626" s="1" t="s">
        <v>928</v>
      </c>
      <c r="D626" s="1" t="s">
        <v>4304</v>
      </c>
      <c r="E626" s="1" t="s">
        <v>4309</v>
      </c>
      <c r="F626" s="3">
        <v>0</v>
      </c>
      <c r="G626" s="24" t="s">
        <v>7373</v>
      </c>
      <c r="H626" s="24" t="s">
        <v>4310</v>
      </c>
      <c r="I626" s="24" t="s">
        <v>2965</v>
      </c>
      <c r="J626" s="24" t="s">
        <v>2919</v>
      </c>
      <c r="K626" s="3">
        <v>30</v>
      </c>
      <c r="L626" s="3" t="s">
        <v>6794</v>
      </c>
      <c r="M626" s="3" t="str">
        <f>HYPERLINK("http://ictvonline.org/taxonomyHistory.asp?taxnode_id=20150781","ICTVonline=20150781")</f>
        <v>ICTVonline=20150781</v>
      </c>
    </row>
    <row r="627" spans="1:13" x14ac:dyDescent="0.15">
      <c r="A627" s="1" t="s">
        <v>1393</v>
      </c>
      <c r="B627" s="1" t="s">
        <v>928</v>
      </c>
      <c r="D627" s="1" t="s">
        <v>4304</v>
      </c>
      <c r="E627" s="1" t="s">
        <v>4311</v>
      </c>
      <c r="F627" s="3">
        <v>0</v>
      </c>
      <c r="G627" s="24" t="s">
        <v>7374</v>
      </c>
      <c r="H627" s="24" t="s">
        <v>4312</v>
      </c>
      <c r="I627" s="24" t="s">
        <v>2965</v>
      </c>
      <c r="J627" s="24" t="s">
        <v>2919</v>
      </c>
      <c r="K627" s="3">
        <v>30</v>
      </c>
      <c r="L627" s="3" t="s">
        <v>6794</v>
      </c>
      <c r="M627" s="3" t="str">
        <f>HYPERLINK("http://ictvonline.org/taxonomyHistory.asp?taxnode_id=20150783","ICTVonline=20150783")</f>
        <v>ICTVonline=20150783</v>
      </c>
    </row>
    <row r="628" spans="1:13" x14ac:dyDescent="0.15">
      <c r="A628" s="1" t="s">
        <v>1393</v>
      </c>
      <c r="B628" s="1" t="s">
        <v>928</v>
      </c>
      <c r="D628" s="1" t="s">
        <v>4313</v>
      </c>
      <c r="E628" s="1" t="s">
        <v>4314</v>
      </c>
      <c r="F628" s="3">
        <v>1</v>
      </c>
      <c r="I628" s="24" t="s">
        <v>2965</v>
      </c>
      <c r="J628" s="24" t="s">
        <v>2923</v>
      </c>
      <c r="K628" s="3">
        <v>30</v>
      </c>
      <c r="L628" s="3" t="s">
        <v>6745</v>
      </c>
      <c r="M628" s="3" t="str">
        <f>HYPERLINK("http://ictvonline.org/taxonomyHistory.asp?taxnode_id=20150699","ICTVonline=20150699")</f>
        <v>ICTVonline=20150699</v>
      </c>
    </row>
    <row r="629" spans="1:13" x14ac:dyDescent="0.15">
      <c r="A629" s="1" t="s">
        <v>1393</v>
      </c>
      <c r="B629" s="1" t="s">
        <v>928</v>
      </c>
      <c r="D629" s="1" t="s">
        <v>4315</v>
      </c>
      <c r="E629" s="1" t="s">
        <v>4316</v>
      </c>
      <c r="F629" s="3">
        <v>0</v>
      </c>
      <c r="G629" s="24" t="s">
        <v>7375</v>
      </c>
      <c r="H629" s="24" t="s">
        <v>4317</v>
      </c>
      <c r="I629" s="24" t="s">
        <v>2965</v>
      </c>
      <c r="J629" s="24" t="s">
        <v>2919</v>
      </c>
      <c r="K629" s="3">
        <v>30</v>
      </c>
      <c r="L629" s="3" t="s">
        <v>6795</v>
      </c>
      <c r="M629" s="3" t="str">
        <f>HYPERLINK("http://ictvonline.org/taxonomyHistory.asp?taxnode_id=20150764","ICTVonline=20150764")</f>
        <v>ICTVonline=20150764</v>
      </c>
    </row>
    <row r="630" spans="1:13" x14ac:dyDescent="0.15">
      <c r="A630" s="1" t="s">
        <v>1393</v>
      </c>
      <c r="B630" s="1" t="s">
        <v>928</v>
      </c>
      <c r="D630" s="1" t="s">
        <v>4315</v>
      </c>
      <c r="E630" s="1" t="s">
        <v>4318</v>
      </c>
      <c r="F630" s="3">
        <v>1</v>
      </c>
      <c r="G630" s="24" t="s">
        <v>7376</v>
      </c>
      <c r="H630" s="24" t="s">
        <v>4319</v>
      </c>
      <c r="I630" s="24" t="s">
        <v>2965</v>
      </c>
      <c r="J630" s="24" t="s">
        <v>2919</v>
      </c>
      <c r="K630" s="3">
        <v>30</v>
      </c>
      <c r="L630" s="3" t="s">
        <v>6795</v>
      </c>
      <c r="M630" s="3" t="str">
        <f>HYPERLINK("http://ictvonline.org/taxonomyHistory.asp?taxnode_id=20150763","ICTVonline=20150763")</f>
        <v>ICTVonline=20150763</v>
      </c>
    </row>
    <row r="631" spans="1:13" x14ac:dyDescent="0.15">
      <c r="A631" s="1" t="s">
        <v>1393</v>
      </c>
      <c r="B631" s="1" t="s">
        <v>928</v>
      </c>
      <c r="D631" s="1" t="s">
        <v>4320</v>
      </c>
      <c r="E631" s="1" t="s">
        <v>4321</v>
      </c>
      <c r="F631" s="3">
        <v>0</v>
      </c>
      <c r="I631" s="24" t="s">
        <v>2965</v>
      </c>
      <c r="J631" s="24" t="s">
        <v>2923</v>
      </c>
      <c r="K631" s="3">
        <v>30</v>
      </c>
      <c r="L631" s="3" t="s">
        <v>6745</v>
      </c>
      <c r="M631" s="3" t="str">
        <f>HYPERLINK("http://ictvonline.org/taxonomyHistory.asp?taxnode_id=20150702","ICTVonline=20150702")</f>
        <v>ICTVonline=20150702</v>
      </c>
    </row>
    <row r="632" spans="1:13" x14ac:dyDescent="0.15">
      <c r="A632" s="1" t="s">
        <v>1393</v>
      </c>
      <c r="B632" s="1" t="s">
        <v>928</v>
      </c>
      <c r="D632" s="1" t="s">
        <v>4320</v>
      </c>
      <c r="E632" s="1" t="s">
        <v>4322</v>
      </c>
      <c r="F632" s="3">
        <v>0</v>
      </c>
      <c r="I632" s="24" t="s">
        <v>2965</v>
      </c>
      <c r="J632" s="24" t="s">
        <v>2923</v>
      </c>
      <c r="K632" s="3">
        <v>30</v>
      </c>
      <c r="L632" s="3" t="s">
        <v>6745</v>
      </c>
      <c r="M632" s="3" t="str">
        <f>HYPERLINK("http://ictvonline.org/taxonomyHistory.asp?taxnode_id=20150703","ICTVonline=20150703")</f>
        <v>ICTVonline=20150703</v>
      </c>
    </row>
    <row r="633" spans="1:13" x14ac:dyDescent="0.15">
      <c r="A633" s="1" t="s">
        <v>1393</v>
      </c>
      <c r="B633" s="1" t="s">
        <v>928</v>
      </c>
      <c r="D633" s="1" t="s">
        <v>4320</v>
      </c>
      <c r="E633" s="1" t="s">
        <v>4323</v>
      </c>
      <c r="F633" s="3">
        <v>0</v>
      </c>
      <c r="G633" s="24" t="s">
        <v>7377</v>
      </c>
      <c r="H633" s="24" t="s">
        <v>4324</v>
      </c>
      <c r="I633" s="24" t="s">
        <v>2965</v>
      </c>
      <c r="J633" s="24" t="s">
        <v>2919</v>
      </c>
      <c r="K633" s="3">
        <v>30</v>
      </c>
      <c r="L633" s="3" t="s">
        <v>4325</v>
      </c>
      <c r="M633" s="3" t="str">
        <f>HYPERLINK("http://ictvonline.org/taxonomyHistory.asp?taxnode_id=20150712","ICTVonline=20150712")</f>
        <v>ICTVonline=20150712</v>
      </c>
    </row>
    <row r="634" spans="1:13" x14ac:dyDescent="0.15">
      <c r="A634" s="1" t="s">
        <v>1393</v>
      </c>
      <c r="B634" s="1" t="s">
        <v>928</v>
      </c>
      <c r="D634" s="1" t="s">
        <v>4320</v>
      </c>
      <c r="E634" s="1" t="s">
        <v>4326</v>
      </c>
      <c r="F634" s="3">
        <v>0</v>
      </c>
      <c r="I634" s="24" t="s">
        <v>2965</v>
      </c>
      <c r="J634" s="24" t="s">
        <v>2923</v>
      </c>
      <c r="K634" s="3">
        <v>30</v>
      </c>
      <c r="L634" s="3" t="s">
        <v>6745</v>
      </c>
      <c r="M634" s="3" t="str">
        <f>HYPERLINK("http://ictvonline.org/taxonomyHistory.asp?taxnode_id=20150704","ICTVonline=20150704")</f>
        <v>ICTVonline=20150704</v>
      </c>
    </row>
    <row r="635" spans="1:13" x14ac:dyDescent="0.15">
      <c r="A635" s="1" t="s">
        <v>1393</v>
      </c>
      <c r="B635" s="1" t="s">
        <v>928</v>
      </c>
      <c r="D635" s="1" t="s">
        <v>4320</v>
      </c>
      <c r="E635" s="1" t="s">
        <v>4327</v>
      </c>
      <c r="F635" s="3">
        <v>0</v>
      </c>
      <c r="G635" s="24" t="s">
        <v>7378</v>
      </c>
      <c r="H635" s="24" t="s">
        <v>4328</v>
      </c>
      <c r="I635" s="24" t="s">
        <v>2965</v>
      </c>
      <c r="J635" s="24" t="s">
        <v>2919</v>
      </c>
      <c r="K635" s="3">
        <v>30</v>
      </c>
      <c r="L635" s="3" t="s">
        <v>4325</v>
      </c>
      <c r="M635" s="3" t="str">
        <f>HYPERLINK("http://ictvonline.org/taxonomyHistory.asp?taxnode_id=20150709","ICTVonline=20150709")</f>
        <v>ICTVonline=20150709</v>
      </c>
    </row>
    <row r="636" spans="1:13" x14ac:dyDescent="0.15">
      <c r="A636" s="1" t="s">
        <v>1393</v>
      </c>
      <c r="B636" s="1" t="s">
        <v>928</v>
      </c>
      <c r="D636" s="1" t="s">
        <v>4320</v>
      </c>
      <c r="E636" s="1" t="s">
        <v>4329</v>
      </c>
      <c r="F636" s="3">
        <v>0</v>
      </c>
      <c r="I636" s="24" t="s">
        <v>2965</v>
      </c>
      <c r="J636" s="24" t="s">
        <v>2923</v>
      </c>
      <c r="K636" s="3">
        <v>30</v>
      </c>
      <c r="L636" s="3" t="s">
        <v>6745</v>
      </c>
      <c r="M636" s="3" t="str">
        <f>HYPERLINK("http://ictvonline.org/taxonomyHistory.asp?taxnode_id=20150705","ICTVonline=20150705")</f>
        <v>ICTVonline=20150705</v>
      </c>
    </row>
    <row r="637" spans="1:13" x14ac:dyDescent="0.15">
      <c r="A637" s="1" t="s">
        <v>1393</v>
      </c>
      <c r="B637" s="1" t="s">
        <v>928</v>
      </c>
      <c r="D637" s="1" t="s">
        <v>4320</v>
      </c>
      <c r="E637" s="1" t="s">
        <v>4330</v>
      </c>
      <c r="F637" s="3">
        <v>0</v>
      </c>
      <c r="I637" s="24" t="s">
        <v>2965</v>
      </c>
      <c r="J637" s="24" t="s">
        <v>2947</v>
      </c>
      <c r="K637" s="3">
        <v>30</v>
      </c>
      <c r="L637" s="3" t="s">
        <v>6745</v>
      </c>
      <c r="M637" s="3" t="str">
        <f>HYPERLINK("http://ictvonline.org/taxonomyHistory.asp?taxnode_id=20150706","ICTVonline=20150706")</f>
        <v>ICTVonline=20150706</v>
      </c>
    </row>
    <row r="638" spans="1:13" x14ac:dyDescent="0.15">
      <c r="A638" s="1" t="s">
        <v>1393</v>
      </c>
      <c r="B638" s="1" t="s">
        <v>928</v>
      </c>
      <c r="D638" s="1" t="s">
        <v>4320</v>
      </c>
      <c r="E638" s="1" t="s">
        <v>4331</v>
      </c>
      <c r="F638" s="3">
        <v>0</v>
      </c>
      <c r="G638" s="24" t="s">
        <v>7379</v>
      </c>
      <c r="H638" s="24" t="s">
        <v>4332</v>
      </c>
      <c r="I638" s="24" t="s">
        <v>2965</v>
      </c>
      <c r="J638" s="24" t="s">
        <v>2919</v>
      </c>
      <c r="K638" s="3">
        <v>30</v>
      </c>
      <c r="L638" s="3" t="s">
        <v>4325</v>
      </c>
      <c r="M638" s="3" t="str">
        <f>HYPERLINK("http://ictvonline.org/taxonomyHistory.asp?taxnode_id=20150710","ICTVonline=20150710")</f>
        <v>ICTVonline=20150710</v>
      </c>
    </row>
    <row r="639" spans="1:13" x14ac:dyDescent="0.15">
      <c r="A639" s="1" t="s">
        <v>1393</v>
      </c>
      <c r="B639" s="1" t="s">
        <v>928</v>
      </c>
      <c r="D639" s="1" t="s">
        <v>4320</v>
      </c>
      <c r="E639" s="1" t="s">
        <v>4333</v>
      </c>
      <c r="F639" s="3">
        <v>0</v>
      </c>
      <c r="I639" s="24" t="s">
        <v>2965</v>
      </c>
      <c r="J639" s="24" t="s">
        <v>2923</v>
      </c>
      <c r="K639" s="3">
        <v>30</v>
      </c>
      <c r="L639" s="3" t="s">
        <v>6745</v>
      </c>
      <c r="M639" s="3" t="str">
        <f>HYPERLINK("http://ictvonline.org/taxonomyHistory.asp?taxnode_id=20150707","ICTVonline=20150707")</f>
        <v>ICTVonline=20150707</v>
      </c>
    </row>
    <row r="640" spans="1:13" x14ac:dyDescent="0.15">
      <c r="A640" s="1" t="s">
        <v>1393</v>
      </c>
      <c r="B640" s="1" t="s">
        <v>928</v>
      </c>
      <c r="D640" s="1" t="s">
        <v>4320</v>
      </c>
      <c r="E640" s="1" t="s">
        <v>4334</v>
      </c>
      <c r="F640" s="3">
        <v>0</v>
      </c>
      <c r="G640" s="24" t="s">
        <v>7380</v>
      </c>
      <c r="H640" s="24" t="s">
        <v>4335</v>
      </c>
      <c r="I640" s="24" t="s">
        <v>2965</v>
      </c>
      <c r="J640" s="24" t="s">
        <v>2919</v>
      </c>
      <c r="K640" s="3">
        <v>30</v>
      </c>
      <c r="L640" s="3" t="s">
        <v>4325</v>
      </c>
      <c r="M640" s="3" t="str">
        <f>HYPERLINK("http://ictvonline.org/taxonomyHistory.asp?taxnode_id=20150711","ICTVonline=20150711")</f>
        <v>ICTVonline=20150711</v>
      </c>
    </row>
    <row r="641" spans="1:13" x14ac:dyDescent="0.15">
      <c r="A641" s="1" t="s">
        <v>1393</v>
      </c>
      <c r="B641" s="1" t="s">
        <v>928</v>
      </c>
      <c r="D641" s="1" t="s">
        <v>4336</v>
      </c>
      <c r="E641" s="1" t="s">
        <v>4337</v>
      </c>
      <c r="F641" s="3">
        <v>0</v>
      </c>
      <c r="G641" s="24" t="s">
        <v>3237</v>
      </c>
      <c r="I641" s="24" t="s">
        <v>2965</v>
      </c>
      <c r="J641" s="24" t="s">
        <v>2923</v>
      </c>
      <c r="K641" s="3">
        <v>30</v>
      </c>
      <c r="L641" s="3" t="s">
        <v>6745</v>
      </c>
      <c r="M641" s="3" t="str">
        <f>HYPERLINK("http://ictvonline.org/taxonomyHistory.asp?taxnode_id=20150714","ICTVonline=20150714")</f>
        <v>ICTVonline=20150714</v>
      </c>
    </row>
    <row r="642" spans="1:13" x14ac:dyDescent="0.15">
      <c r="A642" s="1" t="s">
        <v>1393</v>
      </c>
      <c r="B642" s="1" t="s">
        <v>928</v>
      </c>
      <c r="D642" s="1" t="s">
        <v>4336</v>
      </c>
      <c r="E642" s="1" t="s">
        <v>4338</v>
      </c>
      <c r="F642" s="3">
        <v>0</v>
      </c>
      <c r="G642" s="24" t="s">
        <v>3238</v>
      </c>
      <c r="I642" s="24" t="s">
        <v>2965</v>
      </c>
      <c r="J642" s="24" t="s">
        <v>2923</v>
      </c>
      <c r="K642" s="3">
        <v>30</v>
      </c>
      <c r="L642" s="3" t="s">
        <v>6745</v>
      </c>
      <c r="M642" s="3" t="str">
        <f>HYPERLINK("http://ictvonline.org/taxonomyHistory.asp?taxnode_id=20150715","ICTVonline=20150715")</f>
        <v>ICTVonline=20150715</v>
      </c>
    </row>
    <row r="643" spans="1:13" x14ac:dyDescent="0.15">
      <c r="A643" s="1" t="s">
        <v>1393</v>
      </c>
      <c r="B643" s="1" t="s">
        <v>928</v>
      </c>
      <c r="D643" s="1" t="s">
        <v>4336</v>
      </c>
      <c r="E643" s="1" t="s">
        <v>4339</v>
      </c>
      <c r="F643" s="3">
        <v>0</v>
      </c>
      <c r="G643" s="24" t="s">
        <v>3239</v>
      </c>
      <c r="I643" s="24" t="s">
        <v>2965</v>
      </c>
      <c r="J643" s="24" t="s">
        <v>2923</v>
      </c>
      <c r="K643" s="3">
        <v>30</v>
      </c>
      <c r="L643" s="3" t="s">
        <v>6745</v>
      </c>
      <c r="M643" s="3" t="str">
        <f>HYPERLINK("http://ictvonline.org/taxonomyHistory.asp?taxnode_id=20150716","ICTVonline=20150716")</f>
        <v>ICTVonline=20150716</v>
      </c>
    </row>
    <row r="644" spans="1:13" x14ac:dyDescent="0.15">
      <c r="A644" s="1" t="s">
        <v>1393</v>
      </c>
      <c r="B644" s="1" t="s">
        <v>928</v>
      </c>
      <c r="D644" s="1" t="s">
        <v>4336</v>
      </c>
      <c r="E644" s="1" t="s">
        <v>4340</v>
      </c>
      <c r="F644" s="3">
        <v>0</v>
      </c>
      <c r="G644" s="24" t="s">
        <v>3240</v>
      </c>
      <c r="I644" s="24" t="s">
        <v>2965</v>
      </c>
      <c r="J644" s="24" t="s">
        <v>2923</v>
      </c>
      <c r="K644" s="3">
        <v>30</v>
      </c>
      <c r="L644" s="3" t="s">
        <v>6745</v>
      </c>
      <c r="M644" s="3" t="str">
        <f>HYPERLINK("http://ictvonline.org/taxonomyHistory.asp?taxnode_id=20150717","ICTVonline=20150717")</f>
        <v>ICTVonline=20150717</v>
      </c>
    </row>
    <row r="645" spans="1:13" x14ac:dyDescent="0.15">
      <c r="A645" s="1" t="s">
        <v>1393</v>
      </c>
      <c r="B645" s="1" t="s">
        <v>928</v>
      </c>
      <c r="D645" s="1" t="s">
        <v>4336</v>
      </c>
      <c r="E645" s="1" t="s">
        <v>4341</v>
      </c>
      <c r="F645" s="3">
        <v>0</v>
      </c>
      <c r="G645" s="24" t="s">
        <v>3241</v>
      </c>
      <c r="I645" s="24" t="s">
        <v>2965</v>
      </c>
      <c r="J645" s="24" t="s">
        <v>2923</v>
      </c>
      <c r="K645" s="3">
        <v>30</v>
      </c>
      <c r="L645" s="3" t="s">
        <v>6745</v>
      </c>
      <c r="M645" s="3" t="str">
        <f>HYPERLINK("http://ictvonline.org/taxonomyHistory.asp?taxnode_id=20150718","ICTVonline=20150718")</f>
        <v>ICTVonline=20150718</v>
      </c>
    </row>
    <row r="646" spans="1:13" x14ac:dyDescent="0.15">
      <c r="A646" s="1" t="s">
        <v>1393</v>
      </c>
      <c r="B646" s="1" t="s">
        <v>928</v>
      </c>
      <c r="D646" s="1" t="s">
        <v>4336</v>
      </c>
      <c r="E646" s="1" t="s">
        <v>4342</v>
      </c>
      <c r="F646" s="3">
        <v>0</v>
      </c>
      <c r="G646" s="24" t="s">
        <v>3242</v>
      </c>
      <c r="I646" s="24" t="s">
        <v>2965</v>
      </c>
      <c r="J646" s="24" t="s">
        <v>2923</v>
      </c>
      <c r="K646" s="3">
        <v>30</v>
      </c>
      <c r="L646" s="3" t="s">
        <v>6745</v>
      </c>
      <c r="M646" s="3" t="str">
        <f>HYPERLINK("http://ictvonline.org/taxonomyHistory.asp?taxnode_id=20150719","ICTVonline=20150719")</f>
        <v>ICTVonline=20150719</v>
      </c>
    </row>
    <row r="647" spans="1:13" x14ac:dyDescent="0.15">
      <c r="A647" s="1" t="s">
        <v>1393</v>
      </c>
      <c r="B647" s="1" t="s">
        <v>928</v>
      </c>
      <c r="D647" s="1" t="s">
        <v>4336</v>
      </c>
      <c r="E647" s="1" t="s">
        <v>4343</v>
      </c>
      <c r="F647" s="3">
        <v>0</v>
      </c>
      <c r="G647" s="24" t="s">
        <v>3243</v>
      </c>
      <c r="I647" s="24" t="s">
        <v>2965</v>
      </c>
      <c r="J647" s="24" t="s">
        <v>2923</v>
      </c>
      <c r="K647" s="3">
        <v>30</v>
      </c>
      <c r="L647" s="3" t="s">
        <v>6745</v>
      </c>
      <c r="M647" s="3" t="str">
        <f>HYPERLINK("http://ictvonline.org/taxonomyHistory.asp?taxnode_id=20150720","ICTVonline=20150720")</f>
        <v>ICTVonline=20150720</v>
      </c>
    </row>
    <row r="648" spans="1:13" x14ac:dyDescent="0.15">
      <c r="A648" s="1" t="s">
        <v>1393</v>
      </c>
      <c r="B648" s="1" t="s">
        <v>928</v>
      </c>
      <c r="D648" s="1" t="s">
        <v>4336</v>
      </c>
      <c r="E648" s="1" t="s">
        <v>4344</v>
      </c>
      <c r="F648" s="3">
        <v>0</v>
      </c>
      <c r="G648" s="24" t="s">
        <v>3244</v>
      </c>
      <c r="I648" s="24" t="s">
        <v>2965</v>
      </c>
      <c r="J648" s="24" t="s">
        <v>2923</v>
      </c>
      <c r="K648" s="3">
        <v>30</v>
      </c>
      <c r="L648" s="3" t="s">
        <v>6745</v>
      </c>
      <c r="M648" s="3" t="str">
        <f>HYPERLINK("http://ictvonline.org/taxonomyHistory.asp?taxnode_id=20150721","ICTVonline=20150721")</f>
        <v>ICTVonline=20150721</v>
      </c>
    </row>
    <row r="649" spans="1:13" x14ac:dyDescent="0.15">
      <c r="A649" s="1" t="s">
        <v>1393</v>
      </c>
      <c r="B649" s="1" t="s">
        <v>928</v>
      </c>
      <c r="D649" s="1" t="s">
        <v>4336</v>
      </c>
      <c r="E649" s="1" t="s">
        <v>4345</v>
      </c>
      <c r="F649" s="3">
        <v>1</v>
      </c>
      <c r="G649" s="24" t="s">
        <v>3245</v>
      </c>
      <c r="I649" s="24" t="s">
        <v>2965</v>
      </c>
      <c r="J649" s="24" t="s">
        <v>2923</v>
      </c>
      <c r="K649" s="3">
        <v>30</v>
      </c>
      <c r="L649" s="3" t="s">
        <v>6745</v>
      </c>
      <c r="M649" s="3" t="str">
        <f>HYPERLINK("http://ictvonline.org/taxonomyHistory.asp?taxnode_id=20150722","ICTVonline=20150722")</f>
        <v>ICTVonline=20150722</v>
      </c>
    </row>
    <row r="650" spans="1:13" x14ac:dyDescent="0.15">
      <c r="A650" s="1" t="s">
        <v>1393</v>
      </c>
      <c r="B650" s="1" t="s">
        <v>928</v>
      </c>
      <c r="D650" s="1" t="s">
        <v>4346</v>
      </c>
      <c r="E650" s="1" t="s">
        <v>4347</v>
      </c>
      <c r="F650" s="3">
        <v>0</v>
      </c>
      <c r="G650" s="24" t="s">
        <v>3246</v>
      </c>
      <c r="I650" s="24" t="s">
        <v>2965</v>
      </c>
      <c r="J650" s="24" t="s">
        <v>2923</v>
      </c>
      <c r="K650" s="3">
        <v>30</v>
      </c>
      <c r="L650" s="3" t="s">
        <v>6745</v>
      </c>
      <c r="M650" s="3" t="str">
        <f>HYPERLINK("http://ictvonline.org/taxonomyHistory.asp?taxnode_id=20150724","ICTVonline=20150724")</f>
        <v>ICTVonline=20150724</v>
      </c>
    </row>
    <row r="651" spans="1:13" x14ac:dyDescent="0.15">
      <c r="A651" s="1" t="s">
        <v>1393</v>
      </c>
      <c r="B651" s="1" t="s">
        <v>928</v>
      </c>
      <c r="D651" s="1" t="s">
        <v>4346</v>
      </c>
      <c r="E651" s="1" t="s">
        <v>4348</v>
      </c>
      <c r="F651" s="3">
        <v>1</v>
      </c>
      <c r="G651" s="24" t="s">
        <v>3247</v>
      </c>
      <c r="I651" s="24" t="s">
        <v>2965</v>
      </c>
      <c r="J651" s="24" t="s">
        <v>2923</v>
      </c>
      <c r="K651" s="3">
        <v>30</v>
      </c>
      <c r="L651" s="3" t="s">
        <v>6745</v>
      </c>
      <c r="M651" s="3" t="str">
        <f>HYPERLINK("http://ictvonline.org/taxonomyHistory.asp?taxnode_id=20150725","ICTVonline=20150725")</f>
        <v>ICTVonline=20150725</v>
      </c>
    </row>
    <row r="652" spans="1:13" x14ac:dyDescent="0.15">
      <c r="A652" s="1" t="s">
        <v>1393</v>
      </c>
      <c r="B652" s="1" t="s">
        <v>928</v>
      </c>
      <c r="D652" s="1" t="s">
        <v>4349</v>
      </c>
      <c r="E652" s="1" t="s">
        <v>4350</v>
      </c>
      <c r="F652" s="3">
        <v>0</v>
      </c>
      <c r="G652" s="24" t="s">
        <v>2972</v>
      </c>
      <c r="I652" s="24" t="s">
        <v>2965</v>
      </c>
      <c r="J652" s="24" t="s">
        <v>2923</v>
      </c>
      <c r="K652" s="3">
        <v>30</v>
      </c>
      <c r="L652" s="3" t="s">
        <v>6745</v>
      </c>
      <c r="M652" s="3" t="str">
        <f>HYPERLINK("http://ictvonline.org/taxonomyHistory.asp?taxnode_id=20150382","ICTVonline=20150382")</f>
        <v>ICTVonline=20150382</v>
      </c>
    </row>
    <row r="653" spans="1:13" x14ac:dyDescent="0.15">
      <c r="A653" s="1" t="s">
        <v>1393</v>
      </c>
      <c r="B653" s="1" t="s">
        <v>928</v>
      </c>
      <c r="D653" s="1" t="s">
        <v>4349</v>
      </c>
      <c r="E653" s="1" t="s">
        <v>4351</v>
      </c>
      <c r="F653" s="3">
        <v>1</v>
      </c>
      <c r="G653" s="24" t="s">
        <v>2973</v>
      </c>
      <c r="I653" s="24" t="s">
        <v>2965</v>
      </c>
      <c r="J653" s="24" t="s">
        <v>2923</v>
      </c>
      <c r="K653" s="3">
        <v>30</v>
      </c>
      <c r="L653" s="3" t="s">
        <v>6745</v>
      </c>
      <c r="M653" s="3" t="str">
        <f>HYPERLINK("http://ictvonline.org/taxonomyHistory.asp?taxnode_id=20150383","ICTVonline=20150383")</f>
        <v>ICTVonline=20150383</v>
      </c>
    </row>
    <row r="654" spans="1:13" x14ac:dyDescent="0.15">
      <c r="A654" s="1" t="s">
        <v>1393</v>
      </c>
      <c r="B654" s="1" t="s">
        <v>928</v>
      </c>
      <c r="D654" s="1" t="s">
        <v>4349</v>
      </c>
      <c r="E654" s="1" t="s">
        <v>4352</v>
      </c>
      <c r="F654" s="3">
        <v>0</v>
      </c>
      <c r="G654" s="24" t="s">
        <v>2974</v>
      </c>
      <c r="I654" s="24" t="s">
        <v>2965</v>
      </c>
      <c r="J654" s="24" t="s">
        <v>2923</v>
      </c>
      <c r="K654" s="3">
        <v>30</v>
      </c>
      <c r="L654" s="3" t="s">
        <v>6745</v>
      </c>
      <c r="M654" s="3" t="str">
        <f>HYPERLINK("http://ictvonline.org/taxonomyHistory.asp?taxnode_id=20150384","ICTVonline=20150384")</f>
        <v>ICTVonline=20150384</v>
      </c>
    </row>
    <row r="655" spans="1:13" x14ac:dyDescent="0.15">
      <c r="A655" s="1" t="s">
        <v>1393</v>
      </c>
      <c r="B655" s="1" t="s">
        <v>928</v>
      </c>
      <c r="D655" s="1" t="s">
        <v>4349</v>
      </c>
      <c r="E655" s="1" t="s">
        <v>4353</v>
      </c>
      <c r="F655" s="3">
        <v>0</v>
      </c>
      <c r="G655" s="24" t="s">
        <v>2975</v>
      </c>
      <c r="I655" s="24" t="s">
        <v>2965</v>
      </c>
      <c r="J655" s="24" t="s">
        <v>2923</v>
      </c>
      <c r="K655" s="3">
        <v>30</v>
      </c>
      <c r="L655" s="3" t="s">
        <v>6745</v>
      </c>
      <c r="M655" s="3" t="str">
        <f>HYPERLINK("http://ictvonline.org/taxonomyHistory.asp?taxnode_id=20150385","ICTVonline=20150385")</f>
        <v>ICTVonline=20150385</v>
      </c>
    </row>
    <row r="656" spans="1:13" x14ac:dyDescent="0.15">
      <c r="A656" s="1" t="s">
        <v>1393</v>
      </c>
      <c r="B656" s="1" t="s">
        <v>928</v>
      </c>
      <c r="D656" s="1" t="s">
        <v>4349</v>
      </c>
      <c r="E656" s="1" t="s">
        <v>4354</v>
      </c>
      <c r="F656" s="3">
        <v>0</v>
      </c>
      <c r="G656" s="24" t="s">
        <v>2976</v>
      </c>
      <c r="I656" s="24" t="s">
        <v>2965</v>
      </c>
      <c r="J656" s="24" t="s">
        <v>2923</v>
      </c>
      <c r="K656" s="3">
        <v>30</v>
      </c>
      <c r="L656" s="3" t="s">
        <v>6745</v>
      </c>
      <c r="M656" s="3" t="str">
        <f>HYPERLINK("http://ictvonline.org/taxonomyHistory.asp?taxnode_id=20150386","ICTVonline=20150386")</f>
        <v>ICTVonline=20150386</v>
      </c>
    </row>
    <row r="657" spans="1:13" x14ac:dyDescent="0.15">
      <c r="A657" s="1" t="s">
        <v>1393</v>
      </c>
      <c r="B657" s="1" t="s">
        <v>928</v>
      </c>
      <c r="D657" s="1" t="s">
        <v>4349</v>
      </c>
      <c r="E657" s="1" t="s">
        <v>4355</v>
      </c>
      <c r="F657" s="3">
        <v>0</v>
      </c>
      <c r="G657" s="24" t="s">
        <v>2977</v>
      </c>
      <c r="I657" s="24" t="s">
        <v>2965</v>
      </c>
      <c r="J657" s="24" t="s">
        <v>2923</v>
      </c>
      <c r="K657" s="3">
        <v>30</v>
      </c>
      <c r="L657" s="3" t="s">
        <v>6745</v>
      </c>
      <c r="M657" s="3" t="str">
        <f>HYPERLINK("http://ictvonline.org/taxonomyHistory.asp?taxnode_id=20150387","ICTVonline=20150387")</f>
        <v>ICTVonline=20150387</v>
      </c>
    </row>
    <row r="658" spans="1:13" x14ac:dyDescent="0.15">
      <c r="A658" s="1" t="s">
        <v>1393</v>
      </c>
      <c r="B658" s="1" t="s">
        <v>928</v>
      </c>
      <c r="D658" s="1" t="s">
        <v>4356</v>
      </c>
      <c r="E658" s="1" t="s">
        <v>4357</v>
      </c>
      <c r="F658" s="3">
        <v>1</v>
      </c>
      <c r="G658" s="24" t="s">
        <v>3248</v>
      </c>
      <c r="I658" s="24" t="s">
        <v>2965</v>
      </c>
      <c r="J658" s="24" t="s">
        <v>2923</v>
      </c>
      <c r="K658" s="3">
        <v>30</v>
      </c>
      <c r="L658" s="3" t="s">
        <v>6745</v>
      </c>
      <c r="M658" s="3" t="str">
        <f>HYPERLINK("http://ictvonline.org/taxonomyHistory.asp?taxnode_id=20150738","ICTVonline=20150738")</f>
        <v>ICTVonline=20150738</v>
      </c>
    </row>
    <row r="659" spans="1:13" x14ac:dyDescent="0.15">
      <c r="A659" s="1" t="s">
        <v>1393</v>
      </c>
      <c r="B659" s="1" t="s">
        <v>928</v>
      </c>
      <c r="D659" s="1" t="s">
        <v>4358</v>
      </c>
      <c r="E659" s="1" t="s">
        <v>4359</v>
      </c>
      <c r="F659" s="3">
        <v>0</v>
      </c>
      <c r="G659" s="24" t="s">
        <v>3249</v>
      </c>
      <c r="I659" s="24" t="s">
        <v>2965</v>
      </c>
      <c r="J659" s="24" t="s">
        <v>2923</v>
      </c>
      <c r="K659" s="3">
        <v>30</v>
      </c>
      <c r="L659" s="3" t="s">
        <v>6745</v>
      </c>
      <c r="M659" s="3" t="str">
        <f>HYPERLINK("http://ictvonline.org/taxonomyHistory.asp?taxnode_id=20150740","ICTVonline=20150740")</f>
        <v>ICTVonline=20150740</v>
      </c>
    </row>
    <row r="660" spans="1:13" x14ac:dyDescent="0.15">
      <c r="A660" s="1" t="s">
        <v>1393</v>
      </c>
      <c r="B660" s="1" t="s">
        <v>928</v>
      </c>
      <c r="D660" s="1" t="s">
        <v>4358</v>
      </c>
      <c r="E660" s="1" t="s">
        <v>4360</v>
      </c>
      <c r="F660" s="3">
        <v>0</v>
      </c>
      <c r="G660" s="24" t="s">
        <v>3250</v>
      </c>
      <c r="I660" s="24" t="s">
        <v>2965</v>
      </c>
      <c r="J660" s="24" t="s">
        <v>2923</v>
      </c>
      <c r="K660" s="3">
        <v>30</v>
      </c>
      <c r="L660" s="3" t="s">
        <v>6745</v>
      </c>
      <c r="M660" s="3" t="str">
        <f>HYPERLINK("http://ictvonline.org/taxonomyHistory.asp?taxnode_id=20150741","ICTVonline=20150741")</f>
        <v>ICTVonline=20150741</v>
      </c>
    </row>
    <row r="661" spans="1:13" x14ac:dyDescent="0.15">
      <c r="A661" s="1" t="s">
        <v>1393</v>
      </c>
      <c r="B661" s="1" t="s">
        <v>928</v>
      </c>
      <c r="D661" s="1" t="s">
        <v>4358</v>
      </c>
      <c r="E661" s="1" t="s">
        <v>4361</v>
      </c>
      <c r="F661" s="3">
        <v>0</v>
      </c>
      <c r="G661" s="24" t="s">
        <v>3251</v>
      </c>
      <c r="I661" s="24" t="s">
        <v>2965</v>
      </c>
      <c r="J661" s="24" t="s">
        <v>2923</v>
      </c>
      <c r="K661" s="3">
        <v>30</v>
      </c>
      <c r="L661" s="3" t="s">
        <v>6745</v>
      </c>
      <c r="M661" s="3" t="str">
        <f>HYPERLINK("http://ictvonline.org/taxonomyHistory.asp?taxnode_id=20150742","ICTVonline=20150742")</f>
        <v>ICTVonline=20150742</v>
      </c>
    </row>
    <row r="662" spans="1:13" x14ac:dyDescent="0.15">
      <c r="A662" s="1" t="s">
        <v>1393</v>
      </c>
      <c r="B662" s="1" t="s">
        <v>928</v>
      </c>
      <c r="D662" s="1" t="s">
        <v>4358</v>
      </c>
      <c r="E662" s="1" t="s">
        <v>4362</v>
      </c>
      <c r="F662" s="3">
        <v>0</v>
      </c>
      <c r="G662" s="24" t="s">
        <v>3252</v>
      </c>
      <c r="I662" s="24" t="s">
        <v>2965</v>
      </c>
      <c r="J662" s="24" t="s">
        <v>2923</v>
      </c>
      <c r="K662" s="3">
        <v>30</v>
      </c>
      <c r="L662" s="3" t="s">
        <v>6745</v>
      </c>
      <c r="M662" s="3" t="str">
        <f>HYPERLINK("http://ictvonline.org/taxonomyHistory.asp?taxnode_id=20150743","ICTVonline=20150743")</f>
        <v>ICTVonline=20150743</v>
      </c>
    </row>
    <row r="663" spans="1:13" x14ac:dyDescent="0.15">
      <c r="A663" s="1" t="s">
        <v>1393</v>
      </c>
      <c r="B663" s="1" t="s">
        <v>928</v>
      </c>
      <c r="D663" s="1" t="s">
        <v>4358</v>
      </c>
      <c r="E663" s="1" t="s">
        <v>4363</v>
      </c>
      <c r="F663" s="3">
        <v>1</v>
      </c>
      <c r="G663" s="24" t="s">
        <v>3253</v>
      </c>
      <c r="I663" s="24" t="s">
        <v>2965</v>
      </c>
      <c r="J663" s="24" t="s">
        <v>2923</v>
      </c>
      <c r="K663" s="3">
        <v>30</v>
      </c>
      <c r="L663" s="3" t="s">
        <v>6745</v>
      </c>
      <c r="M663" s="3" t="str">
        <f>HYPERLINK("http://ictvonline.org/taxonomyHistory.asp?taxnode_id=20150744","ICTVonline=20150744")</f>
        <v>ICTVonline=20150744</v>
      </c>
    </row>
    <row r="664" spans="1:13" x14ac:dyDescent="0.15">
      <c r="A664" s="1" t="s">
        <v>1393</v>
      </c>
      <c r="B664" s="1" t="s">
        <v>928</v>
      </c>
      <c r="D664" s="1" t="s">
        <v>4364</v>
      </c>
      <c r="E664" s="1" t="s">
        <v>4365</v>
      </c>
      <c r="F664" s="3">
        <v>0</v>
      </c>
      <c r="I664" s="24" t="s">
        <v>2965</v>
      </c>
      <c r="J664" s="24" t="s">
        <v>2923</v>
      </c>
      <c r="K664" s="3">
        <v>30</v>
      </c>
      <c r="L664" s="3" t="s">
        <v>6745</v>
      </c>
      <c r="M664" s="3" t="str">
        <f>HYPERLINK("http://ictvonline.org/taxonomyHistory.asp?taxnode_id=20150746","ICTVonline=20150746")</f>
        <v>ICTVonline=20150746</v>
      </c>
    </row>
    <row r="665" spans="1:13" x14ac:dyDescent="0.15">
      <c r="A665" s="1" t="s">
        <v>1393</v>
      </c>
      <c r="B665" s="1" t="s">
        <v>928</v>
      </c>
      <c r="D665" s="1" t="s">
        <v>4364</v>
      </c>
      <c r="E665" s="1" t="s">
        <v>4366</v>
      </c>
      <c r="F665" s="3">
        <v>0</v>
      </c>
      <c r="I665" s="24" t="s">
        <v>2965</v>
      </c>
      <c r="J665" s="24" t="s">
        <v>2923</v>
      </c>
      <c r="K665" s="3">
        <v>30</v>
      </c>
      <c r="L665" s="3" t="s">
        <v>6745</v>
      </c>
      <c r="M665" s="3" t="str">
        <f>HYPERLINK("http://ictvonline.org/taxonomyHistory.asp?taxnode_id=20150747","ICTVonline=20150747")</f>
        <v>ICTVonline=20150747</v>
      </c>
    </row>
    <row r="666" spans="1:13" x14ac:dyDescent="0.15">
      <c r="A666" s="1" t="s">
        <v>1393</v>
      </c>
      <c r="B666" s="1" t="s">
        <v>928</v>
      </c>
      <c r="D666" s="1" t="s">
        <v>4364</v>
      </c>
      <c r="E666" s="1" t="s">
        <v>4367</v>
      </c>
      <c r="F666" s="3">
        <v>1</v>
      </c>
      <c r="I666" s="24" t="s">
        <v>2965</v>
      </c>
      <c r="J666" s="24" t="s">
        <v>2923</v>
      </c>
      <c r="K666" s="3">
        <v>30</v>
      </c>
      <c r="L666" s="3" t="s">
        <v>6745</v>
      </c>
      <c r="M666" s="3" t="str">
        <f>HYPERLINK("http://ictvonline.org/taxonomyHistory.asp?taxnode_id=20150748","ICTVonline=20150748")</f>
        <v>ICTVonline=20150748</v>
      </c>
    </row>
    <row r="667" spans="1:13" x14ac:dyDescent="0.15">
      <c r="A667" s="1" t="s">
        <v>931</v>
      </c>
      <c r="B667" s="1" t="s">
        <v>932</v>
      </c>
      <c r="D667" s="1" t="s">
        <v>417</v>
      </c>
      <c r="E667" s="1" t="s">
        <v>418</v>
      </c>
      <c r="F667" s="3">
        <v>1</v>
      </c>
      <c r="I667" s="24" t="s">
        <v>2965</v>
      </c>
      <c r="J667" s="24" t="s">
        <v>2921</v>
      </c>
      <c r="K667" s="3">
        <v>25</v>
      </c>
      <c r="L667" s="3" t="s">
        <v>6796</v>
      </c>
      <c r="M667" s="3" t="str">
        <f>HYPERLINK("http://ictvonline.org/taxonomyHistory.asp?taxnode_id=20150829","ICTVonline=20150829")</f>
        <v>ICTVonline=20150829</v>
      </c>
    </row>
    <row r="668" spans="1:13" x14ac:dyDescent="0.15">
      <c r="A668" s="1" t="s">
        <v>931</v>
      </c>
      <c r="B668" s="1" t="s">
        <v>932</v>
      </c>
      <c r="D668" s="1" t="s">
        <v>417</v>
      </c>
      <c r="E668" s="1" t="s">
        <v>1587</v>
      </c>
      <c r="F668" s="3">
        <v>0</v>
      </c>
      <c r="I668" s="24" t="s">
        <v>2965</v>
      </c>
      <c r="J668" s="24" t="s">
        <v>2919</v>
      </c>
      <c r="K668" s="3">
        <v>25</v>
      </c>
      <c r="L668" s="3" t="s">
        <v>6796</v>
      </c>
      <c r="M668" s="3" t="str">
        <f>HYPERLINK("http://ictvonline.org/taxonomyHistory.asp?taxnode_id=20150830","ICTVonline=20150830")</f>
        <v>ICTVonline=20150830</v>
      </c>
    </row>
    <row r="669" spans="1:13" x14ac:dyDescent="0.15">
      <c r="A669" s="1" t="s">
        <v>931</v>
      </c>
      <c r="B669" s="1" t="s">
        <v>932</v>
      </c>
      <c r="D669" s="1" t="s">
        <v>1588</v>
      </c>
      <c r="E669" s="1" t="s">
        <v>578</v>
      </c>
      <c r="F669" s="3">
        <v>0</v>
      </c>
      <c r="I669" s="24" t="s">
        <v>2965</v>
      </c>
      <c r="J669" s="24" t="s">
        <v>2919</v>
      </c>
      <c r="K669" s="3">
        <v>26</v>
      </c>
      <c r="L669" s="3" t="s">
        <v>6797</v>
      </c>
      <c r="M669" s="3" t="str">
        <f>HYPERLINK("http://ictvonline.org/taxonomyHistory.asp?taxnode_id=20150832","ICTVonline=20150832")</f>
        <v>ICTVonline=20150832</v>
      </c>
    </row>
    <row r="670" spans="1:13" x14ac:dyDescent="0.15">
      <c r="A670" s="1" t="s">
        <v>931</v>
      </c>
      <c r="B670" s="1" t="s">
        <v>932</v>
      </c>
      <c r="D670" s="1" t="s">
        <v>1588</v>
      </c>
      <c r="E670" s="1" t="s">
        <v>1589</v>
      </c>
      <c r="F670" s="3">
        <v>0</v>
      </c>
      <c r="I670" s="24" t="s">
        <v>2965</v>
      </c>
      <c r="J670" s="24" t="s">
        <v>2919</v>
      </c>
      <c r="K670" s="3">
        <v>25</v>
      </c>
      <c r="L670" s="3" t="s">
        <v>6798</v>
      </c>
      <c r="M670" s="3" t="str">
        <f>HYPERLINK("http://ictvonline.org/taxonomyHistory.asp?taxnode_id=20150833","ICTVonline=20150833")</f>
        <v>ICTVonline=20150833</v>
      </c>
    </row>
    <row r="671" spans="1:13" x14ac:dyDescent="0.15">
      <c r="A671" s="1" t="s">
        <v>931</v>
      </c>
      <c r="B671" s="1" t="s">
        <v>932</v>
      </c>
      <c r="D671" s="1" t="s">
        <v>1588</v>
      </c>
      <c r="E671" s="1" t="s">
        <v>1590</v>
      </c>
      <c r="F671" s="3">
        <v>0</v>
      </c>
      <c r="I671" s="24" t="s">
        <v>2965</v>
      </c>
      <c r="J671" s="24" t="s">
        <v>2919</v>
      </c>
      <c r="K671" s="3">
        <v>25</v>
      </c>
      <c r="L671" s="3" t="s">
        <v>6798</v>
      </c>
      <c r="M671" s="3" t="str">
        <f>HYPERLINK("http://ictvonline.org/taxonomyHistory.asp?taxnode_id=20150834","ICTVonline=20150834")</f>
        <v>ICTVonline=20150834</v>
      </c>
    </row>
    <row r="672" spans="1:13" x14ac:dyDescent="0.15">
      <c r="A672" s="1" t="s">
        <v>931</v>
      </c>
      <c r="B672" s="1" t="s">
        <v>932</v>
      </c>
      <c r="D672" s="1" t="s">
        <v>1588</v>
      </c>
      <c r="E672" s="1" t="s">
        <v>935</v>
      </c>
      <c r="F672" s="3">
        <v>1</v>
      </c>
      <c r="I672" s="24" t="s">
        <v>2965</v>
      </c>
      <c r="J672" s="24" t="s">
        <v>2922</v>
      </c>
      <c r="K672" s="3">
        <v>25</v>
      </c>
      <c r="L672" s="3" t="s">
        <v>6798</v>
      </c>
      <c r="M672" s="3" t="str">
        <f>HYPERLINK("http://ictvonline.org/taxonomyHistory.asp?taxnode_id=20150835","ICTVonline=20150835")</f>
        <v>ICTVonline=20150835</v>
      </c>
    </row>
    <row r="673" spans="1:13" x14ac:dyDescent="0.15">
      <c r="A673" s="1" t="s">
        <v>931</v>
      </c>
      <c r="B673" s="1" t="s">
        <v>932</v>
      </c>
      <c r="D673" s="1" t="s">
        <v>1416</v>
      </c>
      <c r="E673" s="1" t="s">
        <v>1617</v>
      </c>
      <c r="F673" s="3">
        <v>0</v>
      </c>
      <c r="I673" s="24" t="s">
        <v>2965</v>
      </c>
      <c r="J673" s="24" t="s">
        <v>2919</v>
      </c>
      <c r="K673" s="3">
        <v>25</v>
      </c>
      <c r="L673" s="3" t="s">
        <v>6799</v>
      </c>
      <c r="M673" s="3" t="str">
        <f>HYPERLINK("http://ictvonline.org/taxonomyHistory.asp?taxnode_id=20150837","ICTVonline=20150837")</f>
        <v>ICTVonline=20150837</v>
      </c>
    </row>
    <row r="674" spans="1:13" x14ac:dyDescent="0.15">
      <c r="A674" s="1" t="s">
        <v>931</v>
      </c>
      <c r="B674" s="1" t="s">
        <v>932</v>
      </c>
      <c r="D674" s="1" t="s">
        <v>1416</v>
      </c>
      <c r="E674" s="1" t="s">
        <v>933</v>
      </c>
      <c r="F674" s="3">
        <v>1</v>
      </c>
      <c r="I674" s="24" t="s">
        <v>2965</v>
      </c>
      <c r="J674" s="24" t="s">
        <v>2920</v>
      </c>
      <c r="K674" s="3">
        <v>24</v>
      </c>
      <c r="L674" s="3" t="s">
        <v>6800</v>
      </c>
      <c r="M674" s="3" t="str">
        <f>HYPERLINK("http://ictvonline.org/taxonomyHistory.asp?taxnode_id=20150838","ICTVonline=20150838")</f>
        <v>ICTVonline=20150838</v>
      </c>
    </row>
    <row r="675" spans="1:13" x14ac:dyDescent="0.15">
      <c r="A675" s="1" t="s">
        <v>931</v>
      </c>
      <c r="B675" s="1" t="s">
        <v>932</v>
      </c>
      <c r="D675" s="1" t="s">
        <v>1416</v>
      </c>
      <c r="E675" s="1" t="s">
        <v>1956</v>
      </c>
      <c r="F675" s="3">
        <v>0</v>
      </c>
      <c r="I675" s="24" t="s">
        <v>2965</v>
      </c>
      <c r="J675" s="24" t="s">
        <v>2919</v>
      </c>
      <c r="K675" s="3">
        <v>25</v>
      </c>
      <c r="L675" s="3" t="s">
        <v>6799</v>
      </c>
      <c r="M675" s="3" t="str">
        <f>HYPERLINK("http://ictvonline.org/taxonomyHistory.asp?taxnode_id=20150839","ICTVonline=20150839")</f>
        <v>ICTVonline=20150839</v>
      </c>
    </row>
    <row r="676" spans="1:13" x14ac:dyDescent="0.15">
      <c r="A676" s="1" t="s">
        <v>931</v>
      </c>
      <c r="B676" s="1" t="s">
        <v>932</v>
      </c>
      <c r="D676" s="1" t="s">
        <v>1591</v>
      </c>
      <c r="E676" s="1" t="s">
        <v>1949</v>
      </c>
      <c r="F676" s="3">
        <v>1</v>
      </c>
      <c r="I676" s="24" t="s">
        <v>2965</v>
      </c>
      <c r="J676" s="24" t="s">
        <v>2921</v>
      </c>
      <c r="K676" s="3">
        <v>25</v>
      </c>
      <c r="L676" s="3" t="s">
        <v>6801</v>
      </c>
      <c r="M676" s="3" t="str">
        <f>HYPERLINK("http://ictvonline.org/taxonomyHistory.asp?taxnode_id=20150841","ICTVonline=20150841")</f>
        <v>ICTVonline=20150841</v>
      </c>
    </row>
    <row r="677" spans="1:13" x14ac:dyDescent="0.15">
      <c r="A677" s="1" t="s">
        <v>931</v>
      </c>
      <c r="B677" s="1" t="s">
        <v>932</v>
      </c>
      <c r="D677" s="1" t="s">
        <v>1591</v>
      </c>
      <c r="E677" s="1" t="s">
        <v>2270</v>
      </c>
      <c r="F677" s="3">
        <v>0</v>
      </c>
      <c r="I677" s="24" t="s">
        <v>2965</v>
      </c>
      <c r="J677" s="24" t="s">
        <v>2919</v>
      </c>
      <c r="K677" s="3">
        <v>25</v>
      </c>
      <c r="L677" s="3" t="s">
        <v>6801</v>
      </c>
      <c r="M677" s="3" t="str">
        <f>HYPERLINK("http://ictvonline.org/taxonomyHistory.asp?taxnode_id=20150842","ICTVonline=20150842")</f>
        <v>ICTVonline=20150842</v>
      </c>
    </row>
    <row r="678" spans="1:13" x14ac:dyDescent="0.15">
      <c r="A678" s="1" t="s">
        <v>931</v>
      </c>
      <c r="B678" s="1" t="s">
        <v>932</v>
      </c>
      <c r="D678" s="1" t="s">
        <v>1591</v>
      </c>
      <c r="E678" s="1" t="s">
        <v>1600</v>
      </c>
      <c r="F678" s="3">
        <v>0</v>
      </c>
      <c r="I678" s="24" t="s">
        <v>2965</v>
      </c>
      <c r="J678" s="24" t="s">
        <v>2919</v>
      </c>
      <c r="K678" s="3">
        <v>25</v>
      </c>
      <c r="L678" s="3" t="s">
        <v>6801</v>
      </c>
      <c r="M678" s="3" t="str">
        <f>HYPERLINK("http://ictvonline.org/taxonomyHistory.asp?taxnode_id=20150843","ICTVonline=20150843")</f>
        <v>ICTVonline=20150843</v>
      </c>
    </row>
    <row r="679" spans="1:13" x14ac:dyDescent="0.15">
      <c r="A679" s="1" t="s">
        <v>931</v>
      </c>
      <c r="B679" s="1" t="s">
        <v>936</v>
      </c>
      <c r="C679" s="1" t="s">
        <v>937</v>
      </c>
      <c r="D679" s="1" t="s">
        <v>938</v>
      </c>
      <c r="E679" s="1" t="s">
        <v>4368</v>
      </c>
      <c r="F679" s="3">
        <v>1</v>
      </c>
      <c r="I679" s="24" t="s">
        <v>2965</v>
      </c>
      <c r="J679" s="24" t="s">
        <v>2924</v>
      </c>
      <c r="K679" s="3">
        <v>30</v>
      </c>
      <c r="L679" s="3" t="s">
        <v>6802</v>
      </c>
      <c r="M679" s="3" t="str">
        <f>HYPERLINK("http://ictvonline.org/taxonomyHistory.asp?taxnode_id=20150847","ICTVonline=20150847")</f>
        <v>ICTVonline=20150847</v>
      </c>
    </row>
    <row r="680" spans="1:13" x14ac:dyDescent="0.15">
      <c r="A680" s="1" t="s">
        <v>931</v>
      </c>
      <c r="B680" s="1" t="s">
        <v>936</v>
      </c>
      <c r="C680" s="1" t="s">
        <v>937</v>
      </c>
      <c r="D680" s="1" t="s">
        <v>938</v>
      </c>
      <c r="E680" s="1" t="s">
        <v>4369</v>
      </c>
      <c r="F680" s="3">
        <v>0</v>
      </c>
      <c r="I680" s="24" t="s">
        <v>2965</v>
      </c>
      <c r="J680" s="24" t="s">
        <v>2924</v>
      </c>
      <c r="K680" s="3">
        <v>30</v>
      </c>
      <c r="L680" s="3" t="s">
        <v>6802</v>
      </c>
      <c r="M680" s="3" t="str">
        <f>HYPERLINK("http://ictvonline.org/taxonomyHistory.asp?taxnode_id=20150848","ICTVonline=20150848")</f>
        <v>ICTVonline=20150848</v>
      </c>
    </row>
    <row r="681" spans="1:13" x14ac:dyDescent="0.15">
      <c r="A681" s="1" t="s">
        <v>931</v>
      </c>
      <c r="B681" s="1" t="s">
        <v>936</v>
      </c>
      <c r="C681" s="1" t="s">
        <v>937</v>
      </c>
      <c r="D681" s="1" t="s">
        <v>1452</v>
      </c>
      <c r="E681" s="1" t="s">
        <v>4370</v>
      </c>
      <c r="F681" s="3">
        <v>0</v>
      </c>
      <c r="I681" s="24" t="s">
        <v>2965</v>
      </c>
      <c r="J681" s="24" t="s">
        <v>2924</v>
      </c>
      <c r="K681" s="3">
        <v>30</v>
      </c>
      <c r="L681" s="3" t="s">
        <v>6802</v>
      </c>
      <c r="M681" s="3" t="str">
        <f>HYPERLINK("http://ictvonline.org/taxonomyHistory.asp?taxnode_id=20150850","ICTVonline=20150850")</f>
        <v>ICTVonline=20150850</v>
      </c>
    </row>
    <row r="682" spans="1:13" x14ac:dyDescent="0.15">
      <c r="A682" s="1" t="s">
        <v>931</v>
      </c>
      <c r="B682" s="1" t="s">
        <v>936</v>
      </c>
      <c r="C682" s="1" t="s">
        <v>937</v>
      </c>
      <c r="D682" s="1" t="s">
        <v>1452</v>
      </c>
      <c r="E682" s="1" t="s">
        <v>4371</v>
      </c>
      <c r="F682" s="3">
        <v>0</v>
      </c>
      <c r="I682" s="24" t="s">
        <v>2965</v>
      </c>
      <c r="J682" s="24" t="s">
        <v>2924</v>
      </c>
      <c r="K682" s="3">
        <v>30</v>
      </c>
      <c r="L682" s="3" t="s">
        <v>6802</v>
      </c>
      <c r="M682" s="3" t="str">
        <f>HYPERLINK("http://ictvonline.org/taxonomyHistory.asp?taxnode_id=20150851","ICTVonline=20150851")</f>
        <v>ICTVonline=20150851</v>
      </c>
    </row>
    <row r="683" spans="1:13" x14ac:dyDescent="0.15">
      <c r="A683" s="1" t="s">
        <v>931</v>
      </c>
      <c r="B683" s="1" t="s">
        <v>936</v>
      </c>
      <c r="C683" s="1" t="s">
        <v>937</v>
      </c>
      <c r="D683" s="1" t="s">
        <v>1452</v>
      </c>
      <c r="E683" s="1" t="s">
        <v>4372</v>
      </c>
      <c r="F683" s="3">
        <v>1</v>
      </c>
      <c r="I683" s="24" t="s">
        <v>2965</v>
      </c>
      <c r="J683" s="24" t="s">
        <v>2924</v>
      </c>
      <c r="K683" s="3">
        <v>30</v>
      </c>
      <c r="L683" s="3" t="s">
        <v>6802</v>
      </c>
      <c r="M683" s="3" t="str">
        <f>HYPERLINK("http://ictvonline.org/taxonomyHistory.asp?taxnode_id=20150852","ICTVonline=20150852")</f>
        <v>ICTVonline=20150852</v>
      </c>
    </row>
    <row r="684" spans="1:13" x14ac:dyDescent="0.15">
      <c r="A684" s="1" t="s">
        <v>931</v>
      </c>
      <c r="B684" s="1" t="s">
        <v>936</v>
      </c>
      <c r="C684" s="1" t="s">
        <v>937</v>
      </c>
      <c r="D684" s="1" t="s">
        <v>1452</v>
      </c>
      <c r="E684" s="1" t="s">
        <v>4373</v>
      </c>
      <c r="F684" s="3">
        <v>0</v>
      </c>
      <c r="I684" s="24" t="s">
        <v>2965</v>
      </c>
      <c r="J684" s="24" t="s">
        <v>2924</v>
      </c>
      <c r="K684" s="3">
        <v>30</v>
      </c>
      <c r="L684" s="3" t="s">
        <v>6802</v>
      </c>
      <c r="M684" s="3" t="str">
        <f>HYPERLINK("http://ictvonline.org/taxonomyHistory.asp?taxnode_id=20150853","ICTVonline=20150853")</f>
        <v>ICTVonline=20150853</v>
      </c>
    </row>
    <row r="685" spans="1:13" x14ac:dyDescent="0.15">
      <c r="A685" s="1" t="s">
        <v>931</v>
      </c>
      <c r="B685" s="1" t="s">
        <v>936</v>
      </c>
      <c r="C685" s="1" t="s">
        <v>937</v>
      </c>
      <c r="D685" s="1" t="s">
        <v>1452</v>
      </c>
      <c r="E685" s="1" t="s">
        <v>4374</v>
      </c>
      <c r="F685" s="3">
        <v>0</v>
      </c>
      <c r="I685" s="24" t="s">
        <v>2965</v>
      </c>
      <c r="J685" s="24" t="s">
        <v>2924</v>
      </c>
      <c r="K685" s="3">
        <v>30</v>
      </c>
      <c r="L685" s="3" t="s">
        <v>6802</v>
      </c>
      <c r="M685" s="3" t="str">
        <f>HYPERLINK("http://ictvonline.org/taxonomyHistory.asp?taxnode_id=20150854","ICTVonline=20150854")</f>
        <v>ICTVonline=20150854</v>
      </c>
    </row>
    <row r="686" spans="1:13" x14ac:dyDescent="0.15">
      <c r="A686" s="1" t="s">
        <v>931</v>
      </c>
      <c r="B686" s="1" t="s">
        <v>936</v>
      </c>
      <c r="C686" s="1" t="s">
        <v>937</v>
      </c>
      <c r="D686" s="1" t="s">
        <v>1408</v>
      </c>
      <c r="E686" s="1" t="s">
        <v>4375</v>
      </c>
      <c r="F686" s="3">
        <v>1</v>
      </c>
      <c r="I686" s="24" t="s">
        <v>2965</v>
      </c>
      <c r="J686" s="24" t="s">
        <v>2924</v>
      </c>
      <c r="K686" s="3">
        <v>30</v>
      </c>
      <c r="L686" s="3" t="s">
        <v>6802</v>
      </c>
      <c r="M686" s="3" t="str">
        <f>HYPERLINK("http://ictvonline.org/taxonomyHistory.asp?taxnode_id=20150856","ICTVonline=20150856")</f>
        <v>ICTVonline=20150856</v>
      </c>
    </row>
    <row r="687" spans="1:13" x14ac:dyDescent="0.15">
      <c r="A687" s="1" t="s">
        <v>931</v>
      </c>
      <c r="B687" s="1" t="s">
        <v>936</v>
      </c>
      <c r="C687" s="1" t="s">
        <v>937</v>
      </c>
      <c r="D687" s="1" t="s">
        <v>1341</v>
      </c>
      <c r="E687" s="1" t="s">
        <v>4376</v>
      </c>
      <c r="F687" s="3">
        <v>0</v>
      </c>
      <c r="I687" s="24" t="s">
        <v>2965</v>
      </c>
      <c r="J687" s="24" t="s">
        <v>2924</v>
      </c>
      <c r="K687" s="3">
        <v>30</v>
      </c>
      <c r="L687" s="3" t="s">
        <v>6802</v>
      </c>
      <c r="M687" s="3" t="str">
        <f>HYPERLINK("http://ictvonline.org/taxonomyHistory.asp?taxnode_id=20150858","ICTVonline=20150858")</f>
        <v>ICTVonline=20150858</v>
      </c>
    </row>
    <row r="688" spans="1:13" x14ac:dyDescent="0.15">
      <c r="A688" s="1" t="s">
        <v>931</v>
      </c>
      <c r="B688" s="1" t="s">
        <v>936</v>
      </c>
      <c r="C688" s="1" t="s">
        <v>937</v>
      </c>
      <c r="D688" s="1" t="s">
        <v>1341</v>
      </c>
      <c r="E688" s="1" t="s">
        <v>4377</v>
      </c>
      <c r="F688" s="3">
        <v>0</v>
      </c>
      <c r="I688" s="24" t="s">
        <v>2965</v>
      </c>
      <c r="J688" s="24" t="s">
        <v>2924</v>
      </c>
      <c r="K688" s="3">
        <v>30</v>
      </c>
      <c r="L688" s="3" t="s">
        <v>6802</v>
      </c>
      <c r="M688" s="3" t="str">
        <f>HYPERLINK("http://ictvonline.org/taxonomyHistory.asp?taxnode_id=20150859","ICTVonline=20150859")</f>
        <v>ICTVonline=20150859</v>
      </c>
    </row>
    <row r="689" spans="1:13" x14ac:dyDescent="0.15">
      <c r="A689" s="1" t="s">
        <v>931</v>
      </c>
      <c r="B689" s="1" t="s">
        <v>936</v>
      </c>
      <c r="C689" s="1" t="s">
        <v>937</v>
      </c>
      <c r="D689" s="1" t="s">
        <v>1341</v>
      </c>
      <c r="E689" s="1" t="s">
        <v>4378</v>
      </c>
      <c r="F689" s="3">
        <v>0</v>
      </c>
      <c r="I689" s="24" t="s">
        <v>2965</v>
      </c>
      <c r="J689" s="24" t="s">
        <v>2924</v>
      </c>
      <c r="K689" s="3">
        <v>30</v>
      </c>
      <c r="L689" s="3" t="s">
        <v>6802</v>
      </c>
      <c r="M689" s="3" t="str">
        <f>HYPERLINK("http://ictvonline.org/taxonomyHistory.asp?taxnode_id=20150860","ICTVonline=20150860")</f>
        <v>ICTVonline=20150860</v>
      </c>
    </row>
    <row r="690" spans="1:13" x14ac:dyDescent="0.15">
      <c r="A690" s="1" t="s">
        <v>931</v>
      </c>
      <c r="B690" s="1" t="s">
        <v>936</v>
      </c>
      <c r="C690" s="1" t="s">
        <v>937</v>
      </c>
      <c r="D690" s="1" t="s">
        <v>1341</v>
      </c>
      <c r="E690" s="1" t="s">
        <v>4379</v>
      </c>
      <c r="F690" s="3">
        <v>1</v>
      </c>
      <c r="I690" s="24" t="s">
        <v>2965</v>
      </c>
      <c r="J690" s="24" t="s">
        <v>2924</v>
      </c>
      <c r="K690" s="3">
        <v>30</v>
      </c>
      <c r="L690" s="3" t="s">
        <v>6802</v>
      </c>
      <c r="M690" s="3" t="str">
        <f>HYPERLINK("http://ictvonline.org/taxonomyHistory.asp?taxnode_id=20150861","ICTVonline=20150861")</f>
        <v>ICTVonline=20150861</v>
      </c>
    </row>
    <row r="691" spans="1:13" x14ac:dyDescent="0.15">
      <c r="A691" s="1" t="s">
        <v>931</v>
      </c>
      <c r="B691" s="1" t="s">
        <v>936</v>
      </c>
      <c r="C691" s="1" t="s">
        <v>937</v>
      </c>
      <c r="D691" s="1" t="s">
        <v>1341</v>
      </c>
      <c r="E691" s="1" t="s">
        <v>4380</v>
      </c>
      <c r="F691" s="3">
        <v>0</v>
      </c>
      <c r="I691" s="24" t="s">
        <v>2965</v>
      </c>
      <c r="J691" s="24" t="s">
        <v>2924</v>
      </c>
      <c r="K691" s="3">
        <v>30</v>
      </c>
      <c r="L691" s="3" t="s">
        <v>6802</v>
      </c>
      <c r="M691" s="3" t="str">
        <f>HYPERLINK("http://ictvonline.org/taxonomyHistory.asp?taxnode_id=20150862","ICTVonline=20150862")</f>
        <v>ICTVonline=20150862</v>
      </c>
    </row>
    <row r="692" spans="1:13" x14ac:dyDescent="0.15">
      <c r="A692" s="1" t="s">
        <v>931</v>
      </c>
      <c r="B692" s="1" t="s">
        <v>936</v>
      </c>
      <c r="C692" s="1" t="s">
        <v>937</v>
      </c>
      <c r="D692" s="1" t="s">
        <v>1341</v>
      </c>
      <c r="E692" s="1" t="s">
        <v>4381</v>
      </c>
      <c r="F692" s="3">
        <v>0</v>
      </c>
      <c r="I692" s="24" t="s">
        <v>2965</v>
      </c>
      <c r="J692" s="24" t="s">
        <v>2924</v>
      </c>
      <c r="K692" s="3">
        <v>30</v>
      </c>
      <c r="L692" s="3" t="s">
        <v>6802</v>
      </c>
      <c r="M692" s="3" t="str">
        <f>HYPERLINK("http://ictvonline.org/taxonomyHistory.asp?taxnode_id=20150863","ICTVonline=20150863")</f>
        <v>ICTVonline=20150863</v>
      </c>
    </row>
    <row r="693" spans="1:13" x14ac:dyDescent="0.15">
      <c r="A693" s="1" t="s">
        <v>931</v>
      </c>
      <c r="B693" s="1" t="s">
        <v>936</v>
      </c>
      <c r="C693" s="1" t="s">
        <v>937</v>
      </c>
      <c r="D693" s="1" t="s">
        <v>1341</v>
      </c>
      <c r="E693" s="1" t="s">
        <v>4382</v>
      </c>
      <c r="F693" s="3">
        <v>0</v>
      </c>
      <c r="I693" s="24" t="s">
        <v>2965</v>
      </c>
      <c r="J693" s="24" t="s">
        <v>2924</v>
      </c>
      <c r="K693" s="3">
        <v>30</v>
      </c>
      <c r="L693" s="3" t="s">
        <v>6802</v>
      </c>
      <c r="M693" s="3" t="str">
        <f>HYPERLINK("http://ictvonline.org/taxonomyHistory.asp?taxnode_id=20150864","ICTVonline=20150864")</f>
        <v>ICTVonline=20150864</v>
      </c>
    </row>
    <row r="694" spans="1:13" x14ac:dyDescent="0.15">
      <c r="A694" s="1" t="s">
        <v>931</v>
      </c>
      <c r="B694" s="1" t="s">
        <v>936</v>
      </c>
      <c r="C694" s="1" t="s">
        <v>937</v>
      </c>
      <c r="D694" s="1" t="s">
        <v>1341</v>
      </c>
      <c r="E694" s="1" t="s">
        <v>4383</v>
      </c>
      <c r="F694" s="3">
        <v>0</v>
      </c>
      <c r="I694" s="24" t="s">
        <v>2965</v>
      </c>
      <c r="J694" s="24" t="s">
        <v>2924</v>
      </c>
      <c r="K694" s="3">
        <v>30</v>
      </c>
      <c r="L694" s="3" t="s">
        <v>6802</v>
      </c>
      <c r="M694" s="3" t="str">
        <f>HYPERLINK("http://ictvonline.org/taxonomyHistory.asp?taxnode_id=20150865","ICTVonline=20150865")</f>
        <v>ICTVonline=20150865</v>
      </c>
    </row>
    <row r="695" spans="1:13" x14ac:dyDescent="0.15">
      <c r="A695" s="1" t="s">
        <v>931</v>
      </c>
      <c r="B695" s="1" t="s">
        <v>936</v>
      </c>
      <c r="C695" s="1" t="s">
        <v>937</v>
      </c>
      <c r="D695" s="1" t="s">
        <v>1341</v>
      </c>
      <c r="E695" s="1" t="s">
        <v>4384</v>
      </c>
      <c r="F695" s="3">
        <v>0</v>
      </c>
      <c r="I695" s="24" t="s">
        <v>2965</v>
      </c>
      <c r="J695" s="24" t="s">
        <v>2924</v>
      </c>
      <c r="K695" s="3">
        <v>30</v>
      </c>
      <c r="L695" s="3" t="s">
        <v>6802</v>
      </c>
      <c r="M695" s="3" t="str">
        <f>HYPERLINK("http://ictvonline.org/taxonomyHistory.asp?taxnode_id=20150866","ICTVonline=20150866")</f>
        <v>ICTVonline=20150866</v>
      </c>
    </row>
    <row r="696" spans="1:13" x14ac:dyDescent="0.15">
      <c r="A696" s="1" t="s">
        <v>931</v>
      </c>
      <c r="B696" s="1" t="s">
        <v>936</v>
      </c>
      <c r="C696" s="1" t="s">
        <v>937</v>
      </c>
      <c r="D696" s="1" t="s">
        <v>1341</v>
      </c>
      <c r="E696" s="1" t="s">
        <v>4385</v>
      </c>
      <c r="F696" s="3">
        <v>0</v>
      </c>
      <c r="G696" s="24" t="s">
        <v>7381</v>
      </c>
      <c r="H696" s="24" t="s">
        <v>4386</v>
      </c>
      <c r="I696" s="24" t="s">
        <v>2965</v>
      </c>
      <c r="J696" s="24" t="s">
        <v>2919</v>
      </c>
      <c r="K696" s="3">
        <v>30</v>
      </c>
      <c r="L696" s="3" t="s">
        <v>6803</v>
      </c>
      <c r="M696" s="3" t="str">
        <f>HYPERLINK("http://ictvonline.org/taxonomyHistory.asp?taxnode_id=20150869","ICTVonline=20150869")</f>
        <v>ICTVonline=20150869</v>
      </c>
    </row>
    <row r="697" spans="1:13" x14ac:dyDescent="0.15">
      <c r="A697" s="1" t="s">
        <v>931</v>
      </c>
      <c r="B697" s="1" t="s">
        <v>936</v>
      </c>
      <c r="C697" s="1" t="s">
        <v>937</v>
      </c>
      <c r="D697" s="1" t="s">
        <v>1341</v>
      </c>
      <c r="E697" s="1" t="s">
        <v>4387</v>
      </c>
      <c r="F697" s="3">
        <v>0</v>
      </c>
      <c r="I697" s="24" t="s">
        <v>2965</v>
      </c>
      <c r="J697" s="24" t="s">
        <v>2924</v>
      </c>
      <c r="K697" s="3">
        <v>30</v>
      </c>
      <c r="L697" s="3" t="s">
        <v>6802</v>
      </c>
      <c r="M697" s="3" t="str">
        <f>HYPERLINK("http://ictvonline.org/taxonomyHistory.asp?taxnode_id=20150867","ICTVonline=20150867")</f>
        <v>ICTVonline=20150867</v>
      </c>
    </row>
    <row r="698" spans="1:13" x14ac:dyDescent="0.15">
      <c r="A698" s="1" t="s">
        <v>931</v>
      </c>
      <c r="B698" s="1" t="s">
        <v>936</v>
      </c>
      <c r="C698" s="1" t="s">
        <v>937</v>
      </c>
      <c r="D698" s="1" t="s">
        <v>1341</v>
      </c>
      <c r="E698" s="1" t="s">
        <v>4388</v>
      </c>
      <c r="F698" s="3">
        <v>0</v>
      </c>
      <c r="I698" s="24" t="s">
        <v>2965</v>
      </c>
      <c r="J698" s="24" t="s">
        <v>2924</v>
      </c>
      <c r="K698" s="3">
        <v>30</v>
      </c>
      <c r="L698" s="3" t="s">
        <v>6802</v>
      </c>
      <c r="M698" s="3" t="str">
        <f>HYPERLINK("http://ictvonline.org/taxonomyHistory.asp?taxnode_id=20150868","ICTVonline=20150868")</f>
        <v>ICTVonline=20150868</v>
      </c>
    </row>
    <row r="699" spans="1:13" x14ac:dyDescent="0.15">
      <c r="A699" s="1" t="s">
        <v>931</v>
      </c>
      <c r="B699" s="1" t="s">
        <v>936</v>
      </c>
      <c r="C699" s="1" t="s">
        <v>937</v>
      </c>
      <c r="D699" s="1" t="s">
        <v>934</v>
      </c>
      <c r="E699" s="1" t="s">
        <v>4389</v>
      </c>
      <c r="F699" s="3">
        <v>0</v>
      </c>
      <c r="I699" s="24" t="s">
        <v>2965</v>
      </c>
      <c r="J699" s="24" t="s">
        <v>2924</v>
      </c>
      <c r="K699" s="3">
        <v>30</v>
      </c>
      <c r="L699" s="3" t="s">
        <v>6802</v>
      </c>
      <c r="M699" s="3" t="str">
        <f>HYPERLINK("http://ictvonline.org/taxonomyHistory.asp?taxnode_id=20150871","ICTVonline=20150871")</f>
        <v>ICTVonline=20150871</v>
      </c>
    </row>
    <row r="700" spans="1:13" x14ac:dyDescent="0.15">
      <c r="A700" s="1" t="s">
        <v>931</v>
      </c>
      <c r="B700" s="1" t="s">
        <v>936</v>
      </c>
      <c r="C700" s="1" t="s">
        <v>937</v>
      </c>
      <c r="D700" s="1" t="s">
        <v>1342</v>
      </c>
      <c r="E700" s="1" t="s">
        <v>4390</v>
      </c>
      <c r="F700" s="3">
        <v>0</v>
      </c>
      <c r="I700" s="24" t="s">
        <v>2965</v>
      </c>
      <c r="J700" s="24" t="s">
        <v>2924</v>
      </c>
      <c r="K700" s="3">
        <v>30</v>
      </c>
      <c r="L700" s="3" t="s">
        <v>6802</v>
      </c>
      <c r="M700" s="3" t="str">
        <f>HYPERLINK("http://ictvonline.org/taxonomyHistory.asp?taxnode_id=20150873","ICTVonline=20150873")</f>
        <v>ICTVonline=20150873</v>
      </c>
    </row>
    <row r="701" spans="1:13" x14ac:dyDescent="0.15">
      <c r="A701" s="1" t="s">
        <v>931</v>
      </c>
      <c r="B701" s="1" t="s">
        <v>936</v>
      </c>
      <c r="C701" s="1" t="s">
        <v>937</v>
      </c>
      <c r="D701" s="1" t="s">
        <v>1342</v>
      </c>
      <c r="E701" s="1" t="s">
        <v>4391</v>
      </c>
      <c r="F701" s="3">
        <v>0</v>
      </c>
      <c r="I701" s="24" t="s">
        <v>2965</v>
      </c>
      <c r="J701" s="24" t="s">
        <v>2924</v>
      </c>
      <c r="K701" s="3">
        <v>30</v>
      </c>
      <c r="L701" s="3" t="s">
        <v>6802</v>
      </c>
      <c r="M701" s="3" t="str">
        <f>HYPERLINK("http://ictvonline.org/taxonomyHistory.asp?taxnode_id=20150874","ICTVonline=20150874")</f>
        <v>ICTVonline=20150874</v>
      </c>
    </row>
    <row r="702" spans="1:13" x14ac:dyDescent="0.15">
      <c r="A702" s="1" t="s">
        <v>931</v>
      </c>
      <c r="B702" s="1" t="s">
        <v>936</v>
      </c>
      <c r="C702" s="1" t="s">
        <v>937</v>
      </c>
      <c r="D702" s="1" t="s">
        <v>1342</v>
      </c>
      <c r="E702" s="1" t="s">
        <v>4392</v>
      </c>
      <c r="F702" s="3">
        <v>0</v>
      </c>
      <c r="I702" s="24" t="s">
        <v>2965</v>
      </c>
      <c r="J702" s="24" t="s">
        <v>2924</v>
      </c>
      <c r="K702" s="3">
        <v>30</v>
      </c>
      <c r="L702" s="3" t="s">
        <v>6802</v>
      </c>
      <c r="M702" s="3" t="str">
        <f>HYPERLINK("http://ictvonline.org/taxonomyHistory.asp?taxnode_id=20150875","ICTVonline=20150875")</f>
        <v>ICTVonline=20150875</v>
      </c>
    </row>
    <row r="703" spans="1:13" x14ac:dyDescent="0.15">
      <c r="A703" s="1" t="s">
        <v>931</v>
      </c>
      <c r="B703" s="1" t="s">
        <v>936</v>
      </c>
      <c r="C703" s="1" t="s">
        <v>937</v>
      </c>
      <c r="D703" s="1" t="s">
        <v>1342</v>
      </c>
      <c r="E703" s="1" t="s">
        <v>4393</v>
      </c>
      <c r="F703" s="3">
        <v>0</v>
      </c>
      <c r="I703" s="24" t="s">
        <v>2965</v>
      </c>
      <c r="J703" s="24" t="s">
        <v>2924</v>
      </c>
      <c r="K703" s="3">
        <v>30</v>
      </c>
      <c r="L703" s="3" t="s">
        <v>6802</v>
      </c>
      <c r="M703" s="3" t="str">
        <f>HYPERLINK("http://ictvonline.org/taxonomyHistory.asp?taxnode_id=20150876","ICTVonline=20150876")</f>
        <v>ICTVonline=20150876</v>
      </c>
    </row>
    <row r="704" spans="1:13" x14ac:dyDescent="0.15">
      <c r="A704" s="1" t="s">
        <v>931</v>
      </c>
      <c r="B704" s="1" t="s">
        <v>936</v>
      </c>
      <c r="C704" s="1" t="s">
        <v>937</v>
      </c>
      <c r="D704" s="1" t="s">
        <v>1342</v>
      </c>
      <c r="E704" s="1" t="s">
        <v>4394</v>
      </c>
      <c r="F704" s="3">
        <v>0</v>
      </c>
      <c r="I704" s="24" t="s">
        <v>2965</v>
      </c>
      <c r="J704" s="24" t="s">
        <v>2924</v>
      </c>
      <c r="K704" s="3">
        <v>30</v>
      </c>
      <c r="L704" s="3" t="s">
        <v>6802</v>
      </c>
      <c r="M704" s="3" t="str">
        <f>HYPERLINK("http://ictvonline.org/taxonomyHistory.asp?taxnode_id=20150877","ICTVonline=20150877")</f>
        <v>ICTVonline=20150877</v>
      </c>
    </row>
    <row r="705" spans="1:13" x14ac:dyDescent="0.15">
      <c r="A705" s="1" t="s">
        <v>931</v>
      </c>
      <c r="B705" s="1" t="s">
        <v>936</v>
      </c>
      <c r="C705" s="1" t="s">
        <v>937</v>
      </c>
      <c r="D705" s="1" t="s">
        <v>1342</v>
      </c>
      <c r="E705" s="1" t="s">
        <v>4395</v>
      </c>
      <c r="F705" s="3">
        <v>0</v>
      </c>
      <c r="I705" s="24" t="s">
        <v>2965</v>
      </c>
      <c r="J705" s="24" t="s">
        <v>2924</v>
      </c>
      <c r="K705" s="3">
        <v>30</v>
      </c>
      <c r="L705" s="3" t="s">
        <v>6802</v>
      </c>
      <c r="M705" s="3" t="str">
        <f>HYPERLINK("http://ictvonline.org/taxonomyHistory.asp?taxnode_id=20150878","ICTVonline=20150878")</f>
        <v>ICTVonline=20150878</v>
      </c>
    </row>
    <row r="706" spans="1:13" x14ac:dyDescent="0.15">
      <c r="A706" s="1" t="s">
        <v>931</v>
      </c>
      <c r="B706" s="1" t="s">
        <v>936</v>
      </c>
      <c r="C706" s="1" t="s">
        <v>937</v>
      </c>
      <c r="D706" s="1" t="s">
        <v>1342</v>
      </c>
      <c r="E706" s="1" t="s">
        <v>4396</v>
      </c>
      <c r="F706" s="3">
        <v>0</v>
      </c>
      <c r="I706" s="24" t="s">
        <v>2965</v>
      </c>
      <c r="J706" s="24" t="s">
        <v>2924</v>
      </c>
      <c r="K706" s="3">
        <v>30</v>
      </c>
      <c r="L706" s="3" t="s">
        <v>6802</v>
      </c>
      <c r="M706" s="3" t="str">
        <f>HYPERLINK("http://ictvonline.org/taxonomyHistory.asp?taxnode_id=20150879","ICTVonline=20150879")</f>
        <v>ICTVonline=20150879</v>
      </c>
    </row>
    <row r="707" spans="1:13" x14ac:dyDescent="0.15">
      <c r="A707" s="1" t="s">
        <v>931</v>
      </c>
      <c r="B707" s="1" t="s">
        <v>936</v>
      </c>
      <c r="C707" s="1" t="s">
        <v>937</v>
      </c>
      <c r="D707" s="1" t="s">
        <v>1342</v>
      </c>
      <c r="E707" s="1" t="s">
        <v>4397</v>
      </c>
      <c r="F707" s="3">
        <v>0</v>
      </c>
      <c r="I707" s="24" t="s">
        <v>2965</v>
      </c>
      <c r="J707" s="24" t="s">
        <v>2924</v>
      </c>
      <c r="K707" s="3">
        <v>30</v>
      </c>
      <c r="L707" s="3" t="s">
        <v>6802</v>
      </c>
      <c r="M707" s="3" t="str">
        <f>HYPERLINK("http://ictvonline.org/taxonomyHistory.asp?taxnode_id=20150880","ICTVonline=20150880")</f>
        <v>ICTVonline=20150880</v>
      </c>
    </row>
    <row r="708" spans="1:13" x14ac:dyDescent="0.15">
      <c r="A708" s="1" t="s">
        <v>931</v>
      </c>
      <c r="B708" s="1" t="s">
        <v>936</v>
      </c>
      <c r="C708" s="1" t="s">
        <v>937</v>
      </c>
      <c r="D708" s="1" t="s">
        <v>1342</v>
      </c>
      <c r="E708" s="1" t="s">
        <v>4398</v>
      </c>
      <c r="F708" s="3">
        <v>0</v>
      </c>
      <c r="I708" s="24" t="s">
        <v>2965</v>
      </c>
      <c r="J708" s="24" t="s">
        <v>2924</v>
      </c>
      <c r="K708" s="3">
        <v>30</v>
      </c>
      <c r="L708" s="3" t="s">
        <v>6802</v>
      </c>
      <c r="M708" s="3" t="str">
        <f>HYPERLINK("http://ictvonline.org/taxonomyHistory.asp?taxnode_id=20150881","ICTVonline=20150881")</f>
        <v>ICTVonline=20150881</v>
      </c>
    </row>
    <row r="709" spans="1:13" x14ac:dyDescent="0.15">
      <c r="A709" s="1" t="s">
        <v>931</v>
      </c>
      <c r="B709" s="1" t="s">
        <v>936</v>
      </c>
      <c r="C709" s="1" t="s">
        <v>937</v>
      </c>
      <c r="D709" s="1" t="s">
        <v>1342</v>
      </c>
      <c r="E709" s="1" t="s">
        <v>4399</v>
      </c>
      <c r="F709" s="3">
        <v>0</v>
      </c>
      <c r="I709" s="24" t="s">
        <v>2965</v>
      </c>
      <c r="J709" s="24" t="s">
        <v>2924</v>
      </c>
      <c r="K709" s="3">
        <v>30</v>
      </c>
      <c r="L709" s="3" t="s">
        <v>6802</v>
      </c>
      <c r="M709" s="3" t="str">
        <f>HYPERLINK("http://ictvonline.org/taxonomyHistory.asp?taxnode_id=20150882","ICTVonline=20150882")</f>
        <v>ICTVonline=20150882</v>
      </c>
    </row>
    <row r="710" spans="1:13" x14ac:dyDescent="0.15">
      <c r="A710" s="1" t="s">
        <v>931</v>
      </c>
      <c r="B710" s="1" t="s">
        <v>936</v>
      </c>
      <c r="C710" s="1" t="s">
        <v>937</v>
      </c>
      <c r="D710" s="1" t="s">
        <v>1342</v>
      </c>
      <c r="E710" s="1" t="s">
        <v>4400</v>
      </c>
      <c r="F710" s="3">
        <v>0</v>
      </c>
      <c r="I710" s="24" t="s">
        <v>2965</v>
      </c>
      <c r="J710" s="24" t="s">
        <v>2924</v>
      </c>
      <c r="K710" s="3">
        <v>30</v>
      </c>
      <c r="L710" s="3" t="s">
        <v>6802</v>
      </c>
      <c r="M710" s="3" t="str">
        <f>HYPERLINK("http://ictvonline.org/taxonomyHistory.asp?taxnode_id=20150883","ICTVonline=20150883")</f>
        <v>ICTVonline=20150883</v>
      </c>
    </row>
    <row r="711" spans="1:13" x14ac:dyDescent="0.15">
      <c r="A711" s="1" t="s">
        <v>931</v>
      </c>
      <c r="B711" s="1" t="s">
        <v>936</v>
      </c>
      <c r="C711" s="1" t="s">
        <v>937</v>
      </c>
      <c r="D711" s="1" t="s">
        <v>1342</v>
      </c>
      <c r="E711" s="1" t="s">
        <v>4401</v>
      </c>
      <c r="F711" s="3">
        <v>0</v>
      </c>
      <c r="I711" s="24" t="s">
        <v>2965</v>
      </c>
      <c r="J711" s="24" t="s">
        <v>2924</v>
      </c>
      <c r="K711" s="3">
        <v>30</v>
      </c>
      <c r="L711" s="3" t="s">
        <v>6802</v>
      </c>
      <c r="M711" s="3" t="str">
        <f>HYPERLINK("http://ictvonline.org/taxonomyHistory.asp?taxnode_id=20150884","ICTVonline=20150884")</f>
        <v>ICTVonline=20150884</v>
      </c>
    </row>
    <row r="712" spans="1:13" x14ac:dyDescent="0.15">
      <c r="A712" s="1" t="s">
        <v>931</v>
      </c>
      <c r="B712" s="1" t="s">
        <v>936</v>
      </c>
      <c r="C712" s="1" t="s">
        <v>937</v>
      </c>
      <c r="D712" s="1" t="s">
        <v>1342</v>
      </c>
      <c r="E712" s="1" t="s">
        <v>4402</v>
      </c>
      <c r="F712" s="3">
        <v>0</v>
      </c>
      <c r="I712" s="24" t="s">
        <v>2965</v>
      </c>
      <c r="J712" s="24" t="s">
        <v>2924</v>
      </c>
      <c r="K712" s="3">
        <v>30</v>
      </c>
      <c r="L712" s="3" t="s">
        <v>6802</v>
      </c>
      <c r="M712" s="3" t="str">
        <f>HYPERLINK("http://ictvonline.org/taxonomyHistory.asp?taxnode_id=20150885","ICTVonline=20150885")</f>
        <v>ICTVonline=20150885</v>
      </c>
    </row>
    <row r="713" spans="1:13" x14ac:dyDescent="0.15">
      <c r="A713" s="1" t="s">
        <v>931</v>
      </c>
      <c r="B713" s="1" t="s">
        <v>936</v>
      </c>
      <c r="C713" s="1" t="s">
        <v>937</v>
      </c>
      <c r="D713" s="1" t="s">
        <v>1342</v>
      </c>
      <c r="E713" s="1" t="s">
        <v>4403</v>
      </c>
      <c r="F713" s="3">
        <v>0</v>
      </c>
      <c r="I713" s="24" t="s">
        <v>2965</v>
      </c>
      <c r="J713" s="24" t="s">
        <v>2924</v>
      </c>
      <c r="K713" s="3">
        <v>30</v>
      </c>
      <c r="L713" s="3" t="s">
        <v>6802</v>
      </c>
      <c r="M713" s="3" t="str">
        <f>HYPERLINK("http://ictvonline.org/taxonomyHistory.asp?taxnode_id=20150886","ICTVonline=20150886")</f>
        <v>ICTVonline=20150886</v>
      </c>
    </row>
    <row r="714" spans="1:13" x14ac:dyDescent="0.15">
      <c r="A714" s="1" t="s">
        <v>931</v>
      </c>
      <c r="B714" s="1" t="s">
        <v>936</v>
      </c>
      <c r="C714" s="1" t="s">
        <v>937</v>
      </c>
      <c r="D714" s="1" t="s">
        <v>1342</v>
      </c>
      <c r="E714" s="1" t="s">
        <v>4404</v>
      </c>
      <c r="F714" s="3">
        <v>1</v>
      </c>
      <c r="I714" s="24" t="s">
        <v>2965</v>
      </c>
      <c r="J714" s="24" t="s">
        <v>2924</v>
      </c>
      <c r="K714" s="3">
        <v>30</v>
      </c>
      <c r="L714" s="3" t="s">
        <v>6802</v>
      </c>
      <c r="M714" s="3" t="str">
        <f>HYPERLINK("http://ictvonline.org/taxonomyHistory.asp?taxnode_id=20150887","ICTVonline=20150887")</f>
        <v>ICTVonline=20150887</v>
      </c>
    </row>
    <row r="715" spans="1:13" x14ac:dyDescent="0.15">
      <c r="A715" s="1" t="s">
        <v>931</v>
      </c>
      <c r="B715" s="1" t="s">
        <v>936</v>
      </c>
      <c r="C715" s="1" t="s">
        <v>937</v>
      </c>
      <c r="D715" s="1" t="s">
        <v>1342</v>
      </c>
      <c r="E715" s="1" t="s">
        <v>4405</v>
      </c>
      <c r="F715" s="3">
        <v>0</v>
      </c>
      <c r="I715" s="24" t="s">
        <v>2965</v>
      </c>
      <c r="J715" s="24" t="s">
        <v>2924</v>
      </c>
      <c r="K715" s="3">
        <v>30</v>
      </c>
      <c r="L715" s="3" t="s">
        <v>6802</v>
      </c>
      <c r="M715" s="3" t="str">
        <f>HYPERLINK("http://ictvonline.org/taxonomyHistory.asp?taxnode_id=20150888","ICTVonline=20150888")</f>
        <v>ICTVonline=20150888</v>
      </c>
    </row>
    <row r="716" spans="1:13" x14ac:dyDescent="0.15">
      <c r="A716" s="1" t="s">
        <v>931</v>
      </c>
      <c r="B716" s="1" t="s">
        <v>936</v>
      </c>
      <c r="C716" s="1" t="s">
        <v>937</v>
      </c>
      <c r="D716" s="1" t="s">
        <v>1342</v>
      </c>
      <c r="E716" s="1" t="s">
        <v>4406</v>
      </c>
      <c r="F716" s="3">
        <v>0</v>
      </c>
      <c r="I716" s="24" t="s">
        <v>2965</v>
      </c>
      <c r="J716" s="24" t="s">
        <v>2924</v>
      </c>
      <c r="K716" s="3">
        <v>30</v>
      </c>
      <c r="L716" s="3" t="s">
        <v>6802</v>
      </c>
      <c r="M716" s="3" t="str">
        <f>HYPERLINK("http://ictvonline.org/taxonomyHistory.asp?taxnode_id=20150889","ICTVonline=20150889")</f>
        <v>ICTVonline=20150889</v>
      </c>
    </row>
    <row r="717" spans="1:13" x14ac:dyDescent="0.15">
      <c r="A717" s="1" t="s">
        <v>931</v>
      </c>
      <c r="B717" s="1" t="s">
        <v>936</v>
      </c>
      <c r="C717" s="1" t="s">
        <v>1467</v>
      </c>
      <c r="D717" s="1" t="s">
        <v>704</v>
      </c>
      <c r="E717" s="1" t="s">
        <v>4407</v>
      </c>
      <c r="F717" s="3">
        <v>0</v>
      </c>
      <c r="I717" s="24" t="s">
        <v>2965</v>
      </c>
      <c r="J717" s="24" t="s">
        <v>2924</v>
      </c>
      <c r="K717" s="3">
        <v>30</v>
      </c>
      <c r="L717" s="3" t="s">
        <v>6802</v>
      </c>
      <c r="M717" s="3" t="str">
        <f>HYPERLINK("http://ictvonline.org/taxonomyHistory.asp?taxnode_id=20150892","ICTVonline=20150892")</f>
        <v>ICTVonline=20150892</v>
      </c>
    </row>
    <row r="718" spans="1:13" x14ac:dyDescent="0.15">
      <c r="A718" s="1" t="s">
        <v>931</v>
      </c>
      <c r="B718" s="1" t="s">
        <v>936</v>
      </c>
      <c r="C718" s="1" t="s">
        <v>1467</v>
      </c>
      <c r="D718" s="1" t="s">
        <v>704</v>
      </c>
      <c r="E718" s="1" t="s">
        <v>4408</v>
      </c>
      <c r="F718" s="3">
        <v>0</v>
      </c>
      <c r="I718" s="24" t="s">
        <v>2965</v>
      </c>
      <c r="J718" s="24" t="s">
        <v>2924</v>
      </c>
      <c r="K718" s="3">
        <v>30</v>
      </c>
      <c r="L718" s="3" t="s">
        <v>6802</v>
      </c>
      <c r="M718" s="3" t="str">
        <f>HYPERLINK("http://ictvonline.org/taxonomyHistory.asp?taxnode_id=20150893","ICTVonline=20150893")</f>
        <v>ICTVonline=20150893</v>
      </c>
    </row>
    <row r="719" spans="1:13" x14ac:dyDescent="0.15">
      <c r="A719" s="1" t="s">
        <v>931</v>
      </c>
      <c r="B719" s="1" t="s">
        <v>936</v>
      </c>
      <c r="C719" s="1" t="s">
        <v>1467</v>
      </c>
      <c r="D719" s="1" t="s">
        <v>704</v>
      </c>
      <c r="E719" s="1" t="s">
        <v>4409</v>
      </c>
      <c r="F719" s="3">
        <v>0</v>
      </c>
      <c r="I719" s="24" t="s">
        <v>2965</v>
      </c>
      <c r="J719" s="24" t="s">
        <v>2924</v>
      </c>
      <c r="K719" s="3">
        <v>30</v>
      </c>
      <c r="L719" s="3" t="s">
        <v>6802</v>
      </c>
      <c r="M719" s="3" t="str">
        <f>HYPERLINK("http://ictvonline.org/taxonomyHistory.asp?taxnode_id=20150894","ICTVonline=20150894")</f>
        <v>ICTVonline=20150894</v>
      </c>
    </row>
    <row r="720" spans="1:13" x14ac:dyDescent="0.15">
      <c r="A720" s="1" t="s">
        <v>931</v>
      </c>
      <c r="B720" s="1" t="s">
        <v>936</v>
      </c>
      <c r="C720" s="1" t="s">
        <v>1467</v>
      </c>
      <c r="D720" s="1" t="s">
        <v>704</v>
      </c>
      <c r="E720" s="1" t="s">
        <v>4410</v>
      </c>
      <c r="F720" s="3">
        <v>1</v>
      </c>
      <c r="I720" s="24" t="s">
        <v>2965</v>
      </c>
      <c r="J720" s="24" t="s">
        <v>2924</v>
      </c>
      <c r="K720" s="3">
        <v>30</v>
      </c>
      <c r="L720" s="3" t="s">
        <v>6802</v>
      </c>
      <c r="M720" s="3" t="str">
        <f>HYPERLINK("http://ictvonline.org/taxonomyHistory.asp?taxnode_id=20150895","ICTVonline=20150895")</f>
        <v>ICTVonline=20150895</v>
      </c>
    </row>
    <row r="721" spans="1:13" x14ac:dyDescent="0.15">
      <c r="A721" s="1" t="s">
        <v>931</v>
      </c>
      <c r="B721" s="1" t="s">
        <v>936</v>
      </c>
      <c r="C721" s="1" t="s">
        <v>1467</v>
      </c>
      <c r="D721" s="1" t="s">
        <v>704</v>
      </c>
      <c r="E721" s="1" t="s">
        <v>4411</v>
      </c>
      <c r="F721" s="3">
        <v>0</v>
      </c>
      <c r="I721" s="24" t="s">
        <v>2965</v>
      </c>
      <c r="J721" s="24" t="s">
        <v>2924</v>
      </c>
      <c r="K721" s="3">
        <v>30</v>
      </c>
      <c r="L721" s="3" t="s">
        <v>6802</v>
      </c>
      <c r="M721" s="3" t="str">
        <f>HYPERLINK("http://ictvonline.org/taxonomyHistory.asp?taxnode_id=20150896","ICTVonline=20150896")</f>
        <v>ICTVonline=20150896</v>
      </c>
    </row>
    <row r="722" spans="1:13" x14ac:dyDescent="0.15">
      <c r="A722" s="1" t="s">
        <v>931</v>
      </c>
      <c r="B722" s="1" t="s">
        <v>936</v>
      </c>
      <c r="C722" s="1" t="s">
        <v>1467</v>
      </c>
      <c r="D722" s="1" t="s">
        <v>704</v>
      </c>
      <c r="E722" s="1" t="s">
        <v>4412</v>
      </c>
      <c r="F722" s="3">
        <v>0</v>
      </c>
      <c r="I722" s="24" t="s">
        <v>2965</v>
      </c>
      <c r="J722" s="24" t="s">
        <v>2924</v>
      </c>
      <c r="K722" s="3">
        <v>30</v>
      </c>
      <c r="L722" s="3" t="s">
        <v>6802</v>
      </c>
      <c r="M722" s="3" t="str">
        <f>HYPERLINK("http://ictvonline.org/taxonomyHistory.asp?taxnode_id=20150897","ICTVonline=20150897")</f>
        <v>ICTVonline=20150897</v>
      </c>
    </row>
    <row r="723" spans="1:13" x14ac:dyDescent="0.15">
      <c r="A723" s="1" t="s">
        <v>931</v>
      </c>
      <c r="B723" s="1" t="s">
        <v>936</v>
      </c>
      <c r="C723" s="1" t="s">
        <v>1467</v>
      </c>
      <c r="D723" s="1" t="s">
        <v>704</v>
      </c>
      <c r="E723" s="1" t="s">
        <v>4413</v>
      </c>
      <c r="F723" s="3">
        <v>0</v>
      </c>
      <c r="I723" s="24" t="s">
        <v>2965</v>
      </c>
      <c r="J723" s="24" t="s">
        <v>2924</v>
      </c>
      <c r="K723" s="3">
        <v>30</v>
      </c>
      <c r="L723" s="3" t="s">
        <v>6802</v>
      </c>
      <c r="M723" s="3" t="str">
        <f>HYPERLINK("http://ictvonline.org/taxonomyHistory.asp?taxnode_id=20150898","ICTVonline=20150898")</f>
        <v>ICTVonline=20150898</v>
      </c>
    </row>
    <row r="724" spans="1:13" x14ac:dyDescent="0.15">
      <c r="A724" s="1" t="s">
        <v>931</v>
      </c>
      <c r="B724" s="1" t="s">
        <v>936</v>
      </c>
      <c r="C724" s="1" t="s">
        <v>1467</v>
      </c>
      <c r="D724" s="1" t="s">
        <v>704</v>
      </c>
      <c r="E724" s="1" t="s">
        <v>4414</v>
      </c>
      <c r="F724" s="3">
        <v>0</v>
      </c>
      <c r="I724" s="24" t="s">
        <v>2965</v>
      </c>
      <c r="J724" s="24" t="s">
        <v>2924</v>
      </c>
      <c r="K724" s="3">
        <v>30</v>
      </c>
      <c r="L724" s="3" t="s">
        <v>6802</v>
      </c>
      <c r="M724" s="3" t="str">
        <f>HYPERLINK("http://ictvonline.org/taxonomyHistory.asp?taxnode_id=20150899","ICTVonline=20150899")</f>
        <v>ICTVonline=20150899</v>
      </c>
    </row>
    <row r="725" spans="1:13" x14ac:dyDescent="0.15">
      <c r="A725" s="1" t="s">
        <v>931</v>
      </c>
      <c r="B725" s="1" t="s">
        <v>936</v>
      </c>
      <c r="C725" s="1" t="s">
        <v>1467</v>
      </c>
      <c r="D725" s="1" t="s">
        <v>705</v>
      </c>
      <c r="E725" s="1" t="s">
        <v>4415</v>
      </c>
      <c r="F725" s="3">
        <v>1</v>
      </c>
      <c r="I725" s="24" t="s">
        <v>2965</v>
      </c>
      <c r="J725" s="24" t="s">
        <v>2924</v>
      </c>
      <c r="K725" s="3">
        <v>30</v>
      </c>
      <c r="L725" s="3" t="s">
        <v>6802</v>
      </c>
      <c r="M725" s="3" t="str">
        <f>HYPERLINK("http://ictvonline.org/taxonomyHistory.asp?taxnode_id=20150901","ICTVonline=20150901")</f>
        <v>ICTVonline=20150901</v>
      </c>
    </row>
    <row r="726" spans="1:13" x14ac:dyDescent="0.15">
      <c r="A726" s="1" t="s">
        <v>931</v>
      </c>
      <c r="B726" s="1" t="s">
        <v>936</v>
      </c>
      <c r="C726" s="1" t="s">
        <v>1467</v>
      </c>
      <c r="D726" s="1" t="s">
        <v>705</v>
      </c>
      <c r="E726" s="1" t="s">
        <v>4416</v>
      </c>
      <c r="F726" s="3">
        <v>0</v>
      </c>
      <c r="I726" s="24" t="s">
        <v>2965</v>
      </c>
      <c r="J726" s="24" t="s">
        <v>2924</v>
      </c>
      <c r="K726" s="3">
        <v>30</v>
      </c>
      <c r="L726" s="3" t="s">
        <v>6802</v>
      </c>
      <c r="M726" s="3" t="str">
        <f>HYPERLINK("http://ictvonline.org/taxonomyHistory.asp?taxnode_id=20150902","ICTVonline=20150902")</f>
        <v>ICTVonline=20150902</v>
      </c>
    </row>
    <row r="727" spans="1:13" x14ac:dyDescent="0.15">
      <c r="A727" s="1" t="s">
        <v>931</v>
      </c>
      <c r="B727" s="1" t="s">
        <v>936</v>
      </c>
      <c r="C727" s="1" t="s">
        <v>1467</v>
      </c>
      <c r="D727" s="1" t="s">
        <v>705</v>
      </c>
      <c r="E727" s="1" t="s">
        <v>4417</v>
      </c>
      <c r="F727" s="3">
        <v>0</v>
      </c>
      <c r="I727" s="24" t="s">
        <v>2965</v>
      </c>
      <c r="J727" s="24" t="s">
        <v>2924</v>
      </c>
      <c r="K727" s="3">
        <v>30</v>
      </c>
      <c r="L727" s="3" t="s">
        <v>6802</v>
      </c>
      <c r="M727" s="3" t="str">
        <f>HYPERLINK("http://ictvonline.org/taxonomyHistory.asp?taxnode_id=20150903","ICTVonline=20150903")</f>
        <v>ICTVonline=20150903</v>
      </c>
    </row>
    <row r="728" spans="1:13" x14ac:dyDescent="0.15">
      <c r="A728" s="1" t="s">
        <v>931</v>
      </c>
      <c r="B728" s="1" t="s">
        <v>936</v>
      </c>
      <c r="C728" s="1" t="s">
        <v>1467</v>
      </c>
      <c r="D728" s="1" t="s">
        <v>1469</v>
      </c>
      <c r="E728" s="1" t="s">
        <v>4418</v>
      </c>
      <c r="F728" s="3">
        <v>1</v>
      </c>
      <c r="I728" s="24" t="s">
        <v>2965</v>
      </c>
      <c r="J728" s="24" t="s">
        <v>2924</v>
      </c>
      <c r="K728" s="3">
        <v>30</v>
      </c>
      <c r="L728" s="3" t="s">
        <v>6802</v>
      </c>
      <c r="M728" s="3" t="str">
        <f>HYPERLINK("http://ictvonline.org/taxonomyHistory.asp?taxnode_id=20150905","ICTVonline=20150905")</f>
        <v>ICTVonline=20150905</v>
      </c>
    </row>
    <row r="729" spans="1:13" x14ac:dyDescent="0.15">
      <c r="A729" s="1" t="s">
        <v>931</v>
      </c>
      <c r="B729" s="1" t="s">
        <v>936</v>
      </c>
      <c r="C729" s="1" t="s">
        <v>1467</v>
      </c>
      <c r="D729" s="1" t="s">
        <v>1470</v>
      </c>
      <c r="E729" s="1" t="s">
        <v>4419</v>
      </c>
      <c r="F729" s="3">
        <v>0</v>
      </c>
      <c r="I729" s="24" t="s">
        <v>2965</v>
      </c>
      <c r="J729" s="24" t="s">
        <v>2924</v>
      </c>
      <c r="K729" s="3">
        <v>30</v>
      </c>
      <c r="L729" s="3" t="s">
        <v>6802</v>
      </c>
      <c r="M729" s="3" t="str">
        <f>HYPERLINK("http://ictvonline.org/taxonomyHistory.asp?taxnode_id=20150907","ICTVonline=20150907")</f>
        <v>ICTVonline=20150907</v>
      </c>
    </row>
    <row r="730" spans="1:13" x14ac:dyDescent="0.15">
      <c r="A730" s="1" t="s">
        <v>931</v>
      </c>
      <c r="B730" s="1" t="s">
        <v>936</v>
      </c>
      <c r="C730" s="1" t="s">
        <v>1467</v>
      </c>
      <c r="D730" s="1" t="s">
        <v>1470</v>
      </c>
      <c r="E730" s="1" t="s">
        <v>4420</v>
      </c>
      <c r="F730" s="3">
        <v>1</v>
      </c>
      <c r="I730" s="24" t="s">
        <v>2965</v>
      </c>
      <c r="J730" s="24" t="s">
        <v>2924</v>
      </c>
      <c r="K730" s="3">
        <v>30</v>
      </c>
      <c r="L730" s="3" t="s">
        <v>6802</v>
      </c>
      <c r="M730" s="3" t="str">
        <f>HYPERLINK("http://ictvonline.org/taxonomyHistory.asp?taxnode_id=20150908","ICTVonline=20150908")</f>
        <v>ICTVonline=20150908</v>
      </c>
    </row>
    <row r="731" spans="1:13" x14ac:dyDescent="0.15">
      <c r="A731" s="1" t="s">
        <v>931</v>
      </c>
      <c r="B731" s="1" t="s">
        <v>936</v>
      </c>
      <c r="C731" s="1" t="s">
        <v>1467</v>
      </c>
      <c r="D731" s="1" t="s">
        <v>1470</v>
      </c>
      <c r="E731" s="1" t="s">
        <v>4421</v>
      </c>
      <c r="F731" s="3">
        <v>0</v>
      </c>
      <c r="I731" s="24" t="s">
        <v>2965</v>
      </c>
      <c r="J731" s="24" t="s">
        <v>2924</v>
      </c>
      <c r="K731" s="3">
        <v>30</v>
      </c>
      <c r="L731" s="3" t="s">
        <v>6802</v>
      </c>
      <c r="M731" s="3" t="str">
        <f>HYPERLINK("http://ictvonline.org/taxonomyHistory.asp?taxnode_id=20150909","ICTVonline=20150909")</f>
        <v>ICTVonline=20150909</v>
      </c>
    </row>
    <row r="732" spans="1:13" x14ac:dyDescent="0.15">
      <c r="A732" s="1" t="s">
        <v>931</v>
      </c>
      <c r="B732" s="1" t="s">
        <v>936</v>
      </c>
      <c r="C732" s="1" t="s">
        <v>1467</v>
      </c>
      <c r="D732" s="1" t="s">
        <v>934</v>
      </c>
      <c r="E732" s="1" t="s">
        <v>4422</v>
      </c>
      <c r="F732" s="3">
        <v>0</v>
      </c>
      <c r="I732" s="24" t="s">
        <v>2965</v>
      </c>
      <c r="J732" s="24" t="s">
        <v>2924</v>
      </c>
      <c r="K732" s="3">
        <v>30</v>
      </c>
      <c r="L732" s="3" t="s">
        <v>6802</v>
      </c>
      <c r="M732" s="3" t="str">
        <f>HYPERLINK("http://ictvonline.org/taxonomyHistory.asp?taxnode_id=20150911","ICTVonline=20150911")</f>
        <v>ICTVonline=20150911</v>
      </c>
    </row>
    <row r="733" spans="1:13" x14ac:dyDescent="0.15">
      <c r="A733" s="1" t="s">
        <v>931</v>
      </c>
      <c r="B733" s="1" t="s">
        <v>936</v>
      </c>
      <c r="C733" s="1" t="s">
        <v>1467</v>
      </c>
      <c r="D733" s="1" t="s">
        <v>934</v>
      </c>
      <c r="E733" s="1" t="s">
        <v>4423</v>
      </c>
      <c r="F733" s="3">
        <v>0</v>
      </c>
      <c r="I733" s="24" t="s">
        <v>2965</v>
      </c>
      <c r="J733" s="24" t="s">
        <v>2924</v>
      </c>
      <c r="K733" s="3">
        <v>30</v>
      </c>
      <c r="L733" s="3" t="s">
        <v>6802</v>
      </c>
      <c r="M733" s="3" t="str">
        <f>HYPERLINK("http://ictvonline.org/taxonomyHistory.asp?taxnode_id=20150912","ICTVonline=20150912")</f>
        <v>ICTVonline=20150912</v>
      </c>
    </row>
    <row r="734" spans="1:13" x14ac:dyDescent="0.15">
      <c r="A734" s="1" t="s">
        <v>931</v>
      </c>
      <c r="B734" s="1" t="s">
        <v>936</v>
      </c>
      <c r="C734" s="1" t="s">
        <v>1467</v>
      </c>
      <c r="D734" s="1" t="s">
        <v>934</v>
      </c>
      <c r="E734" s="1" t="s">
        <v>4424</v>
      </c>
      <c r="F734" s="3">
        <v>0</v>
      </c>
      <c r="I734" s="24" t="s">
        <v>2965</v>
      </c>
      <c r="J734" s="24" t="s">
        <v>2924</v>
      </c>
      <c r="K734" s="3">
        <v>30</v>
      </c>
      <c r="L734" s="3" t="s">
        <v>6802</v>
      </c>
      <c r="M734" s="3" t="str">
        <f>HYPERLINK("http://ictvonline.org/taxonomyHistory.asp?taxnode_id=20150913","ICTVonline=20150913")</f>
        <v>ICTVonline=20150913</v>
      </c>
    </row>
    <row r="735" spans="1:13" x14ac:dyDescent="0.15">
      <c r="A735" s="1" t="s">
        <v>931</v>
      </c>
      <c r="B735" s="1" t="s">
        <v>936</v>
      </c>
      <c r="C735" s="1" t="s">
        <v>1474</v>
      </c>
      <c r="D735" s="1" t="s">
        <v>1348</v>
      </c>
      <c r="E735" s="1" t="s">
        <v>4425</v>
      </c>
      <c r="F735" s="3">
        <v>0</v>
      </c>
      <c r="I735" s="24" t="s">
        <v>2965</v>
      </c>
      <c r="J735" s="24" t="s">
        <v>2924</v>
      </c>
      <c r="K735" s="3">
        <v>30</v>
      </c>
      <c r="L735" s="3" t="s">
        <v>6802</v>
      </c>
      <c r="M735" s="3" t="str">
        <f>HYPERLINK("http://ictvonline.org/taxonomyHistory.asp?taxnode_id=20150916","ICTVonline=20150916")</f>
        <v>ICTVonline=20150916</v>
      </c>
    </row>
    <row r="736" spans="1:13" x14ac:dyDescent="0.15">
      <c r="A736" s="1" t="s">
        <v>931</v>
      </c>
      <c r="B736" s="1" t="s">
        <v>936</v>
      </c>
      <c r="C736" s="1" t="s">
        <v>1474</v>
      </c>
      <c r="D736" s="1" t="s">
        <v>1348</v>
      </c>
      <c r="E736" s="1" t="s">
        <v>4426</v>
      </c>
      <c r="F736" s="3">
        <v>0</v>
      </c>
      <c r="I736" s="24" t="s">
        <v>2965</v>
      </c>
      <c r="J736" s="24" t="s">
        <v>2924</v>
      </c>
      <c r="K736" s="3">
        <v>30</v>
      </c>
      <c r="L736" s="3" t="s">
        <v>6802</v>
      </c>
      <c r="M736" s="3" t="str">
        <f>HYPERLINK("http://ictvonline.org/taxonomyHistory.asp?taxnode_id=20150917","ICTVonline=20150917")</f>
        <v>ICTVonline=20150917</v>
      </c>
    </row>
    <row r="737" spans="1:13" x14ac:dyDescent="0.15">
      <c r="A737" s="1" t="s">
        <v>931</v>
      </c>
      <c r="B737" s="1" t="s">
        <v>936</v>
      </c>
      <c r="C737" s="1" t="s">
        <v>1474</v>
      </c>
      <c r="D737" s="1" t="s">
        <v>1348</v>
      </c>
      <c r="E737" s="1" t="s">
        <v>4427</v>
      </c>
      <c r="F737" s="3">
        <v>0</v>
      </c>
      <c r="I737" s="24" t="s">
        <v>2965</v>
      </c>
      <c r="J737" s="24" t="s">
        <v>2924</v>
      </c>
      <c r="K737" s="3">
        <v>30</v>
      </c>
      <c r="L737" s="3" t="s">
        <v>6802</v>
      </c>
      <c r="M737" s="3" t="str">
        <f>HYPERLINK("http://ictvonline.org/taxonomyHistory.asp?taxnode_id=20150918","ICTVonline=20150918")</f>
        <v>ICTVonline=20150918</v>
      </c>
    </row>
    <row r="738" spans="1:13" x14ac:dyDescent="0.15">
      <c r="A738" s="1" t="s">
        <v>931</v>
      </c>
      <c r="B738" s="1" t="s">
        <v>936</v>
      </c>
      <c r="C738" s="1" t="s">
        <v>1474</v>
      </c>
      <c r="D738" s="1" t="s">
        <v>1348</v>
      </c>
      <c r="E738" s="1" t="s">
        <v>4428</v>
      </c>
      <c r="F738" s="3">
        <v>1</v>
      </c>
      <c r="I738" s="24" t="s">
        <v>2965</v>
      </c>
      <c r="J738" s="24" t="s">
        <v>2924</v>
      </c>
      <c r="K738" s="3">
        <v>30</v>
      </c>
      <c r="L738" s="3" t="s">
        <v>6802</v>
      </c>
      <c r="M738" s="3" t="str">
        <f>HYPERLINK("http://ictvonline.org/taxonomyHistory.asp?taxnode_id=20150919","ICTVonline=20150919")</f>
        <v>ICTVonline=20150919</v>
      </c>
    </row>
    <row r="739" spans="1:13" x14ac:dyDescent="0.15">
      <c r="A739" s="1" t="s">
        <v>931</v>
      </c>
      <c r="B739" s="1" t="s">
        <v>936</v>
      </c>
      <c r="C739" s="1" t="s">
        <v>1474</v>
      </c>
      <c r="D739" s="1" t="s">
        <v>1348</v>
      </c>
      <c r="E739" s="1" t="s">
        <v>4429</v>
      </c>
      <c r="F739" s="3">
        <v>0</v>
      </c>
      <c r="I739" s="24" t="s">
        <v>2965</v>
      </c>
      <c r="J739" s="24" t="s">
        <v>2924</v>
      </c>
      <c r="K739" s="3">
        <v>30</v>
      </c>
      <c r="L739" s="3" t="s">
        <v>6802</v>
      </c>
      <c r="M739" s="3" t="str">
        <f>HYPERLINK("http://ictvonline.org/taxonomyHistory.asp?taxnode_id=20150920","ICTVonline=20150920")</f>
        <v>ICTVonline=20150920</v>
      </c>
    </row>
    <row r="740" spans="1:13" x14ac:dyDescent="0.15">
      <c r="A740" s="1" t="s">
        <v>931</v>
      </c>
      <c r="B740" s="1" t="s">
        <v>936</v>
      </c>
      <c r="C740" s="1" t="s">
        <v>1474</v>
      </c>
      <c r="D740" s="1" t="s">
        <v>1348</v>
      </c>
      <c r="E740" s="1" t="s">
        <v>4430</v>
      </c>
      <c r="F740" s="3">
        <v>0</v>
      </c>
      <c r="I740" s="24" t="s">
        <v>2965</v>
      </c>
      <c r="J740" s="24" t="s">
        <v>2924</v>
      </c>
      <c r="K740" s="3">
        <v>30</v>
      </c>
      <c r="L740" s="3" t="s">
        <v>6802</v>
      </c>
      <c r="M740" s="3" t="str">
        <f>HYPERLINK("http://ictvonline.org/taxonomyHistory.asp?taxnode_id=20150921","ICTVonline=20150921")</f>
        <v>ICTVonline=20150921</v>
      </c>
    </row>
    <row r="741" spans="1:13" x14ac:dyDescent="0.15">
      <c r="A741" s="1" t="s">
        <v>931</v>
      </c>
      <c r="B741" s="1" t="s">
        <v>936</v>
      </c>
      <c r="C741" s="1" t="s">
        <v>1474</v>
      </c>
      <c r="D741" s="1" t="s">
        <v>1348</v>
      </c>
      <c r="E741" s="1" t="s">
        <v>4431</v>
      </c>
      <c r="F741" s="3">
        <v>0</v>
      </c>
      <c r="I741" s="24" t="s">
        <v>2965</v>
      </c>
      <c r="J741" s="24" t="s">
        <v>2924</v>
      </c>
      <c r="K741" s="3">
        <v>30</v>
      </c>
      <c r="L741" s="3" t="s">
        <v>6802</v>
      </c>
      <c r="M741" s="3" t="str">
        <f>HYPERLINK("http://ictvonline.org/taxonomyHistory.asp?taxnode_id=20150922","ICTVonline=20150922")</f>
        <v>ICTVonline=20150922</v>
      </c>
    </row>
    <row r="742" spans="1:13" x14ac:dyDescent="0.15">
      <c r="A742" s="1" t="s">
        <v>931</v>
      </c>
      <c r="B742" s="1" t="s">
        <v>936</v>
      </c>
      <c r="C742" s="1" t="s">
        <v>1474</v>
      </c>
      <c r="D742" s="1" t="s">
        <v>1348</v>
      </c>
      <c r="E742" s="1" t="s">
        <v>4432</v>
      </c>
      <c r="F742" s="3">
        <v>0</v>
      </c>
      <c r="I742" s="24" t="s">
        <v>2965</v>
      </c>
      <c r="J742" s="24" t="s">
        <v>2924</v>
      </c>
      <c r="K742" s="3">
        <v>30</v>
      </c>
      <c r="L742" s="3" t="s">
        <v>6802</v>
      </c>
      <c r="M742" s="3" t="str">
        <f>HYPERLINK("http://ictvonline.org/taxonomyHistory.asp?taxnode_id=20150923","ICTVonline=20150923")</f>
        <v>ICTVonline=20150923</v>
      </c>
    </row>
    <row r="743" spans="1:13" x14ac:dyDescent="0.15">
      <c r="A743" s="1" t="s">
        <v>931</v>
      </c>
      <c r="B743" s="1" t="s">
        <v>936</v>
      </c>
      <c r="C743" s="1" t="s">
        <v>1474</v>
      </c>
      <c r="D743" s="1" t="s">
        <v>1372</v>
      </c>
      <c r="E743" s="1" t="s">
        <v>4433</v>
      </c>
      <c r="F743" s="3">
        <v>1</v>
      </c>
      <c r="I743" s="24" t="s">
        <v>2965</v>
      </c>
      <c r="J743" s="24" t="s">
        <v>2924</v>
      </c>
      <c r="K743" s="3">
        <v>30</v>
      </c>
      <c r="L743" s="3" t="s">
        <v>6802</v>
      </c>
      <c r="M743" s="3" t="str">
        <f>HYPERLINK("http://ictvonline.org/taxonomyHistory.asp?taxnode_id=20150925","ICTVonline=20150925")</f>
        <v>ICTVonline=20150925</v>
      </c>
    </row>
    <row r="744" spans="1:13" x14ac:dyDescent="0.15">
      <c r="A744" s="1" t="s">
        <v>931</v>
      </c>
      <c r="B744" s="1" t="s">
        <v>936</v>
      </c>
      <c r="C744" s="1" t="s">
        <v>1474</v>
      </c>
      <c r="D744" s="1" t="s">
        <v>1372</v>
      </c>
      <c r="E744" s="1" t="s">
        <v>4434</v>
      </c>
      <c r="F744" s="3">
        <v>0</v>
      </c>
      <c r="I744" s="24" t="s">
        <v>2965</v>
      </c>
      <c r="J744" s="24" t="s">
        <v>2924</v>
      </c>
      <c r="K744" s="3">
        <v>30</v>
      </c>
      <c r="L744" s="3" t="s">
        <v>6802</v>
      </c>
      <c r="M744" s="3" t="str">
        <f>HYPERLINK("http://ictvonline.org/taxonomyHistory.asp?taxnode_id=20150926","ICTVonline=20150926")</f>
        <v>ICTVonline=20150926</v>
      </c>
    </row>
    <row r="745" spans="1:13" x14ac:dyDescent="0.15">
      <c r="A745" s="1" t="s">
        <v>931</v>
      </c>
      <c r="B745" s="1" t="s">
        <v>936</v>
      </c>
      <c r="C745" s="1" t="s">
        <v>1474</v>
      </c>
      <c r="D745" s="1" t="s">
        <v>1372</v>
      </c>
      <c r="E745" s="1" t="s">
        <v>4435</v>
      </c>
      <c r="F745" s="3">
        <v>0</v>
      </c>
      <c r="I745" s="24" t="s">
        <v>2965</v>
      </c>
      <c r="J745" s="24" t="s">
        <v>2924</v>
      </c>
      <c r="K745" s="3">
        <v>30</v>
      </c>
      <c r="L745" s="3" t="s">
        <v>6802</v>
      </c>
      <c r="M745" s="3" t="str">
        <f>HYPERLINK("http://ictvonline.org/taxonomyHistory.asp?taxnode_id=20150927","ICTVonline=20150927")</f>
        <v>ICTVonline=20150927</v>
      </c>
    </row>
    <row r="746" spans="1:13" x14ac:dyDescent="0.15">
      <c r="A746" s="1" t="s">
        <v>931</v>
      </c>
      <c r="B746" s="1" t="s">
        <v>936</v>
      </c>
      <c r="C746" s="1" t="s">
        <v>1474</v>
      </c>
      <c r="D746" s="1" t="s">
        <v>1372</v>
      </c>
      <c r="E746" s="1" t="s">
        <v>4436</v>
      </c>
      <c r="F746" s="3">
        <v>0</v>
      </c>
      <c r="I746" s="24" t="s">
        <v>2965</v>
      </c>
      <c r="J746" s="24" t="s">
        <v>2924</v>
      </c>
      <c r="K746" s="3">
        <v>30</v>
      </c>
      <c r="L746" s="3" t="s">
        <v>6802</v>
      </c>
      <c r="M746" s="3" t="str">
        <f>HYPERLINK("http://ictvonline.org/taxonomyHistory.asp?taxnode_id=20150928","ICTVonline=20150928")</f>
        <v>ICTVonline=20150928</v>
      </c>
    </row>
    <row r="747" spans="1:13" x14ac:dyDescent="0.15">
      <c r="A747" s="1" t="s">
        <v>931</v>
      </c>
      <c r="B747" s="1" t="s">
        <v>936</v>
      </c>
      <c r="C747" s="1" t="s">
        <v>1474</v>
      </c>
      <c r="D747" s="1" t="s">
        <v>1372</v>
      </c>
      <c r="E747" s="1" t="s">
        <v>4437</v>
      </c>
      <c r="F747" s="3">
        <v>0</v>
      </c>
      <c r="I747" s="24" t="s">
        <v>2965</v>
      </c>
      <c r="J747" s="24" t="s">
        <v>2924</v>
      </c>
      <c r="K747" s="3">
        <v>30</v>
      </c>
      <c r="L747" s="3" t="s">
        <v>6802</v>
      </c>
      <c r="M747" s="3" t="str">
        <f>HYPERLINK("http://ictvonline.org/taxonomyHistory.asp?taxnode_id=20150929","ICTVonline=20150929")</f>
        <v>ICTVonline=20150929</v>
      </c>
    </row>
    <row r="748" spans="1:13" x14ac:dyDescent="0.15">
      <c r="A748" s="1" t="s">
        <v>931</v>
      </c>
      <c r="B748" s="1" t="s">
        <v>936</v>
      </c>
      <c r="C748" s="1" t="s">
        <v>1474</v>
      </c>
      <c r="D748" s="1" t="s">
        <v>1372</v>
      </c>
      <c r="E748" s="1" t="s">
        <v>4438</v>
      </c>
      <c r="F748" s="3">
        <v>0</v>
      </c>
      <c r="I748" s="24" t="s">
        <v>2965</v>
      </c>
      <c r="J748" s="24" t="s">
        <v>2924</v>
      </c>
      <c r="K748" s="3">
        <v>30</v>
      </c>
      <c r="L748" s="3" t="s">
        <v>6802</v>
      </c>
      <c r="M748" s="3" t="str">
        <f>HYPERLINK("http://ictvonline.org/taxonomyHistory.asp?taxnode_id=20150930","ICTVonline=20150930")</f>
        <v>ICTVonline=20150930</v>
      </c>
    </row>
    <row r="749" spans="1:13" x14ac:dyDescent="0.15">
      <c r="A749" s="1" t="s">
        <v>931</v>
      </c>
      <c r="B749" s="1" t="s">
        <v>936</v>
      </c>
      <c r="C749" s="1" t="s">
        <v>1474</v>
      </c>
      <c r="D749" s="1" t="s">
        <v>1372</v>
      </c>
      <c r="E749" s="1" t="s">
        <v>4439</v>
      </c>
      <c r="F749" s="3">
        <v>0</v>
      </c>
      <c r="I749" s="24" t="s">
        <v>2965</v>
      </c>
      <c r="J749" s="24" t="s">
        <v>2924</v>
      </c>
      <c r="K749" s="3">
        <v>30</v>
      </c>
      <c r="L749" s="3" t="s">
        <v>6802</v>
      </c>
      <c r="M749" s="3" t="str">
        <f>HYPERLINK("http://ictvonline.org/taxonomyHistory.asp?taxnode_id=20150931","ICTVonline=20150931")</f>
        <v>ICTVonline=20150931</v>
      </c>
    </row>
    <row r="750" spans="1:13" x14ac:dyDescent="0.15">
      <c r="A750" s="1" t="s">
        <v>931</v>
      </c>
      <c r="B750" s="1" t="s">
        <v>936</v>
      </c>
      <c r="C750" s="1" t="s">
        <v>1474</v>
      </c>
      <c r="D750" s="1" t="s">
        <v>1372</v>
      </c>
      <c r="E750" s="1" t="s">
        <v>4440</v>
      </c>
      <c r="F750" s="3">
        <v>0</v>
      </c>
      <c r="I750" s="24" t="s">
        <v>2965</v>
      </c>
      <c r="J750" s="24" t="s">
        <v>2924</v>
      </c>
      <c r="K750" s="3">
        <v>30</v>
      </c>
      <c r="L750" s="3" t="s">
        <v>6802</v>
      </c>
      <c r="M750" s="3" t="str">
        <f>HYPERLINK("http://ictvonline.org/taxonomyHistory.asp?taxnode_id=20150932","ICTVonline=20150932")</f>
        <v>ICTVonline=20150932</v>
      </c>
    </row>
    <row r="751" spans="1:13" x14ac:dyDescent="0.15">
      <c r="A751" s="1" t="s">
        <v>931</v>
      </c>
      <c r="B751" s="1" t="s">
        <v>936</v>
      </c>
      <c r="C751" s="1" t="s">
        <v>1474</v>
      </c>
      <c r="D751" s="1" t="s">
        <v>1372</v>
      </c>
      <c r="E751" s="1" t="s">
        <v>4441</v>
      </c>
      <c r="F751" s="3">
        <v>0</v>
      </c>
      <c r="I751" s="24" t="s">
        <v>2965</v>
      </c>
      <c r="J751" s="24" t="s">
        <v>2924</v>
      </c>
      <c r="K751" s="3">
        <v>30</v>
      </c>
      <c r="L751" s="3" t="s">
        <v>6802</v>
      </c>
      <c r="M751" s="3" t="str">
        <f>HYPERLINK("http://ictvonline.org/taxonomyHistory.asp?taxnode_id=20150933","ICTVonline=20150933")</f>
        <v>ICTVonline=20150933</v>
      </c>
    </row>
    <row r="752" spans="1:13" x14ac:dyDescent="0.15">
      <c r="A752" s="1" t="s">
        <v>931</v>
      </c>
      <c r="B752" s="1" t="s">
        <v>936</v>
      </c>
      <c r="C752" s="1" t="s">
        <v>1474</v>
      </c>
      <c r="D752" s="1" t="s">
        <v>1339</v>
      </c>
      <c r="E752" s="1" t="s">
        <v>4442</v>
      </c>
      <c r="F752" s="3">
        <v>1</v>
      </c>
      <c r="I752" s="24" t="s">
        <v>2965</v>
      </c>
      <c r="J752" s="24" t="s">
        <v>2924</v>
      </c>
      <c r="K752" s="3">
        <v>30</v>
      </c>
      <c r="L752" s="3" t="s">
        <v>6802</v>
      </c>
      <c r="M752" s="3" t="str">
        <f>HYPERLINK("http://ictvonline.org/taxonomyHistory.asp?taxnode_id=20150935","ICTVonline=20150935")</f>
        <v>ICTVonline=20150935</v>
      </c>
    </row>
    <row r="753" spans="1:13" x14ac:dyDescent="0.15">
      <c r="A753" s="1" t="s">
        <v>931</v>
      </c>
      <c r="B753" s="1" t="s">
        <v>936</v>
      </c>
      <c r="C753" s="1" t="s">
        <v>1474</v>
      </c>
      <c r="D753" s="1" t="s">
        <v>1339</v>
      </c>
      <c r="E753" s="1" t="s">
        <v>4443</v>
      </c>
      <c r="F753" s="3">
        <v>0</v>
      </c>
      <c r="I753" s="24" t="s">
        <v>2965</v>
      </c>
      <c r="J753" s="24" t="s">
        <v>2924</v>
      </c>
      <c r="K753" s="3">
        <v>30</v>
      </c>
      <c r="L753" s="3" t="s">
        <v>6802</v>
      </c>
      <c r="M753" s="3" t="str">
        <f>HYPERLINK("http://ictvonline.org/taxonomyHistory.asp?taxnode_id=20150936","ICTVonline=20150936")</f>
        <v>ICTVonline=20150936</v>
      </c>
    </row>
    <row r="754" spans="1:13" x14ac:dyDescent="0.15">
      <c r="A754" s="1" t="s">
        <v>931</v>
      </c>
      <c r="B754" s="1" t="s">
        <v>936</v>
      </c>
      <c r="C754" s="1" t="s">
        <v>1474</v>
      </c>
      <c r="D754" s="1" t="s">
        <v>1339</v>
      </c>
      <c r="E754" s="1" t="s">
        <v>4444</v>
      </c>
      <c r="F754" s="3">
        <v>0</v>
      </c>
      <c r="I754" s="24" t="s">
        <v>2965</v>
      </c>
      <c r="J754" s="24" t="s">
        <v>2924</v>
      </c>
      <c r="K754" s="3">
        <v>30</v>
      </c>
      <c r="L754" s="3" t="s">
        <v>6802</v>
      </c>
      <c r="M754" s="3" t="str">
        <f>HYPERLINK("http://ictvonline.org/taxonomyHistory.asp?taxnode_id=20150937","ICTVonline=20150937")</f>
        <v>ICTVonline=20150937</v>
      </c>
    </row>
    <row r="755" spans="1:13" x14ac:dyDescent="0.15">
      <c r="A755" s="1" t="s">
        <v>931</v>
      </c>
      <c r="B755" s="1" t="s">
        <v>936</v>
      </c>
      <c r="C755" s="1" t="s">
        <v>1474</v>
      </c>
      <c r="D755" s="1" t="s">
        <v>1340</v>
      </c>
      <c r="E755" s="1" t="s">
        <v>4445</v>
      </c>
      <c r="F755" s="3">
        <v>0</v>
      </c>
      <c r="I755" s="24" t="s">
        <v>2965</v>
      </c>
      <c r="J755" s="24" t="s">
        <v>2924</v>
      </c>
      <c r="K755" s="3">
        <v>30</v>
      </c>
      <c r="L755" s="3" t="s">
        <v>6802</v>
      </c>
      <c r="M755" s="3" t="str">
        <f>HYPERLINK("http://ictvonline.org/taxonomyHistory.asp?taxnode_id=20150939","ICTVonline=20150939")</f>
        <v>ICTVonline=20150939</v>
      </c>
    </row>
    <row r="756" spans="1:13" x14ac:dyDescent="0.15">
      <c r="A756" s="1" t="s">
        <v>931</v>
      </c>
      <c r="B756" s="1" t="s">
        <v>936</v>
      </c>
      <c r="C756" s="1" t="s">
        <v>1474</v>
      </c>
      <c r="D756" s="1" t="s">
        <v>1340</v>
      </c>
      <c r="E756" s="1" t="s">
        <v>4446</v>
      </c>
      <c r="F756" s="3">
        <v>0</v>
      </c>
      <c r="I756" s="24" t="s">
        <v>2965</v>
      </c>
      <c r="J756" s="24" t="s">
        <v>2924</v>
      </c>
      <c r="K756" s="3">
        <v>30</v>
      </c>
      <c r="L756" s="3" t="s">
        <v>6802</v>
      </c>
      <c r="M756" s="3" t="str">
        <f>HYPERLINK("http://ictvonline.org/taxonomyHistory.asp?taxnode_id=20150940","ICTVonline=20150940")</f>
        <v>ICTVonline=20150940</v>
      </c>
    </row>
    <row r="757" spans="1:13" x14ac:dyDescent="0.15">
      <c r="A757" s="1" t="s">
        <v>931</v>
      </c>
      <c r="B757" s="1" t="s">
        <v>936</v>
      </c>
      <c r="C757" s="1" t="s">
        <v>1474</v>
      </c>
      <c r="D757" s="1" t="s">
        <v>1340</v>
      </c>
      <c r="E757" s="1" t="s">
        <v>4447</v>
      </c>
      <c r="F757" s="3">
        <v>0</v>
      </c>
      <c r="I757" s="24" t="s">
        <v>2965</v>
      </c>
      <c r="J757" s="24" t="s">
        <v>2924</v>
      </c>
      <c r="K757" s="3">
        <v>30</v>
      </c>
      <c r="L757" s="3" t="s">
        <v>6802</v>
      </c>
      <c r="M757" s="3" t="str">
        <f>HYPERLINK("http://ictvonline.org/taxonomyHistory.asp?taxnode_id=20150941","ICTVonline=20150941")</f>
        <v>ICTVonline=20150941</v>
      </c>
    </row>
    <row r="758" spans="1:13" x14ac:dyDescent="0.15">
      <c r="A758" s="1" t="s">
        <v>931</v>
      </c>
      <c r="B758" s="1" t="s">
        <v>936</v>
      </c>
      <c r="C758" s="1" t="s">
        <v>1474</v>
      </c>
      <c r="D758" s="1" t="s">
        <v>1340</v>
      </c>
      <c r="E758" s="1" t="s">
        <v>4448</v>
      </c>
      <c r="F758" s="3">
        <v>0</v>
      </c>
      <c r="I758" s="24" t="s">
        <v>2965</v>
      </c>
      <c r="J758" s="24" t="s">
        <v>2924</v>
      </c>
      <c r="K758" s="3">
        <v>30</v>
      </c>
      <c r="L758" s="3" t="s">
        <v>6802</v>
      </c>
      <c r="M758" s="3" t="str">
        <f>HYPERLINK("http://ictvonline.org/taxonomyHistory.asp?taxnode_id=20150942","ICTVonline=20150942")</f>
        <v>ICTVonline=20150942</v>
      </c>
    </row>
    <row r="759" spans="1:13" x14ac:dyDescent="0.15">
      <c r="A759" s="1" t="s">
        <v>931</v>
      </c>
      <c r="B759" s="1" t="s">
        <v>936</v>
      </c>
      <c r="C759" s="1" t="s">
        <v>1474</v>
      </c>
      <c r="D759" s="1" t="s">
        <v>1340</v>
      </c>
      <c r="E759" s="1" t="s">
        <v>4449</v>
      </c>
      <c r="F759" s="3">
        <v>0</v>
      </c>
      <c r="I759" s="24" t="s">
        <v>2965</v>
      </c>
      <c r="J759" s="24" t="s">
        <v>2924</v>
      </c>
      <c r="K759" s="3">
        <v>30</v>
      </c>
      <c r="L759" s="3" t="s">
        <v>6802</v>
      </c>
      <c r="M759" s="3" t="str">
        <f>HYPERLINK("http://ictvonline.org/taxonomyHistory.asp?taxnode_id=20150943","ICTVonline=20150943")</f>
        <v>ICTVonline=20150943</v>
      </c>
    </row>
    <row r="760" spans="1:13" x14ac:dyDescent="0.15">
      <c r="A760" s="1" t="s">
        <v>931</v>
      </c>
      <c r="B760" s="1" t="s">
        <v>936</v>
      </c>
      <c r="C760" s="1" t="s">
        <v>1474</v>
      </c>
      <c r="D760" s="1" t="s">
        <v>1340</v>
      </c>
      <c r="E760" s="1" t="s">
        <v>4450</v>
      </c>
      <c r="F760" s="3">
        <v>0</v>
      </c>
      <c r="I760" s="24" t="s">
        <v>2965</v>
      </c>
      <c r="J760" s="24" t="s">
        <v>2924</v>
      </c>
      <c r="K760" s="3">
        <v>30</v>
      </c>
      <c r="L760" s="3" t="s">
        <v>6802</v>
      </c>
      <c r="M760" s="3" t="str">
        <f>HYPERLINK("http://ictvonline.org/taxonomyHistory.asp?taxnode_id=20150944","ICTVonline=20150944")</f>
        <v>ICTVonline=20150944</v>
      </c>
    </row>
    <row r="761" spans="1:13" x14ac:dyDescent="0.15">
      <c r="A761" s="1" t="s">
        <v>931</v>
      </c>
      <c r="B761" s="1" t="s">
        <v>936</v>
      </c>
      <c r="C761" s="1" t="s">
        <v>1474</v>
      </c>
      <c r="D761" s="1" t="s">
        <v>1340</v>
      </c>
      <c r="E761" s="1" t="s">
        <v>4451</v>
      </c>
      <c r="F761" s="3">
        <v>0</v>
      </c>
      <c r="I761" s="24" t="s">
        <v>2965</v>
      </c>
      <c r="J761" s="24" t="s">
        <v>2924</v>
      </c>
      <c r="K761" s="3">
        <v>30</v>
      </c>
      <c r="L761" s="3" t="s">
        <v>6802</v>
      </c>
      <c r="M761" s="3" t="str">
        <f>HYPERLINK("http://ictvonline.org/taxonomyHistory.asp?taxnode_id=20150945","ICTVonline=20150945")</f>
        <v>ICTVonline=20150945</v>
      </c>
    </row>
    <row r="762" spans="1:13" x14ac:dyDescent="0.15">
      <c r="A762" s="1" t="s">
        <v>931</v>
      </c>
      <c r="B762" s="1" t="s">
        <v>936</v>
      </c>
      <c r="C762" s="1" t="s">
        <v>1474</v>
      </c>
      <c r="D762" s="1" t="s">
        <v>1340</v>
      </c>
      <c r="E762" s="1" t="s">
        <v>4452</v>
      </c>
      <c r="F762" s="3">
        <v>0</v>
      </c>
      <c r="I762" s="24" t="s">
        <v>2965</v>
      </c>
      <c r="J762" s="24" t="s">
        <v>2924</v>
      </c>
      <c r="K762" s="3">
        <v>30</v>
      </c>
      <c r="L762" s="3" t="s">
        <v>6802</v>
      </c>
      <c r="M762" s="3" t="str">
        <f>HYPERLINK("http://ictvonline.org/taxonomyHistory.asp?taxnode_id=20150946","ICTVonline=20150946")</f>
        <v>ICTVonline=20150946</v>
      </c>
    </row>
    <row r="763" spans="1:13" x14ac:dyDescent="0.15">
      <c r="A763" s="1" t="s">
        <v>931</v>
      </c>
      <c r="B763" s="1" t="s">
        <v>936</v>
      </c>
      <c r="C763" s="1" t="s">
        <v>1474</v>
      </c>
      <c r="D763" s="1" t="s">
        <v>1340</v>
      </c>
      <c r="E763" s="1" t="s">
        <v>4453</v>
      </c>
      <c r="F763" s="3">
        <v>1</v>
      </c>
      <c r="I763" s="24" t="s">
        <v>2965</v>
      </c>
      <c r="J763" s="24" t="s">
        <v>2924</v>
      </c>
      <c r="K763" s="3">
        <v>30</v>
      </c>
      <c r="L763" s="3" t="s">
        <v>6802</v>
      </c>
      <c r="M763" s="3" t="str">
        <f>HYPERLINK("http://ictvonline.org/taxonomyHistory.asp?taxnode_id=20150947","ICTVonline=20150947")</f>
        <v>ICTVonline=20150947</v>
      </c>
    </row>
    <row r="764" spans="1:13" x14ac:dyDescent="0.15">
      <c r="A764" s="1" t="s">
        <v>931</v>
      </c>
      <c r="B764" s="1" t="s">
        <v>936</v>
      </c>
      <c r="C764" s="1" t="s">
        <v>1474</v>
      </c>
      <c r="D764" s="1" t="s">
        <v>934</v>
      </c>
      <c r="E764" s="1" t="s">
        <v>4454</v>
      </c>
      <c r="F764" s="3">
        <v>0</v>
      </c>
      <c r="I764" s="24" t="s">
        <v>2965</v>
      </c>
      <c r="J764" s="24" t="s">
        <v>2924</v>
      </c>
      <c r="K764" s="3">
        <v>30</v>
      </c>
      <c r="L764" s="3" t="s">
        <v>6802</v>
      </c>
      <c r="M764" s="3" t="str">
        <f>HYPERLINK("http://ictvonline.org/taxonomyHistory.asp?taxnode_id=20150949","ICTVonline=20150949")</f>
        <v>ICTVonline=20150949</v>
      </c>
    </row>
    <row r="765" spans="1:13" x14ac:dyDescent="0.15">
      <c r="A765" s="1" t="s">
        <v>931</v>
      </c>
      <c r="B765" s="1" t="s">
        <v>936</v>
      </c>
      <c r="C765" s="1" t="s">
        <v>1474</v>
      </c>
      <c r="D765" s="1" t="s">
        <v>934</v>
      </c>
      <c r="E765" s="1" t="s">
        <v>4455</v>
      </c>
      <c r="F765" s="3">
        <v>0</v>
      </c>
      <c r="I765" s="24" t="s">
        <v>2965</v>
      </c>
      <c r="J765" s="24" t="s">
        <v>2924</v>
      </c>
      <c r="K765" s="3">
        <v>30</v>
      </c>
      <c r="L765" s="3" t="s">
        <v>6802</v>
      </c>
      <c r="M765" s="3" t="str">
        <f>HYPERLINK("http://ictvonline.org/taxonomyHistory.asp?taxnode_id=20150950","ICTVonline=20150950")</f>
        <v>ICTVonline=20150950</v>
      </c>
    </row>
    <row r="766" spans="1:13" x14ac:dyDescent="0.15">
      <c r="A766" s="1" t="s">
        <v>931</v>
      </c>
      <c r="B766" s="1" t="s">
        <v>936</v>
      </c>
      <c r="C766" s="1" t="s">
        <v>1474</v>
      </c>
      <c r="D766" s="1" t="s">
        <v>934</v>
      </c>
      <c r="E766" s="1" t="s">
        <v>4456</v>
      </c>
      <c r="F766" s="3">
        <v>0</v>
      </c>
      <c r="I766" s="24" t="s">
        <v>2965</v>
      </c>
      <c r="J766" s="24" t="s">
        <v>2924</v>
      </c>
      <c r="K766" s="3">
        <v>30</v>
      </c>
      <c r="L766" s="3" t="s">
        <v>6802</v>
      </c>
      <c r="M766" s="3" t="str">
        <f>HYPERLINK("http://ictvonline.org/taxonomyHistory.asp?taxnode_id=20150951","ICTVonline=20150951")</f>
        <v>ICTVonline=20150951</v>
      </c>
    </row>
    <row r="767" spans="1:13" x14ac:dyDescent="0.15">
      <c r="A767" s="1" t="s">
        <v>931</v>
      </c>
      <c r="B767" s="1" t="s">
        <v>936</v>
      </c>
      <c r="D767" s="1" t="s">
        <v>934</v>
      </c>
      <c r="E767" s="1" t="s">
        <v>1032</v>
      </c>
      <c r="F767" s="3">
        <v>0</v>
      </c>
      <c r="I767" s="24" t="s">
        <v>2965</v>
      </c>
      <c r="J767" s="24" t="s">
        <v>2919</v>
      </c>
      <c r="K767" s="3">
        <v>24</v>
      </c>
      <c r="L767" s="3" t="s">
        <v>6800</v>
      </c>
      <c r="M767" s="3" t="str">
        <f>HYPERLINK("http://ictvonline.org/taxonomyHistory.asp?taxnode_id=20150954","ICTVonline=20150954")</f>
        <v>ICTVonline=20150954</v>
      </c>
    </row>
    <row r="768" spans="1:13" x14ac:dyDescent="0.15">
      <c r="A768" s="1" t="s">
        <v>931</v>
      </c>
      <c r="B768" s="1" t="s">
        <v>1117</v>
      </c>
      <c r="D768" s="1" t="s">
        <v>2300</v>
      </c>
      <c r="E768" s="1" t="s">
        <v>2301</v>
      </c>
      <c r="F768" s="3">
        <v>1</v>
      </c>
      <c r="I768" s="24" t="s">
        <v>2965</v>
      </c>
      <c r="J768" s="24" t="s">
        <v>2921</v>
      </c>
      <c r="K768" s="3">
        <v>27</v>
      </c>
      <c r="L768" s="3" t="s">
        <v>6804</v>
      </c>
      <c r="M768" s="3" t="str">
        <f>HYPERLINK("http://ictvonline.org/taxonomyHistory.asp?taxnode_id=20150958","ICTVonline=20150958")</f>
        <v>ICTVonline=20150958</v>
      </c>
    </row>
    <row r="769" spans="1:13" x14ac:dyDescent="0.15">
      <c r="A769" s="1" t="s">
        <v>931</v>
      </c>
      <c r="B769" s="1" t="s">
        <v>1117</v>
      </c>
      <c r="D769" s="1" t="s">
        <v>1033</v>
      </c>
      <c r="E769" s="1" t="s">
        <v>1034</v>
      </c>
      <c r="F769" s="3">
        <v>1</v>
      </c>
      <c r="I769" s="24" t="s">
        <v>2965</v>
      </c>
      <c r="J769" s="24" t="s">
        <v>2921</v>
      </c>
      <c r="K769" s="3">
        <v>24</v>
      </c>
      <c r="L769" s="3" t="s">
        <v>6800</v>
      </c>
      <c r="M769" s="3" t="str">
        <f>HYPERLINK("http://ictvonline.org/taxonomyHistory.asp?taxnode_id=20150960","ICTVonline=20150960")</f>
        <v>ICTVonline=20150960</v>
      </c>
    </row>
    <row r="770" spans="1:13" x14ac:dyDescent="0.15">
      <c r="A770" s="1" t="s">
        <v>2302</v>
      </c>
      <c r="B770" s="1" t="s">
        <v>1735</v>
      </c>
      <c r="D770" s="1" t="s">
        <v>1156</v>
      </c>
      <c r="E770" s="1" t="s">
        <v>1736</v>
      </c>
      <c r="F770" s="3">
        <v>1</v>
      </c>
      <c r="G770" s="24" t="s">
        <v>4457</v>
      </c>
      <c r="I770" s="24" t="s">
        <v>2965</v>
      </c>
      <c r="J770" s="24" t="s">
        <v>2920</v>
      </c>
      <c r="K770" s="3">
        <v>27</v>
      </c>
      <c r="L770" s="3" t="s">
        <v>6805</v>
      </c>
      <c r="M770" s="3" t="str">
        <f>HYPERLINK("http://ictvonline.org/taxonomyHistory.asp?taxnode_id=20150965","ICTVonline=20150965")</f>
        <v>ICTVonline=20150965</v>
      </c>
    </row>
    <row r="771" spans="1:13" x14ac:dyDescent="0.15">
      <c r="A771" s="1" t="s">
        <v>2302</v>
      </c>
      <c r="B771" s="1" t="s">
        <v>1735</v>
      </c>
      <c r="D771" s="1" t="s">
        <v>1737</v>
      </c>
      <c r="E771" s="1" t="s">
        <v>678</v>
      </c>
      <c r="F771" s="3">
        <v>0</v>
      </c>
      <c r="G771" s="24" t="s">
        <v>4458</v>
      </c>
      <c r="I771" s="24" t="s">
        <v>2965</v>
      </c>
      <c r="J771" s="24" t="s">
        <v>2920</v>
      </c>
      <c r="K771" s="3">
        <v>27</v>
      </c>
      <c r="L771" s="3" t="s">
        <v>6805</v>
      </c>
      <c r="M771" s="3" t="str">
        <f>HYPERLINK("http://ictvonline.org/taxonomyHistory.asp?taxnode_id=20150967","ICTVonline=20150967")</f>
        <v>ICTVonline=20150967</v>
      </c>
    </row>
    <row r="772" spans="1:13" x14ac:dyDescent="0.15">
      <c r="A772" s="1" t="s">
        <v>2302</v>
      </c>
      <c r="B772" s="1" t="s">
        <v>1735</v>
      </c>
      <c r="D772" s="1" t="s">
        <v>1737</v>
      </c>
      <c r="E772" s="1" t="s">
        <v>677</v>
      </c>
      <c r="F772" s="3">
        <v>0</v>
      </c>
      <c r="G772" s="24" t="s">
        <v>4459</v>
      </c>
      <c r="I772" s="24" t="s">
        <v>2965</v>
      </c>
      <c r="J772" s="24" t="s">
        <v>2920</v>
      </c>
      <c r="K772" s="3">
        <v>27</v>
      </c>
      <c r="L772" s="3" t="s">
        <v>6805</v>
      </c>
      <c r="M772" s="3" t="str">
        <f>HYPERLINK("http://ictvonline.org/taxonomyHistory.asp?taxnode_id=20150968","ICTVonline=20150968")</f>
        <v>ICTVonline=20150968</v>
      </c>
    </row>
    <row r="773" spans="1:13" x14ac:dyDescent="0.15">
      <c r="A773" s="1" t="s">
        <v>2302</v>
      </c>
      <c r="B773" s="1" t="s">
        <v>1735</v>
      </c>
      <c r="D773" s="1" t="s">
        <v>1737</v>
      </c>
      <c r="E773" s="1" t="s">
        <v>676</v>
      </c>
      <c r="F773" s="3">
        <v>0</v>
      </c>
      <c r="G773" s="24" t="s">
        <v>4460</v>
      </c>
      <c r="I773" s="24" t="s">
        <v>2965</v>
      </c>
      <c r="J773" s="24" t="s">
        <v>2920</v>
      </c>
      <c r="K773" s="3">
        <v>27</v>
      </c>
      <c r="L773" s="3" t="s">
        <v>6805</v>
      </c>
      <c r="M773" s="3" t="str">
        <f>HYPERLINK("http://ictvonline.org/taxonomyHistory.asp?taxnode_id=20150969","ICTVonline=20150969")</f>
        <v>ICTVonline=20150969</v>
      </c>
    </row>
    <row r="774" spans="1:13" x14ac:dyDescent="0.15">
      <c r="A774" s="1" t="s">
        <v>2302</v>
      </c>
      <c r="B774" s="1" t="s">
        <v>1735</v>
      </c>
      <c r="D774" s="1" t="s">
        <v>1737</v>
      </c>
      <c r="E774" s="1" t="s">
        <v>1911</v>
      </c>
      <c r="F774" s="3">
        <v>0</v>
      </c>
      <c r="G774" s="24" t="s">
        <v>4461</v>
      </c>
      <c r="I774" s="24" t="s">
        <v>2965</v>
      </c>
      <c r="J774" s="24" t="s">
        <v>2920</v>
      </c>
      <c r="K774" s="3">
        <v>27</v>
      </c>
      <c r="L774" s="3" t="s">
        <v>6805</v>
      </c>
      <c r="M774" s="3" t="str">
        <f>HYPERLINK("http://ictvonline.org/taxonomyHistory.asp?taxnode_id=20150970","ICTVonline=20150970")</f>
        <v>ICTVonline=20150970</v>
      </c>
    </row>
    <row r="775" spans="1:13" x14ac:dyDescent="0.15">
      <c r="A775" s="1" t="s">
        <v>2302</v>
      </c>
      <c r="B775" s="1" t="s">
        <v>1735</v>
      </c>
      <c r="D775" s="1" t="s">
        <v>1737</v>
      </c>
      <c r="E775" s="1" t="s">
        <v>1910</v>
      </c>
      <c r="F775" s="3">
        <v>0</v>
      </c>
      <c r="G775" s="24" t="s">
        <v>4462</v>
      </c>
      <c r="I775" s="24" t="s">
        <v>2965</v>
      </c>
      <c r="J775" s="24" t="s">
        <v>2920</v>
      </c>
      <c r="K775" s="3">
        <v>27</v>
      </c>
      <c r="L775" s="3" t="s">
        <v>6805</v>
      </c>
      <c r="M775" s="3" t="str">
        <f>HYPERLINK("http://ictvonline.org/taxonomyHistory.asp?taxnode_id=20150971","ICTVonline=20150971")</f>
        <v>ICTVonline=20150971</v>
      </c>
    </row>
    <row r="776" spans="1:13" x14ac:dyDescent="0.15">
      <c r="A776" s="1" t="s">
        <v>2302</v>
      </c>
      <c r="B776" s="1" t="s">
        <v>1735</v>
      </c>
      <c r="D776" s="1" t="s">
        <v>1737</v>
      </c>
      <c r="E776" s="1" t="s">
        <v>1738</v>
      </c>
      <c r="F776" s="3">
        <v>1</v>
      </c>
      <c r="G776" s="24" t="s">
        <v>4463</v>
      </c>
      <c r="I776" s="24" t="s">
        <v>2965</v>
      </c>
      <c r="J776" s="24" t="s">
        <v>2920</v>
      </c>
      <c r="K776" s="3">
        <v>27</v>
      </c>
      <c r="L776" s="3" t="s">
        <v>6805</v>
      </c>
      <c r="M776" s="3" t="str">
        <f>HYPERLINK("http://ictvonline.org/taxonomyHistory.asp?taxnode_id=20150972","ICTVonline=20150972")</f>
        <v>ICTVonline=20150972</v>
      </c>
    </row>
    <row r="777" spans="1:13" x14ac:dyDescent="0.15">
      <c r="A777" s="1" t="s">
        <v>2302</v>
      </c>
      <c r="B777" s="1" t="s">
        <v>1735</v>
      </c>
      <c r="D777" s="1" t="s">
        <v>1162</v>
      </c>
      <c r="E777" s="1" t="s">
        <v>2099</v>
      </c>
      <c r="F777" s="3">
        <v>1</v>
      </c>
      <c r="G777" s="24" t="s">
        <v>4464</v>
      </c>
      <c r="I777" s="24" t="s">
        <v>2965</v>
      </c>
      <c r="J777" s="24" t="s">
        <v>2920</v>
      </c>
      <c r="K777" s="3">
        <v>27</v>
      </c>
      <c r="L777" s="3" t="s">
        <v>6805</v>
      </c>
      <c r="M777" s="3" t="str">
        <f>HYPERLINK("http://ictvonline.org/taxonomyHistory.asp?taxnode_id=20150974","ICTVonline=20150974")</f>
        <v>ICTVonline=20150974</v>
      </c>
    </row>
    <row r="778" spans="1:13" x14ac:dyDescent="0.15">
      <c r="A778" s="1" t="s">
        <v>2302</v>
      </c>
      <c r="B778" s="1" t="s">
        <v>1735</v>
      </c>
      <c r="D778" s="1" t="s">
        <v>2100</v>
      </c>
      <c r="E778" s="1" t="s">
        <v>2101</v>
      </c>
      <c r="F778" s="3">
        <v>1</v>
      </c>
      <c r="G778" s="24" t="s">
        <v>4465</v>
      </c>
      <c r="I778" s="24" t="s">
        <v>2965</v>
      </c>
      <c r="J778" s="24" t="s">
        <v>2920</v>
      </c>
      <c r="K778" s="3">
        <v>27</v>
      </c>
      <c r="L778" s="3" t="s">
        <v>6805</v>
      </c>
      <c r="M778" s="3" t="str">
        <f>HYPERLINK("http://ictvonline.org/taxonomyHistory.asp?taxnode_id=20150976","ICTVonline=20150976")</f>
        <v>ICTVonline=20150976</v>
      </c>
    </row>
    <row r="779" spans="1:13" x14ac:dyDescent="0.15">
      <c r="A779" s="1" t="s">
        <v>2302</v>
      </c>
      <c r="B779" s="1" t="s">
        <v>1345</v>
      </c>
      <c r="D779" s="1" t="s">
        <v>1346</v>
      </c>
      <c r="E779" s="1" t="s">
        <v>2019</v>
      </c>
      <c r="F779" s="3">
        <v>0</v>
      </c>
      <c r="G779" s="24" t="s">
        <v>4466</v>
      </c>
      <c r="I779" s="24" t="s">
        <v>2965</v>
      </c>
      <c r="J779" s="24" t="s">
        <v>2920</v>
      </c>
      <c r="K779" s="3">
        <v>27</v>
      </c>
      <c r="L779" s="3" t="s">
        <v>6805</v>
      </c>
      <c r="M779" s="3" t="str">
        <f>HYPERLINK("http://ictvonline.org/taxonomyHistory.asp?taxnode_id=20150980","ICTVonline=20150980")</f>
        <v>ICTVonline=20150980</v>
      </c>
    </row>
    <row r="780" spans="1:13" x14ac:dyDescent="0.15">
      <c r="A780" s="1" t="s">
        <v>2302</v>
      </c>
      <c r="B780" s="1" t="s">
        <v>1345</v>
      </c>
      <c r="D780" s="1" t="s">
        <v>1346</v>
      </c>
      <c r="E780" s="1" t="s">
        <v>2020</v>
      </c>
      <c r="F780" s="3">
        <v>0</v>
      </c>
      <c r="G780" s="24" t="s">
        <v>4467</v>
      </c>
      <c r="I780" s="24" t="s">
        <v>2965</v>
      </c>
      <c r="J780" s="24" t="s">
        <v>2920</v>
      </c>
      <c r="K780" s="3">
        <v>27</v>
      </c>
      <c r="L780" s="3" t="s">
        <v>6805</v>
      </c>
      <c r="M780" s="3" t="str">
        <f>HYPERLINK("http://ictvonline.org/taxonomyHistory.asp?taxnode_id=20150981","ICTVonline=20150981")</f>
        <v>ICTVonline=20150981</v>
      </c>
    </row>
    <row r="781" spans="1:13" x14ac:dyDescent="0.15">
      <c r="A781" s="1" t="s">
        <v>2302</v>
      </c>
      <c r="B781" s="1" t="s">
        <v>1345</v>
      </c>
      <c r="D781" s="1" t="s">
        <v>1346</v>
      </c>
      <c r="E781" s="1" t="s">
        <v>1687</v>
      </c>
      <c r="F781" s="3">
        <v>1</v>
      </c>
      <c r="G781" s="24" t="s">
        <v>4468</v>
      </c>
      <c r="I781" s="24" t="s">
        <v>2965</v>
      </c>
      <c r="J781" s="24" t="s">
        <v>2920</v>
      </c>
      <c r="K781" s="3">
        <v>27</v>
      </c>
      <c r="L781" s="3" t="s">
        <v>6805</v>
      </c>
      <c r="M781" s="3" t="str">
        <f>HYPERLINK("http://ictvonline.org/taxonomyHistory.asp?taxnode_id=20150982","ICTVonline=20150982")</f>
        <v>ICTVonline=20150982</v>
      </c>
    </row>
    <row r="782" spans="1:13" x14ac:dyDescent="0.15">
      <c r="A782" s="1" t="s">
        <v>1035</v>
      </c>
      <c r="B782" s="1" t="s">
        <v>1475</v>
      </c>
      <c r="D782" s="1" t="s">
        <v>1476</v>
      </c>
      <c r="E782" s="1" t="s">
        <v>4469</v>
      </c>
      <c r="F782" s="3">
        <v>0</v>
      </c>
      <c r="G782" s="24" t="s">
        <v>7382</v>
      </c>
      <c r="H782" s="24" t="s">
        <v>4470</v>
      </c>
      <c r="I782" s="24" t="s">
        <v>3254</v>
      </c>
      <c r="J782" s="24" t="s">
        <v>2919</v>
      </c>
      <c r="K782" s="3">
        <v>30</v>
      </c>
      <c r="L782" s="3" t="s">
        <v>6806</v>
      </c>
      <c r="M782" s="3" t="str">
        <f>HYPERLINK("http://ictvonline.org/taxonomyHistory.asp?taxnode_id=20150992","ICTVonline=20150992")</f>
        <v>ICTVonline=20150992</v>
      </c>
    </row>
    <row r="783" spans="1:13" x14ac:dyDescent="0.15">
      <c r="A783" s="1" t="s">
        <v>1035</v>
      </c>
      <c r="B783" s="1" t="s">
        <v>1475</v>
      </c>
      <c r="D783" s="1" t="s">
        <v>1476</v>
      </c>
      <c r="E783" s="1" t="s">
        <v>2793</v>
      </c>
      <c r="F783" s="3">
        <v>1</v>
      </c>
      <c r="I783" s="24" t="s">
        <v>3254</v>
      </c>
      <c r="J783" s="24" t="s">
        <v>2924</v>
      </c>
      <c r="K783" s="3">
        <v>29</v>
      </c>
      <c r="L783" s="3" t="s">
        <v>6807</v>
      </c>
      <c r="M783" s="3" t="str">
        <f>HYPERLINK("http://ictvonline.org/taxonomyHistory.asp?taxnode_id=20150987","ICTVonline=20150987")</f>
        <v>ICTVonline=20150987</v>
      </c>
    </row>
    <row r="784" spans="1:13" x14ac:dyDescent="0.15">
      <c r="A784" s="1" t="s">
        <v>1035</v>
      </c>
      <c r="B784" s="1" t="s">
        <v>1475</v>
      </c>
      <c r="D784" s="1" t="s">
        <v>1476</v>
      </c>
      <c r="E784" s="1" t="s">
        <v>2794</v>
      </c>
      <c r="F784" s="3">
        <v>0</v>
      </c>
      <c r="G784" s="24" t="s">
        <v>3255</v>
      </c>
      <c r="H784" s="24" t="s">
        <v>3256</v>
      </c>
      <c r="I784" s="24" t="s">
        <v>3254</v>
      </c>
      <c r="J784" s="24" t="s">
        <v>2919</v>
      </c>
      <c r="K784" s="3">
        <v>29</v>
      </c>
      <c r="L784" s="3" t="s">
        <v>6807</v>
      </c>
      <c r="M784" s="3" t="str">
        <f>HYPERLINK("http://ictvonline.org/taxonomyHistory.asp?taxnode_id=20150988","ICTVonline=20150988")</f>
        <v>ICTVonline=20150988</v>
      </c>
    </row>
    <row r="785" spans="1:13" x14ac:dyDescent="0.15">
      <c r="A785" s="1" t="s">
        <v>1035</v>
      </c>
      <c r="B785" s="1" t="s">
        <v>1475</v>
      </c>
      <c r="D785" s="1" t="s">
        <v>1476</v>
      </c>
      <c r="E785" s="1" t="s">
        <v>2795</v>
      </c>
      <c r="F785" s="3">
        <v>0</v>
      </c>
      <c r="G785" s="24" t="s">
        <v>3257</v>
      </c>
      <c r="H785" s="24" t="s">
        <v>3258</v>
      </c>
      <c r="I785" s="24" t="s">
        <v>3254</v>
      </c>
      <c r="J785" s="24" t="s">
        <v>2919</v>
      </c>
      <c r="K785" s="3">
        <v>29</v>
      </c>
      <c r="L785" s="3" t="s">
        <v>6807</v>
      </c>
      <c r="M785" s="3" t="str">
        <f>HYPERLINK("http://ictvonline.org/taxonomyHistory.asp?taxnode_id=20150989","ICTVonline=20150989")</f>
        <v>ICTVonline=20150989</v>
      </c>
    </row>
    <row r="786" spans="1:13" x14ac:dyDescent="0.15">
      <c r="A786" s="1" t="s">
        <v>1035</v>
      </c>
      <c r="B786" s="1" t="s">
        <v>1475</v>
      </c>
      <c r="D786" s="1" t="s">
        <v>1476</v>
      </c>
      <c r="E786" s="1" t="s">
        <v>2796</v>
      </c>
      <c r="F786" s="3">
        <v>0</v>
      </c>
      <c r="G786" s="24" t="s">
        <v>3259</v>
      </c>
      <c r="H786" s="24" t="s">
        <v>3260</v>
      </c>
      <c r="I786" s="24" t="s">
        <v>3254</v>
      </c>
      <c r="J786" s="24" t="s">
        <v>2919</v>
      </c>
      <c r="K786" s="3">
        <v>29</v>
      </c>
      <c r="L786" s="3" t="s">
        <v>6807</v>
      </c>
      <c r="M786" s="3" t="str">
        <f>HYPERLINK("http://ictvonline.org/taxonomyHistory.asp?taxnode_id=20150990","ICTVonline=20150990")</f>
        <v>ICTVonline=20150990</v>
      </c>
    </row>
    <row r="787" spans="1:13" x14ac:dyDescent="0.15">
      <c r="A787" s="1" t="s">
        <v>1035</v>
      </c>
      <c r="B787" s="1" t="s">
        <v>1475</v>
      </c>
      <c r="D787" s="1" t="s">
        <v>1476</v>
      </c>
      <c r="E787" s="1" t="s">
        <v>4471</v>
      </c>
      <c r="F787" s="3">
        <v>0</v>
      </c>
      <c r="G787" s="24" t="s">
        <v>7383</v>
      </c>
      <c r="H787" s="24" t="s">
        <v>4472</v>
      </c>
      <c r="I787" s="24" t="s">
        <v>3254</v>
      </c>
      <c r="J787" s="24" t="s">
        <v>2919</v>
      </c>
      <c r="K787" s="3">
        <v>30</v>
      </c>
      <c r="L787" s="3" t="s">
        <v>6806</v>
      </c>
      <c r="M787" s="3" t="str">
        <f>HYPERLINK("http://ictvonline.org/taxonomyHistory.asp?taxnode_id=20150993","ICTVonline=20150993")</f>
        <v>ICTVonline=20150993</v>
      </c>
    </row>
    <row r="788" spans="1:13" x14ac:dyDescent="0.15">
      <c r="A788" s="1" t="s">
        <v>1035</v>
      </c>
      <c r="B788" s="1" t="s">
        <v>1475</v>
      </c>
      <c r="D788" s="1" t="s">
        <v>1476</v>
      </c>
      <c r="E788" s="1" t="s">
        <v>2797</v>
      </c>
      <c r="F788" s="3">
        <v>0</v>
      </c>
      <c r="G788" s="24" t="s">
        <v>3261</v>
      </c>
      <c r="H788" s="24" t="s">
        <v>3262</v>
      </c>
      <c r="I788" s="24" t="s">
        <v>3254</v>
      </c>
      <c r="J788" s="24" t="s">
        <v>2919</v>
      </c>
      <c r="K788" s="3">
        <v>29</v>
      </c>
      <c r="L788" s="3" t="s">
        <v>6807</v>
      </c>
      <c r="M788" s="3" t="str">
        <f>HYPERLINK("http://ictvonline.org/taxonomyHistory.asp?taxnode_id=20150991","ICTVonline=20150991")</f>
        <v>ICTVonline=20150991</v>
      </c>
    </row>
    <row r="789" spans="1:13" x14ac:dyDescent="0.15">
      <c r="A789" s="1" t="s">
        <v>1035</v>
      </c>
      <c r="B789" s="1" t="s">
        <v>1477</v>
      </c>
      <c r="D789" s="1" t="s">
        <v>2446</v>
      </c>
      <c r="E789" s="1" t="s">
        <v>2447</v>
      </c>
      <c r="F789" s="3">
        <v>1</v>
      </c>
      <c r="H789" s="24" t="s">
        <v>7765</v>
      </c>
      <c r="I789" s="24" t="s">
        <v>3254</v>
      </c>
      <c r="J789" s="24" t="s">
        <v>2919</v>
      </c>
      <c r="K789" s="3">
        <v>28</v>
      </c>
      <c r="L789" s="3" t="s">
        <v>6808</v>
      </c>
      <c r="M789" s="3" t="str">
        <f>HYPERLINK("http://ictvonline.org/taxonomyHistory.asp?taxnode_id=20150997","ICTVonline=20150997")</f>
        <v>ICTVonline=20150997</v>
      </c>
    </row>
    <row r="790" spans="1:13" x14ac:dyDescent="0.15">
      <c r="A790" s="1" t="s">
        <v>1035</v>
      </c>
      <c r="B790" s="1" t="s">
        <v>1477</v>
      </c>
      <c r="D790" s="1" t="s">
        <v>1478</v>
      </c>
      <c r="E790" s="1" t="s">
        <v>1409</v>
      </c>
      <c r="F790" s="3">
        <v>0</v>
      </c>
      <c r="H790" s="24" t="s">
        <v>7766</v>
      </c>
      <c r="I790" s="24" t="s">
        <v>3254</v>
      </c>
      <c r="J790" s="24" t="s">
        <v>2919</v>
      </c>
      <c r="K790" s="3">
        <v>26</v>
      </c>
      <c r="L790" s="3" t="s">
        <v>6809</v>
      </c>
      <c r="M790" s="3" t="str">
        <f>HYPERLINK("http://ictvonline.org/taxonomyHistory.asp?taxnode_id=20150999","ICTVonline=20150999")</f>
        <v>ICTVonline=20150999</v>
      </c>
    </row>
    <row r="791" spans="1:13" x14ac:dyDescent="0.15">
      <c r="A791" s="1" t="s">
        <v>1035</v>
      </c>
      <c r="B791" s="1" t="s">
        <v>1477</v>
      </c>
      <c r="D791" s="1" t="s">
        <v>1478</v>
      </c>
      <c r="E791" s="1" t="s">
        <v>1479</v>
      </c>
      <c r="F791" s="3">
        <v>0</v>
      </c>
      <c r="H791" s="24" t="s">
        <v>7767</v>
      </c>
      <c r="I791" s="24" t="s">
        <v>3254</v>
      </c>
      <c r="J791" s="24" t="s">
        <v>2923</v>
      </c>
      <c r="K791" s="3">
        <v>21</v>
      </c>
      <c r="L791" s="3" t="s">
        <v>6810</v>
      </c>
      <c r="M791" s="3" t="str">
        <f>HYPERLINK("http://ictvonline.org/taxonomyHistory.asp?taxnode_id=20151000","ICTVonline=20151000")</f>
        <v>ICTVonline=20151000</v>
      </c>
    </row>
    <row r="792" spans="1:13" x14ac:dyDescent="0.15">
      <c r="A792" s="1" t="s">
        <v>1035</v>
      </c>
      <c r="B792" s="1" t="s">
        <v>1477</v>
      </c>
      <c r="D792" s="1" t="s">
        <v>1478</v>
      </c>
      <c r="E792" s="1" t="s">
        <v>1480</v>
      </c>
      <c r="F792" s="3">
        <v>0</v>
      </c>
      <c r="H792" s="24" t="s">
        <v>8003</v>
      </c>
      <c r="I792" s="24" t="s">
        <v>3254</v>
      </c>
      <c r="J792" s="24" t="s">
        <v>2923</v>
      </c>
      <c r="K792" s="3">
        <v>21</v>
      </c>
      <c r="L792" s="3" t="s">
        <v>6810</v>
      </c>
      <c r="M792" s="3" t="str">
        <f>HYPERLINK("http://ictvonline.org/taxonomyHistory.asp?taxnode_id=20151001","ICTVonline=20151001")</f>
        <v>ICTVonline=20151001</v>
      </c>
    </row>
    <row r="793" spans="1:13" x14ac:dyDescent="0.15">
      <c r="A793" s="1" t="s">
        <v>1035</v>
      </c>
      <c r="B793" s="1" t="s">
        <v>1477</v>
      </c>
      <c r="D793" s="1" t="s">
        <v>1478</v>
      </c>
      <c r="E793" s="1" t="s">
        <v>6701</v>
      </c>
      <c r="F793" s="3">
        <v>0</v>
      </c>
      <c r="H793" s="24" t="s">
        <v>7768</v>
      </c>
      <c r="I793" s="24" t="s">
        <v>3254</v>
      </c>
      <c r="J793" s="24" t="s">
        <v>2924</v>
      </c>
      <c r="K793" s="3">
        <v>25</v>
      </c>
      <c r="L793" s="3" t="s">
        <v>6811</v>
      </c>
      <c r="M793" s="3" t="str">
        <f>HYPERLINK("http://ictvonline.org/taxonomyHistory.asp?taxnode_id=20151002","ICTVonline=20151002")</f>
        <v>ICTVonline=20151002</v>
      </c>
    </row>
    <row r="794" spans="1:13" x14ac:dyDescent="0.15">
      <c r="A794" s="1" t="s">
        <v>1035</v>
      </c>
      <c r="B794" s="1" t="s">
        <v>1477</v>
      </c>
      <c r="D794" s="1" t="s">
        <v>1478</v>
      </c>
      <c r="E794" s="1" t="s">
        <v>1481</v>
      </c>
      <c r="F794" s="3">
        <v>1</v>
      </c>
      <c r="H794" s="24" t="s">
        <v>8004</v>
      </c>
      <c r="I794" s="24" t="s">
        <v>3254</v>
      </c>
      <c r="J794" s="24" t="s">
        <v>2923</v>
      </c>
      <c r="K794" s="3">
        <v>21</v>
      </c>
      <c r="L794" s="3" t="s">
        <v>6810</v>
      </c>
      <c r="M794" s="3" t="str">
        <f>HYPERLINK("http://ictvonline.org/taxonomyHistory.asp?taxnode_id=20151003","ICTVonline=20151003")</f>
        <v>ICTVonline=20151003</v>
      </c>
    </row>
    <row r="795" spans="1:13" x14ac:dyDescent="0.15">
      <c r="A795" s="1" t="s">
        <v>1035</v>
      </c>
      <c r="B795" s="1" t="s">
        <v>1477</v>
      </c>
      <c r="D795" s="1" t="s">
        <v>1482</v>
      </c>
      <c r="E795" s="1" t="s">
        <v>1410</v>
      </c>
      <c r="F795" s="3">
        <v>1</v>
      </c>
      <c r="H795" s="24" t="s">
        <v>7769</v>
      </c>
      <c r="I795" s="24" t="s">
        <v>3254</v>
      </c>
      <c r="J795" s="24" t="s">
        <v>2924</v>
      </c>
      <c r="K795" s="3">
        <v>26</v>
      </c>
      <c r="L795" s="3" t="s">
        <v>6811</v>
      </c>
      <c r="M795" s="3" t="str">
        <f>HYPERLINK("http://ictvonline.org/taxonomyHistory.asp?taxnode_id=20151005","ICTVonline=20151005")</f>
        <v>ICTVonline=20151005</v>
      </c>
    </row>
    <row r="796" spans="1:13" x14ac:dyDescent="0.15">
      <c r="A796" s="1" t="s">
        <v>1035</v>
      </c>
      <c r="B796" s="1" t="s">
        <v>4473</v>
      </c>
      <c r="D796" s="1" t="s">
        <v>4474</v>
      </c>
      <c r="E796" s="1" t="s">
        <v>4475</v>
      </c>
      <c r="F796" s="3">
        <v>1</v>
      </c>
      <c r="H796" s="24" t="s">
        <v>4476</v>
      </c>
      <c r="I796" s="24" t="s">
        <v>3254</v>
      </c>
      <c r="J796" s="24" t="s">
        <v>2919</v>
      </c>
      <c r="K796" s="3">
        <v>30</v>
      </c>
      <c r="L796" s="3" t="s">
        <v>6812</v>
      </c>
      <c r="M796" s="3" t="str">
        <f>HYPERLINK("http://ictvonline.org/taxonomyHistory.asp?taxnode_id=20151165","ICTVonline=20151165")</f>
        <v>ICTVonline=20151165</v>
      </c>
    </row>
    <row r="797" spans="1:13" x14ac:dyDescent="0.15">
      <c r="A797" s="1" t="s">
        <v>1035</v>
      </c>
      <c r="B797" s="1" t="s">
        <v>2448</v>
      </c>
      <c r="D797" s="1" t="s">
        <v>2449</v>
      </c>
      <c r="E797" s="1" t="s">
        <v>2450</v>
      </c>
      <c r="F797" s="3">
        <v>0</v>
      </c>
      <c r="I797" s="24" t="s">
        <v>3254</v>
      </c>
      <c r="J797" s="24" t="s">
        <v>2919</v>
      </c>
      <c r="K797" s="3">
        <v>28</v>
      </c>
      <c r="L797" s="3" t="s">
        <v>6813</v>
      </c>
      <c r="M797" s="3" t="str">
        <f>HYPERLINK("http://ictvonline.org/taxonomyHistory.asp?taxnode_id=20151009","ICTVonline=20151009")</f>
        <v>ICTVonline=20151009</v>
      </c>
    </row>
    <row r="798" spans="1:13" x14ac:dyDescent="0.15">
      <c r="A798" s="1" t="s">
        <v>1035</v>
      </c>
      <c r="B798" s="1" t="s">
        <v>2448</v>
      </c>
      <c r="D798" s="1" t="s">
        <v>2449</v>
      </c>
      <c r="E798" s="1" t="s">
        <v>2451</v>
      </c>
      <c r="F798" s="3">
        <v>1</v>
      </c>
      <c r="I798" s="24" t="s">
        <v>3254</v>
      </c>
      <c r="J798" s="24" t="s">
        <v>2919</v>
      </c>
      <c r="K798" s="3">
        <v>28</v>
      </c>
      <c r="L798" s="3" t="s">
        <v>6813</v>
      </c>
      <c r="M798" s="3" t="str">
        <f>HYPERLINK("http://ictvonline.org/taxonomyHistory.asp?taxnode_id=20151010","ICTVonline=20151010")</f>
        <v>ICTVonline=20151010</v>
      </c>
    </row>
    <row r="799" spans="1:13" x14ac:dyDescent="0.15">
      <c r="A799" s="1" t="s">
        <v>1035</v>
      </c>
      <c r="B799" s="1" t="s">
        <v>2448</v>
      </c>
      <c r="D799" s="1" t="s">
        <v>2449</v>
      </c>
      <c r="E799" s="1" t="s">
        <v>2798</v>
      </c>
      <c r="F799" s="3">
        <v>0</v>
      </c>
      <c r="G799" s="24" t="s">
        <v>3263</v>
      </c>
      <c r="H799" s="24" t="s">
        <v>3264</v>
      </c>
      <c r="I799" s="24" t="s">
        <v>3254</v>
      </c>
      <c r="J799" s="24" t="s">
        <v>2919</v>
      </c>
      <c r="K799" s="3">
        <v>29</v>
      </c>
      <c r="L799" s="3" t="s">
        <v>6814</v>
      </c>
      <c r="M799" s="3" t="str">
        <f>HYPERLINK("http://ictvonline.org/taxonomyHistory.asp?taxnode_id=20151011","ICTVonline=20151011")</f>
        <v>ICTVonline=20151011</v>
      </c>
    </row>
    <row r="800" spans="1:13" x14ac:dyDescent="0.15">
      <c r="A800" s="1" t="s">
        <v>1035</v>
      </c>
      <c r="B800" s="1" t="s">
        <v>2448</v>
      </c>
      <c r="D800" s="1" t="s">
        <v>4477</v>
      </c>
      <c r="E800" s="1" t="s">
        <v>4478</v>
      </c>
      <c r="F800" s="3">
        <v>1</v>
      </c>
      <c r="I800" s="24" t="s">
        <v>3254</v>
      </c>
      <c r="J800" s="24" t="s">
        <v>2923</v>
      </c>
      <c r="K800" s="3">
        <v>30</v>
      </c>
      <c r="L800" s="3" t="s">
        <v>6815</v>
      </c>
      <c r="M800" s="3" t="str">
        <f>HYPERLINK("http://ictvonline.org/taxonomyHistory.asp?taxnode_id=20151013","ICTVonline=20151013")</f>
        <v>ICTVonline=20151013</v>
      </c>
    </row>
    <row r="801" spans="1:13" x14ac:dyDescent="0.15">
      <c r="A801" s="1" t="s">
        <v>1035</v>
      </c>
      <c r="B801" s="1" t="s">
        <v>1483</v>
      </c>
      <c r="D801" s="1" t="s">
        <v>1411</v>
      </c>
      <c r="E801" s="1" t="s">
        <v>1412</v>
      </c>
      <c r="F801" s="3">
        <v>1</v>
      </c>
      <c r="I801" s="24" t="s">
        <v>3254</v>
      </c>
      <c r="J801" s="24" t="s">
        <v>2920</v>
      </c>
      <c r="K801" s="3">
        <v>30</v>
      </c>
      <c r="L801" s="3" t="s">
        <v>6816</v>
      </c>
      <c r="M801" s="3" t="str">
        <f>HYPERLINK("http://ictvonline.org/taxonomyHistory.asp?taxnode_id=20151019","ICTVonline=20151019")</f>
        <v>ICTVonline=20151019</v>
      </c>
    </row>
    <row r="802" spans="1:13" x14ac:dyDescent="0.15">
      <c r="A802" s="1" t="s">
        <v>1035</v>
      </c>
      <c r="B802" s="1" t="s">
        <v>1483</v>
      </c>
      <c r="D802" s="1" t="s">
        <v>1484</v>
      </c>
      <c r="E802" s="1" t="s">
        <v>1485</v>
      </c>
      <c r="F802" s="3">
        <v>0</v>
      </c>
      <c r="I802" s="24" t="s">
        <v>3254</v>
      </c>
      <c r="J802" s="24" t="s">
        <v>2920</v>
      </c>
      <c r="K802" s="3">
        <v>30</v>
      </c>
      <c r="L802" s="3" t="s">
        <v>6816</v>
      </c>
      <c r="M802" s="3" t="str">
        <f>HYPERLINK("http://ictvonline.org/taxonomyHistory.asp?taxnode_id=20151021","ICTVonline=20151021")</f>
        <v>ICTVonline=20151021</v>
      </c>
    </row>
    <row r="803" spans="1:13" x14ac:dyDescent="0.15">
      <c r="A803" s="1" t="s">
        <v>1035</v>
      </c>
      <c r="B803" s="1" t="s">
        <v>1483</v>
      </c>
      <c r="D803" s="1" t="s">
        <v>1484</v>
      </c>
      <c r="E803" s="1" t="s">
        <v>1486</v>
      </c>
      <c r="F803" s="3">
        <v>0</v>
      </c>
      <c r="I803" s="24" t="s">
        <v>3254</v>
      </c>
      <c r="J803" s="24" t="s">
        <v>2920</v>
      </c>
      <c r="K803" s="3">
        <v>30</v>
      </c>
      <c r="L803" s="3" t="s">
        <v>6816</v>
      </c>
      <c r="M803" s="3" t="str">
        <f>HYPERLINK("http://ictvonline.org/taxonomyHistory.asp?taxnode_id=20151022","ICTVonline=20151022")</f>
        <v>ICTVonline=20151022</v>
      </c>
    </row>
    <row r="804" spans="1:13" x14ac:dyDescent="0.15">
      <c r="A804" s="1" t="s">
        <v>1035</v>
      </c>
      <c r="B804" s="1" t="s">
        <v>1483</v>
      </c>
      <c r="D804" s="1" t="s">
        <v>1484</v>
      </c>
      <c r="E804" s="1" t="s">
        <v>1487</v>
      </c>
      <c r="F804" s="3">
        <v>0</v>
      </c>
      <c r="I804" s="24" t="s">
        <v>3254</v>
      </c>
      <c r="J804" s="24" t="s">
        <v>2920</v>
      </c>
      <c r="K804" s="3">
        <v>30</v>
      </c>
      <c r="L804" s="3" t="s">
        <v>6816</v>
      </c>
      <c r="M804" s="3" t="str">
        <f>HYPERLINK("http://ictvonline.org/taxonomyHistory.asp?taxnode_id=20151023","ICTVonline=20151023")</f>
        <v>ICTVonline=20151023</v>
      </c>
    </row>
    <row r="805" spans="1:13" x14ac:dyDescent="0.15">
      <c r="A805" s="1" t="s">
        <v>1035</v>
      </c>
      <c r="B805" s="1" t="s">
        <v>1483</v>
      </c>
      <c r="D805" s="1" t="s">
        <v>1484</v>
      </c>
      <c r="E805" s="1" t="s">
        <v>1488</v>
      </c>
      <c r="F805" s="3">
        <v>0</v>
      </c>
      <c r="I805" s="24" t="s">
        <v>3254</v>
      </c>
      <c r="J805" s="24" t="s">
        <v>2920</v>
      </c>
      <c r="K805" s="3">
        <v>30</v>
      </c>
      <c r="L805" s="3" t="s">
        <v>6816</v>
      </c>
      <c r="M805" s="3" t="str">
        <f>HYPERLINK("http://ictvonline.org/taxonomyHistory.asp?taxnode_id=20151024","ICTVonline=20151024")</f>
        <v>ICTVonline=20151024</v>
      </c>
    </row>
    <row r="806" spans="1:13" x14ac:dyDescent="0.15">
      <c r="A806" s="1" t="s">
        <v>1035</v>
      </c>
      <c r="B806" s="1" t="s">
        <v>1483</v>
      </c>
      <c r="D806" s="1" t="s">
        <v>1484</v>
      </c>
      <c r="E806" s="1" t="s">
        <v>1373</v>
      </c>
      <c r="F806" s="3">
        <v>0</v>
      </c>
      <c r="I806" s="24" t="s">
        <v>3254</v>
      </c>
      <c r="J806" s="24" t="s">
        <v>2920</v>
      </c>
      <c r="K806" s="3">
        <v>30</v>
      </c>
      <c r="L806" s="3" t="s">
        <v>6816</v>
      </c>
      <c r="M806" s="3" t="str">
        <f>HYPERLINK("http://ictvonline.org/taxonomyHistory.asp?taxnode_id=20151025","ICTVonline=20151025")</f>
        <v>ICTVonline=20151025</v>
      </c>
    </row>
    <row r="807" spans="1:13" x14ac:dyDescent="0.15">
      <c r="A807" s="1" t="s">
        <v>1035</v>
      </c>
      <c r="B807" s="1" t="s">
        <v>1483</v>
      </c>
      <c r="D807" s="1" t="s">
        <v>1484</v>
      </c>
      <c r="E807" s="1" t="s">
        <v>1374</v>
      </c>
      <c r="F807" s="3">
        <v>0</v>
      </c>
      <c r="I807" s="24" t="s">
        <v>3254</v>
      </c>
      <c r="J807" s="24" t="s">
        <v>2920</v>
      </c>
      <c r="K807" s="3">
        <v>30</v>
      </c>
      <c r="L807" s="3" t="s">
        <v>6816</v>
      </c>
      <c r="M807" s="3" t="str">
        <f>HYPERLINK("http://ictvonline.org/taxonomyHistory.asp?taxnode_id=20151026","ICTVonline=20151026")</f>
        <v>ICTVonline=20151026</v>
      </c>
    </row>
    <row r="808" spans="1:13" x14ac:dyDescent="0.15">
      <c r="A808" s="1" t="s">
        <v>1035</v>
      </c>
      <c r="B808" s="1" t="s">
        <v>1483</v>
      </c>
      <c r="D808" s="1" t="s">
        <v>1484</v>
      </c>
      <c r="E808" s="1" t="s">
        <v>1375</v>
      </c>
      <c r="F808" s="3">
        <v>0</v>
      </c>
      <c r="I808" s="24" t="s">
        <v>3254</v>
      </c>
      <c r="J808" s="24" t="s">
        <v>2920</v>
      </c>
      <c r="K808" s="3">
        <v>30</v>
      </c>
      <c r="L808" s="3" t="s">
        <v>6816</v>
      </c>
      <c r="M808" s="3" t="str">
        <f>HYPERLINK("http://ictvonline.org/taxonomyHistory.asp?taxnode_id=20151027","ICTVonline=20151027")</f>
        <v>ICTVonline=20151027</v>
      </c>
    </row>
    <row r="809" spans="1:13" x14ac:dyDescent="0.15">
      <c r="A809" s="1" t="s">
        <v>1035</v>
      </c>
      <c r="B809" s="1" t="s">
        <v>1483</v>
      </c>
      <c r="D809" s="1" t="s">
        <v>1484</v>
      </c>
      <c r="E809" s="1" t="s">
        <v>1376</v>
      </c>
      <c r="F809" s="3">
        <v>0</v>
      </c>
      <c r="I809" s="24" t="s">
        <v>3254</v>
      </c>
      <c r="J809" s="24" t="s">
        <v>2920</v>
      </c>
      <c r="K809" s="3">
        <v>30</v>
      </c>
      <c r="L809" s="3" t="s">
        <v>6816</v>
      </c>
      <c r="M809" s="3" t="str">
        <f>HYPERLINK("http://ictvonline.org/taxonomyHistory.asp?taxnode_id=20151028","ICTVonline=20151028")</f>
        <v>ICTVonline=20151028</v>
      </c>
    </row>
    <row r="810" spans="1:13" x14ac:dyDescent="0.15">
      <c r="A810" s="1" t="s">
        <v>1035</v>
      </c>
      <c r="B810" s="1" t="s">
        <v>1483</v>
      </c>
      <c r="D810" s="1" t="s">
        <v>1484</v>
      </c>
      <c r="E810" s="1" t="s">
        <v>4479</v>
      </c>
      <c r="F810" s="3">
        <v>0</v>
      </c>
      <c r="G810" s="24" t="s">
        <v>7384</v>
      </c>
      <c r="H810" s="24" t="s">
        <v>4480</v>
      </c>
      <c r="I810" s="24" t="s">
        <v>3254</v>
      </c>
      <c r="J810" s="24" t="s">
        <v>2919</v>
      </c>
      <c r="K810" s="3">
        <v>30</v>
      </c>
      <c r="L810" s="3" t="s">
        <v>6817</v>
      </c>
      <c r="M810" s="3" t="str">
        <f>HYPERLINK("http://ictvonline.org/taxonomyHistory.asp?taxnode_id=20151030","ICTVonline=20151030")</f>
        <v>ICTVonline=20151030</v>
      </c>
    </row>
    <row r="811" spans="1:13" x14ac:dyDescent="0.15">
      <c r="A811" s="1" t="s">
        <v>1035</v>
      </c>
      <c r="B811" s="1" t="s">
        <v>1483</v>
      </c>
      <c r="D811" s="1" t="s">
        <v>1484</v>
      </c>
      <c r="E811" s="1" t="s">
        <v>4481</v>
      </c>
      <c r="F811" s="3">
        <v>0</v>
      </c>
      <c r="G811" s="24" t="s">
        <v>7385</v>
      </c>
      <c r="H811" s="24" t="s">
        <v>4482</v>
      </c>
      <c r="I811" s="24" t="s">
        <v>3254</v>
      </c>
      <c r="J811" s="24" t="s">
        <v>2919</v>
      </c>
      <c r="K811" s="3">
        <v>30</v>
      </c>
      <c r="L811" s="3" t="s">
        <v>6817</v>
      </c>
      <c r="M811" s="3" t="str">
        <f>HYPERLINK("http://ictvonline.org/taxonomyHistory.asp?taxnode_id=20151031","ICTVonline=20151031")</f>
        <v>ICTVonline=20151031</v>
      </c>
    </row>
    <row r="812" spans="1:13" x14ac:dyDescent="0.15">
      <c r="A812" s="1" t="s">
        <v>1035</v>
      </c>
      <c r="B812" s="1" t="s">
        <v>1483</v>
      </c>
      <c r="D812" s="1" t="s">
        <v>1484</v>
      </c>
      <c r="E812" s="1" t="s">
        <v>4483</v>
      </c>
      <c r="F812" s="3">
        <v>0</v>
      </c>
      <c r="G812" s="24" t="s">
        <v>7386</v>
      </c>
      <c r="H812" s="24" t="s">
        <v>4484</v>
      </c>
      <c r="I812" s="24" t="s">
        <v>3254</v>
      </c>
      <c r="J812" s="24" t="s">
        <v>2919</v>
      </c>
      <c r="K812" s="3">
        <v>30</v>
      </c>
      <c r="L812" s="3" t="s">
        <v>6817</v>
      </c>
      <c r="M812" s="3" t="str">
        <f>HYPERLINK("http://ictvonline.org/taxonomyHistory.asp?taxnode_id=20151032","ICTVonline=20151032")</f>
        <v>ICTVonline=20151032</v>
      </c>
    </row>
    <row r="813" spans="1:13" x14ac:dyDescent="0.15">
      <c r="A813" s="1" t="s">
        <v>1035</v>
      </c>
      <c r="B813" s="1" t="s">
        <v>1483</v>
      </c>
      <c r="D813" s="1" t="s">
        <v>1484</v>
      </c>
      <c r="E813" s="1" t="s">
        <v>1377</v>
      </c>
      <c r="F813" s="3">
        <v>1</v>
      </c>
      <c r="I813" s="24" t="s">
        <v>3254</v>
      </c>
      <c r="J813" s="24" t="s">
        <v>2920</v>
      </c>
      <c r="K813" s="3">
        <v>30</v>
      </c>
      <c r="L813" s="3" t="s">
        <v>6816</v>
      </c>
      <c r="M813" s="3" t="str">
        <f>HYPERLINK("http://ictvonline.org/taxonomyHistory.asp?taxnode_id=20151029","ICTVonline=20151029")</f>
        <v>ICTVonline=20151029</v>
      </c>
    </row>
    <row r="814" spans="1:13" x14ac:dyDescent="0.15">
      <c r="A814" s="1" t="s">
        <v>1035</v>
      </c>
      <c r="B814" s="1" t="s">
        <v>1483</v>
      </c>
      <c r="D814" s="1" t="s">
        <v>1413</v>
      </c>
      <c r="E814" s="1" t="s">
        <v>1414</v>
      </c>
      <c r="F814" s="3">
        <v>1</v>
      </c>
      <c r="I814" s="24" t="s">
        <v>3254</v>
      </c>
      <c r="J814" s="24" t="s">
        <v>2920</v>
      </c>
      <c r="K814" s="3">
        <v>30</v>
      </c>
      <c r="L814" s="3" t="s">
        <v>6816</v>
      </c>
      <c r="M814" s="3" t="str">
        <f>HYPERLINK("http://ictvonline.org/taxonomyHistory.asp?taxnode_id=20151034","ICTVonline=20151034")</f>
        <v>ICTVonline=20151034</v>
      </c>
    </row>
    <row r="815" spans="1:13" x14ac:dyDescent="0.15">
      <c r="A815" s="1" t="s">
        <v>1035</v>
      </c>
      <c r="B815" s="1" t="s">
        <v>1483</v>
      </c>
      <c r="D815" s="1" t="s">
        <v>1378</v>
      </c>
      <c r="E815" s="1" t="s">
        <v>4485</v>
      </c>
      <c r="F815" s="3">
        <v>0</v>
      </c>
      <c r="G815" s="24" t="s">
        <v>7387</v>
      </c>
      <c r="H815" s="24" t="s">
        <v>4486</v>
      </c>
      <c r="I815" s="24" t="s">
        <v>3254</v>
      </c>
      <c r="J815" s="24" t="s">
        <v>2919</v>
      </c>
      <c r="K815" s="3">
        <v>30</v>
      </c>
      <c r="L815" s="3" t="s">
        <v>6818</v>
      </c>
      <c r="M815" s="3" t="str">
        <f>HYPERLINK("http://ictvonline.org/taxonomyHistory.asp?taxnode_id=20151038","ICTVonline=20151038")</f>
        <v>ICTVonline=20151038</v>
      </c>
    </row>
    <row r="816" spans="1:13" x14ac:dyDescent="0.15">
      <c r="A816" s="1" t="s">
        <v>1035</v>
      </c>
      <c r="B816" s="1" t="s">
        <v>1483</v>
      </c>
      <c r="D816" s="1" t="s">
        <v>1378</v>
      </c>
      <c r="E816" s="1" t="s">
        <v>4487</v>
      </c>
      <c r="F816" s="3">
        <v>0</v>
      </c>
      <c r="G816" s="24" t="s">
        <v>7388</v>
      </c>
      <c r="H816" s="24" t="s">
        <v>4488</v>
      </c>
      <c r="I816" s="24" t="s">
        <v>3254</v>
      </c>
      <c r="J816" s="24" t="s">
        <v>2919</v>
      </c>
      <c r="K816" s="3">
        <v>30</v>
      </c>
      <c r="L816" s="3" t="s">
        <v>6818</v>
      </c>
      <c r="M816" s="3" t="str">
        <f>HYPERLINK("http://ictvonline.org/taxonomyHistory.asp?taxnode_id=20151039","ICTVonline=20151039")</f>
        <v>ICTVonline=20151039</v>
      </c>
    </row>
    <row r="817" spans="1:13" x14ac:dyDescent="0.15">
      <c r="A817" s="1" t="s">
        <v>1035</v>
      </c>
      <c r="B817" s="1" t="s">
        <v>1483</v>
      </c>
      <c r="D817" s="1" t="s">
        <v>1378</v>
      </c>
      <c r="E817" s="1" t="s">
        <v>1379</v>
      </c>
      <c r="F817" s="3">
        <v>1</v>
      </c>
      <c r="I817" s="24" t="s">
        <v>3254</v>
      </c>
      <c r="J817" s="24" t="s">
        <v>2920</v>
      </c>
      <c r="K817" s="3">
        <v>30</v>
      </c>
      <c r="L817" s="3" t="s">
        <v>6816</v>
      </c>
      <c r="M817" s="3" t="str">
        <f>HYPERLINK("http://ictvonline.org/taxonomyHistory.asp?taxnode_id=20151036","ICTVonline=20151036")</f>
        <v>ICTVonline=20151036</v>
      </c>
    </row>
    <row r="818" spans="1:13" x14ac:dyDescent="0.15">
      <c r="A818" s="1" t="s">
        <v>1035</v>
      </c>
      <c r="B818" s="1" t="s">
        <v>1483</v>
      </c>
      <c r="D818" s="1" t="s">
        <v>1378</v>
      </c>
      <c r="E818" s="1" t="s">
        <v>4489</v>
      </c>
      <c r="F818" s="3">
        <v>0</v>
      </c>
      <c r="G818" s="24" t="s">
        <v>7389</v>
      </c>
      <c r="H818" s="24" t="s">
        <v>7994</v>
      </c>
      <c r="I818" s="24" t="s">
        <v>3254</v>
      </c>
      <c r="J818" s="24" t="s">
        <v>2919</v>
      </c>
      <c r="K818" s="3">
        <v>30</v>
      </c>
      <c r="L818" s="3" t="s">
        <v>6817</v>
      </c>
      <c r="M818" s="3" t="str">
        <f>HYPERLINK("http://ictvonline.org/taxonomyHistory.asp?taxnode_id=20151040","ICTVonline=20151040")</f>
        <v>ICTVonline=20151040</v>
      </c>
    </row>
    <row r="819" spans="1:13" x14ac:dyDescent="0.15">
      <c r="A819" s="1" t="s">
        <v>1035</v>
      </c>
      <c r="B819" s="1" t="s">
        <v>1483</v>
      </c>
      <c r="D819" s="1" t="s">
        <v>1378</v>
      </c>
      <c r="E819" s="1" t="s">
        <v>1380</v>
      </c>
      <c r="F819" s="3">
        <v>0</v>
      </c>
      <c r="I819" s="24" t="s">
        <v>3254</v>
      </c>
      <c r="J819" s="24" t="s">
        <v>2920</v>
      </c>
      <c r="K819" s="3">
        <v>30</v>
      </c>
      <c r="L819" s="3" t="s">
        <v>6816</v>
      </c>
      <c r="M819" s="3" t="str">
        <f>HYPERLINK("http://ictvonline.org/taxonomyHistory.asp?taxnode_id=20151037","ICTVonline=20151037")</f>
        <v>ICTVonline=20151037</v>
      </c>
    </row>
    <row r="820" spans="1:13" x14ac:dyDescent="0.15">
      <c r="A820" s="1" t="s">
        <v>1035</v>
      </c>
      <c r="B820" s="1" t="s">
        <v>1483</v>
      </c>
      <c r="D820" s="1" t="s">
        <v>1381</v>
      </c>
      <c r="E820" s="1" t="s">
        <v>1382</v>
      </c>
      <c r="F820" s="3">
        <v>0</v>
      </c>
      <c r="I820" s="24" t="s">
        <v>3254</v>
      </c>
      <c r="J820" s="24" t="s">
        <v>2920</v>
      </c>
      <c r="K820" s="3">
        <v>30</v>
      </c>
      <c r="L820" s="3" t="s">
        <v>6816</v>
      </c>
      <c r="M820" s="3" t="str">
        <f>HYPERLINK("http://ictvonline.org/taxonomyHistory.asp?taxnode_id=20151042","ICTVonline=20151042")</f>
        <v>ICTVonline=20151042</v>
      </c>
    </row>
    <row r="821" spans="1:13" x14ac:dyDescent="0.15">
      <c r="A821" s="1" t="s">
        <v>1035</v>
      </c>
      <c r="B821" s="1" t="s">
        <v>1483</v>
      </c>
      <c r="D821" s="1" t="s">
        <v>1381</v>
      </c>
      <c r="E821" s="1" t="s">
        <v>1383</v>
      </c>
      <c r="F821" s="3">
        <v>0</v>
      </c>
      <c r="I821" s="24" t="s">
        <v>3254</v>
      </c>
      <c r="J821" s="24" t="s">
        <v>2920</v>
      </c>
      <c r="K821" s="3">
        <v>30</v>
      </c>
      <c r="L821" s="3" t="s">
        <v>6816</v>
      </c>
      <c r="M821" s="3" t="str">
        <f>HYPERLINK("http://ictvonline.org/taxonomyHistory.asp?taxnode_id=20151043","ICTVonline=20151043")</f>
        <v>ICTVonline=20151043</v>
      </c>
    </row>
    <row r="822" spans="1:13" x14ac:dyDescent="0.15">
      <c r="A822" s="1" t="s">
        <v>1035</v>
      </c>
      <c r="B822" s="1" t="s">
        <v>1483</v>
      </c>
      <c r="D822" s="1" t="s">
        <v>1381</v>
      </c>
      <c r="E822" s="1" t="s">
        <v>4490</v>
      </c>
      <c r="F822" s="3">
        <v>0</v>
      </c>
      <c r="G822" s="24" t="s">
        <v>7390</v>
      </c>
      <c r="H822" s="24" t="s">
        <v>4491</v>
      </c>
      <c r="I822" s="24" t="s">
        <v>3254</v>
      </c>
      <c r="J822" s="24" t="s">
        <v>2919</v>
      </c>
      <c r="K822" s="3">
        <v>30</v>
      </c>
      <c r="L822" s="3" t="s">
        <v>6819</v>
      </c>
      <c r="M822" s="3" t="str">
        <f>HYPERLINK("http://ictvonline.org/taxonomyHistory.asp?taxnode_id=20151048","ICTVonline=20151048")</f>
        <v>ICTVonline=20151048</v>
      </c>
    </row>
    <row r="823" spans="1:13" x14ac:dyDescent="0.15">
      <c r="A823" s="1" t="s">
        <v>1035</v>
      </c>
      <c r="B823" s="1" t="s">
        <v>1483</v>
      </c>
      <c r="D823" s="1" t="s">
        <v>1381</v>
      </c>
      <c r="E823" s="1" t="s">
        <v>1384</v>
      </c>
      <c r="F823" s="3">
        <v>1</v>
      </c>
      <c r="I823" s="24" t="s">
        <v>3254</v>
      </c>
      <c r="J823" s="24" t="s">
        <v>2920</v>
      </c>
      <c r="K823" s="3">
        <v>30</v>
      </c>
      <c r="L823" s="3" t="s">
        <v>6816</v>
      </c>
      <c r="M823" s="3" t="str">
        <f>HYPERLINK("http://ictvonline.org/taxonomyHistory.asp?taxnode_id=20151044","ICTVonline=20151044")</f>
        <v>ICTVonline=20151044</v>
      </c>
    </row>
    <row r="824" spans="1:13" x14ac:dyDescent="0.15">
      <c r="A824" s="1" t="s">
        <v>1035</v>
      </c>
      <c r="B824" s="1" t="s">
        <v>1483</v>
      </c>
      <c r="D824" s="1" t="s">
        <v>1381</v>
      </c>
      <c r="E824" s="1" t="s">
        <v>1385</v>
      </c>
      <c r="F824" s="3">
        <v>0</v>
      </c>
      <c r="I824" s="24" t="s">
        <v>3254</v>
      </c>
      <c r="J824" s="24" t="s">
        <v>2920</v>
      </c>
      <c r="K824" s="3">
        <v>30</v>
      </c>
      <c r="L824" s="3" t="s">
        <v>6816</v>
      </c>
      <c r="M824" s="3" t="str">
        <f>HYPERLINK("http://ictvonline.org/taxonomyHistory.asp?taxnode_id=20151045","ICTVonline=20151045")</f>
        <v>ICTVonline=20151045</v>
      </c>
    </row>
    <row r="825" spans="1:13" x14ac:dyDescent="0.15">
      <c r="A825" s="1" t="s">
        <v>1035</v>
      </c>
      <c r="B825" s="1" t="s">
        <v>1483</v>
      </c>
      <c r="D825" s="1" t="s">
        <v>1381</v>
      </c>
      <c r="E825" s="1" t="s">
        <v>1386</v>
      </c>
      <c r="F825" s="3">
        <v>0</v>
      </c>
      <c r="I825" s="24" t="s">
        <v>3254</v>
      </c>
      <c r="J825" s="24" t="s">
        <v>2920</v>
      </c>
      <c r="K825" s="3">
        <v>30</v>
      </c>
      <c r="L825" s="3" t="s">
        <v>6816</v>
      </c>
      <c r="M825" s="3" t="str">
        <f>HYPERLINK("http://ictvonline.org/taxonomyHistory.asp?taxnode_id=20151046","ICTVonline=20151046")</f>
        <v>ICTVonline=20151046</v>
      </c>
    </row>
    <row r="826" spans="1:13" x14ac:dyDescent="0.15">
      <c r="A826" s="1" t="s">
        <v>1035</v>
      </c>
      <c r="B826" s="1" t="s">
        <v>1483</v>
      </c>
      <c r="D826" s="1" t="s">
        <v>1381</v>
      </c>
      <c r="E826" s="1" t="s">
        <v>1387</v>
      </c>
      <c r="F826" s="3">
        <v>0</v>
      </c>
      <c r="I826" s="24" t="s">
        <v>3254</v>
      </c>
      <c r="J826" s="24" t="s">
        <v>2920</v>
      </c>
      <c r="K826" s="3">
        <v>30</v>
      </c>
      <c r="L826" s="3" t="s">
        <v>6816</v>
      </c>
      <c r="M826" s="3" t="str">
        <f>HYPERLINK("http://ictvonline.org/taxonomyHistory.asp?taxnode_id=20151047","ICTVonline=20151047")</f>
        <v>ICTVonline=20151047</v>
      </c>
    </row>
    <row r="827" spans="1:13" x14ac:dyDescent="0.15">
      <c r="A827" s="1" t="s">
        <v>1035</v>
      </c>
      <c r="B827" s="1" t="s">
        <v>1483</v>
      </c>
      <c r="D827" s="1" t="s">
        <v>1388</v>
      </c>
      <c r="E827" s="1" t="s">
        <v>1493</v>
      </c>
      <c r="F827" s="3">
        <v>0</v>
      </c>
      <c r="I827" s="24" t="s">
        <v>3254</v>
      </c>
      <c r="J827" s="24" t="s">
        <v>2920</v>
      </c>
      <c r="K827" s="3">
        <v>30</v>
      </c>
      <c r="L827" s="3" t="s">
        <v>6816</v>
      </c>
      <c r="M827" s="3" t="str">
        <f>HYPERLINK("http://ictvonline.org/taxonomyHistory.asp?taxnode_id=20151050","ICTVonline=20151050")</f>
        <v>ICTVonline=20151050</v>
      </c>
    </row>
    <row r="828" spans="1:13" x14ac:dyDescent="0.15">
      <c r="A828" s="1" t="s">
        <v>1035</v>
      </c>
      <c r="B828" s="1" t="s">
        <v>1483</v>
      </c>
      <c r="D828" s="1" t="s">
        <v>1388</v>
      </c>
      <c r="E828" s="1" t="s">
        <v>1494</v>
      </c>
      <c r="F828" s="3">
        <v>0</v>
      </c>
      <c r="I828" s="24" t="s">
        <v>3254</v>
      </c>
      <c r="J828" s="24" t="s">
        <v>2920</v>
      </c>
      <c r="K828" s="3">
        <v>30</v>
      </c>
      <c r="L828" s="3" t="s">
        <v>6816</v>
      </c>
      <c r="M828" s="3" t="str">
        <f>HYPERLINK("http://ictvonline.org/taxonomyHistory.asp?taxnode_id=20151051","ICTVonline=20151051")</f>
        <v>ICTVonline=20151051</v>
      </c>
    </row>
    <row r="829" spans="1:13" x14ac:dyDescent="0.15">
      <c r="A829" s="1" t="s">
        <v>1035</v>
      </c>
      <c r="B829" s="1" t="s">
        <v>1483</v>
      </c>
      <c r="D829" s="1" t="s">
        <v>1388</v>
      </c>
      <c r="E829" s="1" t="s">
        <v>1077</v>
      </c>
      <c r="F829" s="3">
        <v>0</v>
      </c>
      <c r="I829" s="24" t="s">
        <v>3254</v>
      </c>
      <c r="J829" s="24" t="s">
        <v>2920</v>
      </c>
      <c r="K829" s="3">
        <v>30</v>
      </c>
      <c r="L829" s="3" t="s">
        <v>6816</v>
      </c>
      <c r="M829" s="3" t="str">
        <f>HYPERLINK("http://ictvonline.org/taxonomyHistory.asp?taxnode_id=20151052","ICTVonline=20151052")</f>
        <v>ICTVonline=20151052</v>
      </c>
    </row>
    <row r="830" spans="1:13" x14ac:dyDescent="0.15">
      <c r="A830" s="1" t="s">
        <v>1035</v>
      </c>
      <c r="B830" s="1" t="s">
        <v>1483</v>
      </c>
      <c r="D830" s="1" t="s">
        <v>1388</v>
      </c>
      <c r="E830" s="1" t="s">
        <v>4492</v>
      </c>
      <c r="F830" s="3">
        <v>0</v>
      </c>
      <c r="G830" s="24" t="s">
        <v>7391</v>
      </c>
      <c r="H830" s="24" t="s">
        <v>4493</v>
      </c>
      <c r="I830" s="24" t="s">
        <v>3254</v>
      </c>
      <c r="J830" s="24" t="s">
        <v>2919</v>
      </c>
      <c r="K830" s="3">
        <v>30</v>
      </c>
      <c r="L830" s="3" t="s">
        <v>6820</v>
      </c>
      <c r="M830" s="3" t="str">
        <f>HYPERLINK("http://ictvonline.org/taxonomyHistory.asp?taxnode_id=20151055","ICTVonline=20151055")</f>
        <v>ICTVonline=20151055</v>
      </c>
    </row>
    <row r="831" spans="1:13" x14ac:dyDescent="0.15">
      <c r="A831" s="1" t="s">
        <v>1035</v>
      </c>
      <c r="B831" s="1" t="s">
        <v>1483</v>
      </c>
      <c r="D831" s="1" t="s">
        <v>1388</v>
      </c>
      <c r="E831" s="1" t="s">
        <v>1078</v>
      </c>
      <c r="F831" s="3">
        <v>1</v>
      </c>
      <c r="I831" s="24" t="s">
        <v>3254</v>
      </c>
      <c r="J831" s="24" t="s">
        <v>2920</v>
      </c>
      <c r="K831" s="3">
        <v>30</v>
      </c>
      <c r="L831" s="3" t="s">
        <v>6816</v>
      </c>
      <c r="M831" s="3" t="str">
        <f>HYPERLINK("http://ictvonline.org/taxonomyHistory.asp?taxnode_id=20151053","ICTVonline=20151053")</f>
        <v>ICTVonline=20151053</v>
      </c>
    </row>
    <row r="832" spans="1:13" x14ac:dyDescent="0.15">
      <c r="A832" s="1" t="s">
        <v>1035</v>
      </c>
      <c r="B832" s="1" t="s">
        <v>1483</v>
      </c>
      <c r="D832" s="1" t="s">
        <v>1515</v>
      </c>
      <c r="E832" s="1" t="s">
        <v>1516</v>
      </c>
      <c r="F832" s="3">
        <v>0</v>
      </c>
      <c r="I832" s="24" t="s">
        <v>3254</v>
      </c>
      <c r="J832" s="24" t="s">
        <v>2920</v>
      </c>
      <c r="K832" s="3">
        <v>30</v>
      </c>
      <c r="L832" s="3" t="s">
        <v>6816</v>
      </c>
      <c r="M832" s="3" t="str">
        <f>HYPERLINK("http://ictvonline.org/taxonomyHistory.asp?taxnode_id=20151057","ICTVonline=20151057")</f>
        <v>ICTVonline=20151057</v>
      </c>
    </row>
    <row r="833" spans="1:13" x14ac:dyDescent="0.15">
      <c r="A833" s="1" t="s">
        <v>1035</v>
      </c>
      <c r="B833" s="1" t="s">
        <v>1483</v>
      </c>
      <c r="D833" s="1" t="s">
        <v>1515</v>
      </c>
      <c r="E833" s="1" t="s">
        <v>1517</v>
      </c>
      <c r="F833" s="3">
        <v>0</v>
      </c>
      <c r="I833" s="24" t="s">
        <v>3254</v>
      </c>
      <c r="J833" s="24" t="s">
        <v>2920</v>
      </c>
      <c r="K833" s="3">
        <v>30</v>
      </c>
      <c r="L833" s="3" t="s">
        <v>6816</v>
      </c>
      <c r="M833" s="3" t="str">
        <f>HYPERLINK("http://ictvonline.org/taxonomyHistory.asp?taxnode_id=20151058","ICTVonline=20151058")</f>
        <v>ICTVonline=20151058</v>
      </c>
    </row>
    <row r="834" spans="1:13" x14ac:dyDescent="0.15">
      <c r="A834" s="1" t="s">
        <v>1035</v>
      </c>
      <c r="B834" s="1" t="s">
        <v>1483</v>
      </c>
      <c r="D834" s="1" t="s">
        <v>1515</v>
      </c>
      <c r="E834" s="1" t="s">
        <v>1518</v>
      </c>
      <c r="F834" s="3">
        <v>0</v>
      </c>
      <c r="I834" s="24" t="s">
        <v>3254</v>
      </c>
      <c r="J834" s="24" t="s">
        <v>2920</v>
      </c>
      <c r="K834" s="3">
        <v>30</v>
      </c>
      <c r="L834" s="3" t="s">
        <v>6816</v>
      </c>
      <c r="M834" s="3" t="str">
        <f>HYPERLINK("http://ictvonline.org/taxonomyHistory.asp?taxnode_id=20151059","ICTVonline=20151059")</f>
        <v>ICTVonline=20151059</v>
      </c>
    </row>
    <row r="835" spans="1:13" x14ac:dyDescent="0.15">
      <c r="A835" s="1" t="s">
        <v>1035</v>
      </c>
      <c r="B835" s="1" t="s">
        <v>1483</v>
      </c>
      <c r="D835" s="1" t="s">
        <v>1515</v>
      </c>
      <c r="E835" s="1" t="s">
        <v>1519</v>
      </c>
      <c r="F835" s="3">
        <v>1</v>
      </c>
      <c r="I835" s="24" t="s">
        <v>3254</v>
      </c>
      <c r="J835" s="24" t="s">
        <v>2920</v>
      </c>
      <c r="K835" s="3">
        <v>30</v>
      </c>
      <c r="L835" s="3" t="s">
        <v>6816</v>
      </c>
      <c r="M835" s="3" t="str">
        <f>HYPERLINK("http://ictvonline.org/taxonomyHistory.asp?taxnode_id=20151060","ICTVonline=20151060")</f>
        <v>ICTVonline=20151060</v>
      </c>
    </row>
    <row r="836" spans="1:13" x14ac:dyDescent="0.15">
      <c r="A836" s="1" t="s">
        <v>1035</v>
      </c>
      <c r="B836" s="1" t="s">
        <v>1483</v>
      </c>
      <c r="D836" s="1" t="s">
        <v>1515</v>
      </c>
      <c r="E836" s="1" t="s">
        <v>1621</v>
      </c>
      <c r="F836" s="3">
        <v>0</v>
      </c>
      <c r="I836" s="24" t="s">
        <v>3254</v>
      </c>
      <c r="J836" s="24" t="s">
        <v>2920</v>
      </c>
      <c r="K836" s="3">
        <v>30</v>
      </c>
      <c r="L836" s="3" t="s">
        <v>6816</v>
      </c>
      <c r="M836" s="3" t="str">
        <f>HYPERLINK("http://ictvonline.org/taxonomyHistory.asp?taxnode_id=20151061","ICTVonline=20151061")</f>
        <v>ICTVonline=20151061</v>
      </c>
    </row>
    <row r="837" spans="1:13" x14ac:dyDescent="0.15">
      <c r="A837" s="1" t="s">
        <v>1035</v>
      </c>
      <c r="B837" s="1" t="s">
        <v>1483</v>
      </c>
      <c r="D837" s="1" t="s">
        <v>1515</v>
      </c>
      <c r="E837" s="1" t="s">
        <v>1520</v>
      </c>
      <c r="F837" s="3">
        <v>0</v>
      </c>
      <c r="I837" s="24" t="s">
        <v>3254</v>
      </c>
      <c r="J837" s="24" t="s">
        <v>2920</v>
      </c>
      <c r="K837" s="3">
        <v>30</v>
      </c>
      <c r="L837" s="3" t="s">
        <v>6816</v>
      </c>
      <c r="M837" s="3" t="str">
        <f>HYPERLINK("http://ictvonline.org/taxonomyHistory.asp?taxnode_id=20151062","ICTVonline=20151062")</f>
        <v>ICTVonline=20151062</v>
      </c>
    </row>
    <row r="838" spans="1:13" x14ac:dyDescent="0.15">
      <c r="A838" s="1" t="s">
        <v>1035</v>
      </c>
      <c r="B838" s="1" t="s">
        <v>1483</v>
      </c>
      <c r="D838" s="1" t="s">
        <v>1515</v>
      </c>
      <c r="E838" s="1" t="s">
        <v>1080</v>
      </c>
      <c r="F838" s="3">
        <v>0</v>
      </c>
      <c r="I838" s="24" t="s">
        <v>3254</v>
      </c>
      <c r="J838" s="24" t="s">
        <v>2920</v>
      </c>
      <c r="K838" s="3">
        <v>30</v>
      </c>
      <c r="L838" s="3" t="s">
        <v>6816</v>
      </c>
      <c r="M838" s="3" t="str">
        <f>HYPERLINK("http://ictvonline.org/taxonomyHistory.asp?taxnode_id=20151063","ICTVonline=20151063")</f>
        <v>ICTVonline=20151063</v>
      </c>
    </row>
    <row r="839" spans="1:13" x14ac:dyDescent="0.15">
      <c r="A839" s="1" t="s">
        <v>1035</v>
      </c>
      <c r="B839" s="1" t="s">
        <v>4494</v>
      </c>
      <c r="D839" s="1" t="s">
        <v>6821</v>
      </c>
      <c r="E839" s="1" t="s">
        <v>1521</v>
      </c>
      <c r="F839" s="3">
        <v>1</v>
      </c>
      <c r="I839" s="24" t="s">
        <v>3254</v>
      </c>
      <c r="J839" s="24" t="s">
        <v>2920</v>
      </c>
      <c r="K839" s="3">
        <v>30</v>
      </c>
      <c r="L839" s="3" t="s">
        <v>6816</v>
      </c>
      <c r="M839" s="3" t="str">
        <f>HYPERLINK("http://ictvonline.org/taxonomyHistory.asp?taxnode_id=20151067","ICTVonline=20151067")</f>
        <v>ICTVonline=20151067</v>
      </c>
    </row>
    <row r="840" spans="1:13" x14ac:dyDescent="0.15">
      <c r="A840" s="1" t="s">
        <v>1035</v>
      </c>
      <c r="B840" s="1" t="s">
        <v>4494</v>
      </c>
      <c r="D840" s="1" t="s">
        <v>6821</v>
      </c>
      <c r="E840" s="1" t="s">
        <v>1522</v>
      </c>
      <c r="F840" s="3">
        <v>0</v>
      </c>
      <c r="I840" s="24" t="s">
        <v>3254</v>
      </c>
      <c r="J840" s="24" t="s">
        <v>2920</v>
      </c>
      <c r="K840" s="3">
        <v>30</v>
      </c>
      <c r="L840" s="3" t="s">
        <v>6816</v>
      </c>
      <c r="M840" s="3" t="str">
        <f>HYPERLINK("http://ictvonline.org/taxonomyHistory.asp?taxnode_id=20151068","ICTVonline=20151068")</f>
        <v>ICTVonline=20151068</v>
      </c>
    </row>
    <row r="841" spans="1:13" x14ac:dyDescent="0.15">
      <c r="A841" s="1" t="s">
        <v>1035</v>
      </c>
      <c r="B841" s="1" t="s">
        <v>4494</v>
      </c>
      <c r="D841" s="1" t="s">
        <v>4495</v>
      </c>
      <c r="E841" s="1" t="s">
        <v>1440</v>
      </c>
      <c r="F841" s="3">
        <v>0</v>
      </c>
      <c r="I841" s="24" t="s">
        <v>3254</v>
      </c>
      <c r="J841" s="24" t="s">
        <v>2920</v>
      </c>
      <c r="K841" s="3">
        <v>30</v>
      </c>
      <c r="L841" s="3" t="s">
        <v>6816</v>
      </c>
      <c r="M841" s="3" t="str">
        <f>HYPERLINK("http://ictvonline.org/taxonomyHistory.asp?taxnode_id=20151070","ICTVonline=20151070")</f>
        <v>ICTVonline=20151070</v>
      </c>
    </row>
    <row r="842" spans="1:13" x14ac:dyDescent="0.15">
      <c r="A842" s="1" t="s">
        <v>1035</v>
      </c>
      <c r="B842" s="1" t="s">
        <v>4494</v>
      </c>
      <c r="D842" s="1" t="s">
        <v>4495</v>
      </c>
      <c r="E842" s="1" t="s">
        <v>1441</v>
      </c>
      <c r="F842" s="3">
        <v>1</v>
      </c>
      <c r="I842" s="24" t="s">
        <v>3254</v>
      </c>
      <c r="J842" s="24" t="s">
        <v>2920</v>
      </c>
      <c r="K842" s="3">
        <v>30</v>
      </c>
      <c r="L842" s="3" t="s">
        <v>6816</v>
      </c>
      <c r="M842" s="3" t="str">
        <f>HYPERLINK("http://ictvonline.org/taxonomyHistory.asp?taxnode_id=20151071","ICTVonline=20151071")</f>
        <v>ICTVonline=20151071</v>
      </c>
    </row>
    <row r="843" spans="1:13" x14ac:dyDescent="0.15">
      <c r="A843" s="1" t="s">
        <v>1035</v>
      </c>
      <c r="B843" s="1" t="s">
        <v>4494</v>
      </c>
      <c r="D843" s="1" t="s">
        <v>4495</v>
      </c>
      <c r="E843" s="1" t="s">
        <v>1442</v>
      </c>
      <c r="F843" s="3">
        <v>0</v>
      </c>
      <c r="I843" s="24" t="s">
        <v>3254</v>
      </c>
      <c r="J843" s="24" t="s">
        <v>2920</v>
      </c>
      <c r="K843" s="3">
        <v>30</v>
      </c>
      <c r="L843" s="3" t="s">
        <v>6816</v>
      </c>
      <c r="M843" s="3" t="str">
        <f>HYPERLINK("http://ictvonline.org/taxonomyHistory.asp?taxnode_id=20151072","ICTVonline=20151072")</f>
        <v>ICTVonline=20151072</v>
      </c>
    </row>
    <row r="844" spans="1:13" x14ac:dyDescent="0.15">
      <c r="A844" s="1" t="s">
        <v>1035</v>
      </c>
      <c r="B844" s="1" t="s">
        <v>1524</v>
      </c>
      <c r="D844" s="1" t="s">
        <v>1525</v>
      </c>
      <c r="E844" s="1" t="s">
        <v>4496</v>
      </c>
      <c r="F844" s="3">
        <v>0</v>
      </c>
      <c r="G844" s="24" t="s">
        <v>7392</v>
      </c>
      <c r="H844" s="24" t="s">
        <v>4497</v>
      </c>
      <c r="I844" s="24" t="s">
        <v>3254</v>
      </c>
      <c r="J844" s="24" t="s">
        <v>2919</v>
      </c>
      <c r="K844" s="3">
        <v>30</v>
      </c>
      <c r="L844" s="3" t="s">
        <v>6822</v>
      </c>
      <c r="M844" s="3" t="str">
        <f>HYPERLINK("http://ictvonline.org/taxonomyHistory.asp?taxnode_id=20151085","ICTVonline=20151085")</f>
        <v>ICTVonline=20151085</v>
      </c>
    </row>
    <row r="845" spans="1:13" x14ac:dyDescent="0.15">
      <c r="A845" s="1" t="s">
        <v>1035</v>
      </c>
      <c r="B845" s="1" t="s">
        <v>1524</v>
      </c>
      <c r="D845" s="1" t="s">
        <v>1525</v>
      </c>
      <c r="E845" s="1" t="s">
        <v>4498</v>
      </c>
      <c r="F845" s="3">
        <v>0</v>
      </c>
      <c r="G845" s="24" t="s">
        <v>7393</v>
      </c>
      <c r="H845" s="24" t="s">
        <v>4499</v>
      </c>
      <c r="I845" s="24" t="s">
        <v>3254</v>
      </c>
      <c r="J845" s="24" t="s">
        <v>2924</v>
      </c>
      <c r="K845" s="3">
        <v>30</v>
      </c>
      <c r="L845" s="3" t="s">
        <v>6823</v>
      </c>
      <c r="M845" s="3" t="str">
        <f>HYPERLINK("http://ictvonline.org/taxonomyHistory.asp?taxnode_id=20151076","ICTVonline=20151076")</f>
        <v>ICTVonline=20151076</v>
      </c>
    </row>
    <row r="846" spans="1:13" x14ac:dyDescent="0.15">
      <c r="A846" s="1" t="s">
        <v>1035</v>
      </c>
      <c r="B846" s="1" t="s">
        <v>1524</v>
      </c>
      <c r="D846" s="1" t="s">
        <v>1525</v>
      </c>
      <c r="E846" s="1" t="s">
        <v>4500</v>
      </c>
      <c r="F846" s="3">
        <v>0</v>
      </c>
      <c r="H846" s="24" t="s">
        <v>4501</v>
      </c>
      <c r="I846" s="24" t="s">
        <v>3254</v>
      </c>
      <c r="J846" s="24" t="s">
        <v>2924</v>
      </c>
      <c r="K846" s="3">
        <v>30</v>
      </c>
      <c r="L846" s="3" t="s">
        <v>6823</v>
      </c>
      <c r="M846" s="3" t="str">
        <f>HYPERLINK("http://ictvonline.org/taxonomyHistory.asp?taxnode_id=20151077","ICTVonline=20151077")</f>
        <v>ICTVonline=20151077</v>
      </c>
    </row>
    <row r="847" spans="1:13" x14ac:dyDescent="0.15">
      <c r="A847" s="1" t="s">
        <v>1035</v>
      </c>
      <c r="B847" s="1" t="s">
        <v>1524</v>
      </c>
      <c r="D847" s="1" t="s">
        <v>1525</v>
      </c>
      <c r="E847" s="1" t="s">
        <v>4502</v>
      </c>
      <c r="F847" s="3">
        <v>0</v>
      </c>
      <c r="H847" s="24" t="s">
        <v>4503</v>
      </c>
      <c r="I847" s="24" t="s">
        <v>3254</v>
      </c>
      <c r="J847" s="24" t="s">
        <v>2924</v>
      </c>
      <c r="K847" s="3">
        <v>30</v>
      </c>
      <c r="L847" s="3" t="s">
        <v>6823</v>
      </c>
      <c r="M847" s="3" t="str">
        <f>HYPERLINK("http://ictvonline.org/taxonomyHistory.asp?taxnode_id=20151078","ICTVonline=20151078")</f>
        <v>ICTVonline=20151078</v>
      </c>
    </row>
    <row r="848" spans="1:13" x14ac:dyDescent="0.15">
      <c r="A848" s="1" t="s">
        <v>1035</v>
      </c>
      <c r="B848" s="1" t="s">
        <v>1524</v>
      </c>
      <c r="D848" s="1" t="s">
        <v>1525</v>
      </c>
      <c r="E848" s="1" t="s">
        <v>4504</v>
      </c>
      <c r="F848" s="3">
        <v>1</v>
      </c>
      <c r="G848" s="24" t="s">
        <v>4505</v>
      </c>
      <c r="H848" s="24" t="s">
        <v>4506</v>
      </c>
      <c r="I848" s="24" t="s">
        <v>3254</v>
      </c>
      <c r="J848" s="24" t="s">
        <v>2924</v>
      </c>
      <c r="K848" s="3">
        <v>30</v>
      </c>
      <c r="L848" s="3" t="s">
        <v>6823</v>
      </c>
      <c r="M848" s="3" t="str">
        <f>HYPERLINK("http://ictvonline.org/taxonomyHistory.asp?taxnode_id=20151079","ICTVonline=20151079")</f>
        <v>ICTVonline=20151079</v>
      </c>
    </row>
    <row r="849" spans="1:13" x14ac:dyDescent="0.15">
      <c r="A849" s="1" t="s">
        <v>1035</v>
      </c>
      <c r="B849" s="1" t="s">
        <v>1524</v>
      </c>
      <c r="D849" s="1" t="s">
        <v>1525</v>
      </c>
      <c r="E849" s="1" t="s">
        <v>4507</v>
      </c>
      <c r="F849" s="3">
        <v>0</v>
      </c>
      <c r="G849" s="24" t="s">
        <v>4508</v>
      </c>
      <c r="H849" s="24" t="s">
        <v>4509</v>
      </c>
      <c r="I849" s="24" t="s">
        <v>3254</v>
      </c>
      <c r="J849" s="24" t="s">
        <v>2924</v>
      </c>
      <c r="K849" s="3">
        <v>30</v>
      </c>
      <c r="L849" s="3" t="s">
        <v>6823</v>
      </c>
      <c r="M849" s="3" t="str">
        <f>HYPERLINK("http://ictvonline.org/taxonomyHistory.asp?taxnode_id=20151080","ICTVonline=20151080")</f>
        <v>ICTVonline=20151080</v>
      </c>
    </row>
    <row r="850" spans="1:13" x14ac:dyDescent="0.15">
      <c r="A850" s="1" t="s">
        <v>1035</v>
      </c>
      <c r="B850" s="1" t="s">
        <v>1524</v>
      </c>
      <c r="D850" s="1" t="s">
        <v>1525</v>
      </c>
      <c r="E850" s="1" t="s">
        <v>4510</v>
      </c>
      <c r="F850" s="3">
        <v>0</v>
      </c>
      <c r="G850" s="24" t="s">
        <v>7394</v>
      </c>
      <c r="H850" s="24" t="s">
        <v>4511</v>
      </c>
      <c r="I850" s="24" t="s">
        <v>3254</v>
      </c>
      <c r="J850" s="24" t="s">
        <v>2924</v>
      </c>
      <c r="K850" s="3">
        <v>30</v>
      </c>
      <c r="L850" s="3" t="s">
        <v>6823</v>
      </c>
      <c r="M850" s="3" t="str">
        <f>HYPERLINK("http://ictvonline.org/taxonomyHistory.asp?taxnode_id=20151081","ICTVonline=20151081")</f>
        <v>ICTVonline=20151081</v>
      </c>
    </row>
    <row r="851" spans="1:13" x14ac:dyDescent="0.15">
      <c r="A851" s="1" t="s">
        <v>1035</v>
      </c>
      <c r="B851" s="1" t="s">
        <v>1524</v>
      </c>
      <c r="D851" s="1" t="s">
        <v>1525</v>
      </c>
      <c r="E851" s="1" t="s">
        <v>4512</v>
      </c>
      <c r="F851" s="3">
        <v>0</v>
      </c>
      <c r="H851" s="24" t="s">
        <v>4513</v>
      </c>
      <c r="I851" s="24" t="s">
        <v>3254</v>
      </c>
      <c r="J851" s="24" t="s">
        <v>2924</v>
      </c>
      <c r="K851" s="3">
        <v>30</v>
      </c>
      <c r="L851" s="3" t="s">
        <v>6823</v>
      </c>
      <c r="M851" s="3" t="str">
        <f>HYPERLINK("http://ictvonline.org/taxonomyHistory.asp?taxnode_id=20151082","ICTVonline=20151082")</f>
        <v>ICTVonline=20151082</v>
      </c>
    </row>
    <row r="852" spans="1:13" x14ac:dyDescent="0.15">
      <c r="A852" s="1" t="s">
        <v>1035</v>
      </c>
      <c r="B852" s="1" t="s">
        <v>1524</v>
      </c>
      <c r="D852" s="1" t="s">
        <v>1525</v>
      </c>
      <c r="E852" s="1" t="s">
        <v>4514</v>
      </c>
      <c r="F852" s="3">
        <v>0</v>
      </c>
      <c r="H852" s="24" t="s">
        <v>4515</v>
      </c>
      <c r="I852" s="24" t="s">
        <v>3254</v>
      </c>
      <c r="J852" s="24" t="s">
        <v>2924</v>
      </c>
      <c r="K852" s="3">
        <v>30</v>
      </c>
      <c r="L852" s="3" t="s">
        <v>6823</v>
      </c>
      <c r="M852" s="3" t="str">
        <f>HYPERLINK("http://ictvonline.org/taxonomyHistory.asp?taxnode_id=20151083","ICTVonline=20151083")</f>
        <v>ICTVonline=20151083</v>
      </c>
    </row>
    <row r="853" spans="1:13" x14ac:dyDescent="0.15">
      <c r="A853" s="1" t="s">
        <v>1035</v>
      </c>
      <c r="B853" s="1" t="s">
        <v>1524</v>
      </c>
      <c r="D853" s="1" t="s">
        <v>1525</v>
      </c>
      <c r="E853" s="1" t="s">
        <v>4516</v>
      </c>
      <c r="F853" s="3">
        <v>0</v>
      </c>
      <c r="H853" s="24" t="s">
        <v>4517</v>
      </c>
      <c r="I853" s="24" t="s">
        <v>3254</v>
      </c>
      <c r="J853" s="24" t="s">
        <v>2924</v>
      </c>
      <c r="K853" s="3">
        <v>30</v>
      </c>
      <c r="L853" s="3" t="s">
        <v>6823</v>
      </c>
      <c r="M853" s="3" t="str">
        <f>HYPERLINK("http://ictvonline.org/taxonomyHistory.asp?taxnode_id=20151084","ICTVonline=20151084")</f>
        <v>ICTVonline=20151084</v>
      </c>
    </row>
    <row r="854" spans="1:13" x14ac:dyDescent="0.15">
      <c r="A854" s="1" t="s">
        <v>1035</v>
      </c>
      <c r="B854" s="1" t="s">
        <v>1524</v>
      </c>
      <c r="D854" s="1" t="s">
        <v>4518</v>
      </c>
      <c r="E854" s="1" t="s">
        <v>4519</v>
      </c>
      <c r="F854" s="3">
        <v>0</v>
      </c>
      <c r="G854" s="24" t="s">
        <v>7395</v>
      </c>
      <c r="H854" s="24" t="s">
        <v>4520</v>
      </c>
      <c r="I854" s="24" t="s">
        <v>3254</v>
      </c>
      <c r="J854" s="24" t="s">
        <v>2919</v>
      </c>
      <c r="K854" s="3">
        <v>30</v>
      </c>
      <c r="L854" s="3" t="s">
        <v>6824</v>
      </c>
      <c r="M854" s="3" t="str">
        <f>HYPERLINK("http://ictvonline.org/taxonomyHistory.asp?taxnode_id=20151161","ICTVonline=20151161")</f>
        <v>ICTVonline=20151161</v>
      </c>
    </row>
    <row r="855" spans="1:13" x14ac:dyDescent="0.15">
      <c r="A855" s="1" t="s">
        <v>1035</v>
      </c>
      <c r="B855" s="1" t="s">
        <v>1524</v>
      </c>
      <c r="D855" s="1" t="s">
        <v>4518</v>
      </c>
      <c r="E855" s="1" t="s">
        <v>4521</v>
      </c>
      <c r="F855" s="3">
        <v>1</v>
      </c>
      <c r="G855" s="24" t="s">
        <v>7396</v>
      </c>
      <c r="H855" s="24" t="s">
        <v>4522</v>
      </c>
      <c r="I855" s="24" t="s">
        <v>3254</v>
      </c>
      <c r="J855" s="24" t="s">
        <v>2919</v>
      </c>
      <c r="K855" s="3">
        <v>30</v>
      </c>
      <c r="L855" s="3" t="s">
        <v>6824</v>
      </c>
      <c r="M855" s="3" t="str">
        <f>HYPERLINK("http://ictvonline.org/taxonomyHistory.asp?taxnode_id=20151160","ICTVonline=20151160")</f>
        <v>ICTVonline=20151160</v>
      </c>
    </row>
    <row r="856" spans="1:13" x14ac:dyDescent="0.15">
      <c r="A856" s="1" t="s">
        <v>1035</v>
      </c>
      <c r="B856" s="1" t="s">
        <v>1524</v>
      </c>
      <c r="D856" s="1" t="s">
        <v>1449</v>
      </c>
      <c r="E856" s="1" t="s">
        <v>4523</v>
      </c>
      <c r="F856" s="3">
        <v>0</v>
      </c>
      <c r="G856" s="24" t="s">
        <v>7397</v>
      </c>
      <c r="H856" s="24" t="s">
        <v>4524</v>
      </c>
      <c r="I856" s="24" t="s">
        <v>3254</v>
      </c>
      <c r="J856" s="24" t="s">
        <v>2924</v>
      </c>
      <c r="K856" s="3">
        <v>30</v>
      </c>
      <c r="L856" s="3" t="s">
        <v>6823</v>
      </c>
      <c r="M856" s="3" t="str">
        <f>HYPERLINK("http://ictvonline.org/taxonomyHistory.asp?taxnode_id=20151087","ICTVonline=20151087")</f>
        <v>ICTVonline=20151087</v>
      </c>
    </row>
    <row r="857" spans="1:13" x14ac:dyDescent="0.15">
      <c r="A857" s="1" t="s">
        <v>1035</v>
      </c>
      <c r="B857" s="1" t="s">
        <v>1524</v>
      </c>
      <c r="D857" s="1" t="s">
        <v>1449</v>
      </c>
      <c r="E857" s="1" t="s">
        <v>4525</v>
      </c>
      <c r="F857" s="3">
        <v>0</v>
      </c>
      <c r="G857" s="24" t="s">
        <v>7398</v>
      </c>
      <c r="H857" s="24" t="s">
        <v>4526</v>
      </c>
      <c r="I857" s="24" t="s">
        <v>3254</v>
      </c>
      <c r="J857" s="24" t="s">
        <v>2924</v>
      </c>
      <c r="K857" s="3">
        <v>30</v>
      </c>
      <c r="L857" s="3" t="s">
        <v>6823</v>
      </c>
      <c r="M857" s="3" t="str">
        <f>HYPERLINK("http://ictvonline.org/taxonomyHistory.asp?taxnode_id=20151088","ICTVonline=20151088")</f>
        <v>ICTVonline=20151088</v>
      </c>
    </row>
    <row r="858" spans="1:13" x14ac:dyDescent="0.15">
      <c r="A858" s="1" t="s">
        <v>1035</v>
      </c>
      <c r="B858" s="1" t="s">
        <v>1524</v>
      </c>
      <c r="D858" s="1" t="s">
        <v>1449</v>
      </c>
      <c r="E858" s="1" t="s">
        <v>4527</v>
      </c>
      <c r="F858" s="3">
        <v>1</v>
      </c>
      <c r="G858" s="24" t="s">
        <v>7399</v>
      </c>
      <c r="H858" s="24" t="s">
        <v>4528</v>
      </c>
      <c r="I858" s="24" t="s">
        <v>3254</v>
      </c>
      <c r="J858" s="24" t="s">
        <v>2924</v>
      </c>
      <c r="K858" s="3">
        <v>30</v>
      </c>
      <c r="L858" s="3" t="s">
        <v>6823</v>
      </c>
      <c r="M858" s="3" t="str">
        <f>HYPERLINK("http://ictvonline.org/taxonomyHistory.asp?taxnode_id=20151089","ICTVonline=20151089")</f>
        <v>ICTVonline=20151089</v>
      </c>
    </row>
    <row r="859" spans="1:13" x14ac:dyDescent="0.15">
      <c r="A859" s="1" t="s">
        <v>1035</v>
      </c>
      <c r="B859" s="1" t="s">
        <v>1524</v>
      </c>
      <c r="D859" s="1" t="s">
        <v>1449</v>
      </c>
      <c r="E859" s="1" t="s">
        <v>6825</v>
      </c>
      <c r="F859" s="3">
        <v>0</v>
      </c>
      <c r="G859" s="24" t="s">
        <v>7400</v>
      </c>
      <c r="H859" s="24" t="s">
        <v>4529</v>
      </c>
      <c r="I859" s="24" t="s">
        <v>3254</v>
      </c>
      <c r="J859" s="24" t="s">
        <v>2924</v>
      </c>
      <c r="K859" s="3">
        <v>30</v>
      </c>
      <c r="L859" s="3" t="s">
        <v>6823</v>
      </c>
      <c r="M859" s="3" t="str">
        <f>HYPERLINK("http://ictvonline.org/taxonomyHistory.asp?taxnode_id=20151090","ICTVonline=20151090")</f>
        <v>ICTVonline=20151090</v>
      </c>
    </row>
    <row r="860" spans="1:13" x14ac:dyDescent="0.15">
      <c r="A860" s="1" t="s">
        <v>1035</v>
      </c>
      <c r="B860" s="1" t="s">
        <v>1524</v>
      </c>
      <c r="D860" s="1" t="s">
        <v>1449</v>
      </c>
      <c r="E860" s="1" t="s">
        <v>4530</v>
      </c>
      <c r="F860" s="3">
        <v>0</v>
      </c>
      <c r="G860" s="24" t="s">
        <v>7401</v>
      </c>
      <c r="H860" s="24" t="s">
        <v>4531</v>
      </c>
      <c r="I860" s="24" t="s">
        <v>3254</v>
      </c>
      <c r="J860" s="24" t="s">
        <v>2924</v>
      </c>
      <c r="K860" s="3">
        <v>30</v>
      </c>
      <c r="L860" s="3" t="s">
        <v>6823</v>
      </c>
      <c r="M860" s="3" t="str">
        <f>HYPERLINK("http://ictvonline.org/taxonomyHistory.asp?taxnode_id=20151091","ICTVonline=20151091")</f>
        <v>ICTVonline=20151091</v>
      </c>
    </row>
    <row r="861" spans="1:13" x14ac:dyDescent="0.15">
      <c r="A861" s="1" t="s">
        <v>1035</v>
      </c>
      <c r="B861" s="1" t="s">
        <v>1524</v>
      </c>
      <c r="D861" s="1" t="s">
        <v>1450</v>
      </c>
      <c r="E861" s="1" t="s">
        <v>4532</v>
      </c>
      <c r="F861" s="3">
        <v>0</v>
      </c>
      <c r="G861" s="24" t="s">
        <v>7402</v>
      </c>
      <c r="H861" s="24" t="s">
        <v>4533</v>
      </c>
      <c r="I861" s="24" t="s">
        <v>3254</v>
      </c>
      <c r="J861" s="24" t="s">
        <v>2924</v>
      </c>
      <c r="K861" s="3">
        <v>30</v>
      </c>
      <c r="L861" s="3" t="s">
        <v>6823</v>
      </c>
      <c r="M861" s="3" t="str">
        <f>HYPERLINK("http://ictvonline.org/taxonomyHistory.asp?taxnode_id=20151093","ICTVonline=20151093")</f>
        <v>ICTVonline=20151093</v>
      </c>
    </row>
    <row r="862" spans="1:13" x14ac:dyDescent="0.15">
      <c r="A862" s="1" t="s">
        <v>1035</v>
      </c>
      <c r="B862" s="1" t="s">
        <v>1524</v>
      </c>
      <c r="D862" s="1" t="s">
        <v>1450</v>
      </c>
      <c r="E862" s="1" t="s">
        <v>1451</v>
      </c>
      <c r="F862" s="3">
        <v>0</v>
      </c>
      <c r="G862" s="24" t="s">
        <v>7770</v>
      </c>
      <c r="H862" s="24" t="s">
        <v>7771</v>
      </c>
      <c r="I862" s="24" t="s">
        <v>3254</v>
      </c>
      <c r="J862" s="24" t="s">
        <v>2919</v>
      </c>
      <c r="K862" s="3">
        <v>18</v>
      </c>
      <c r="L862" s="3" t="s">
        <v>2929</v>
      </c>
      <c r="M862" s="3" t="str">
        <f>HYPERLINK("http://ictvonline.org/taxonomyHistory.asp?taxnode_id=20151094","ICTVonline=20151094")</f>
        <v>ICTVonline=20151094</v>
      </c>
    </row>
    <row r="863" spans="1:13" x14ac:dyDescent="0.15">
      <c r="A863" s="1" t="s">
        <v>1035</v>
      </c>
      <c r="B863" s="1" t="s">
        <v>1524</v>
      </c>
      <c r="D863" s="1" t="s">
        <v>1450</v>
      </c>
      <c r="E863" s="1" t="s">
        <v>2452</v>
      </c>
      <c r="F863" s="3">
        <v>0</v>
      </c>
      <c r="G863" s="24" t="s">
        <v>7772</v>
      </c>
      <c r="H863" s="24" t="s">
        <v>7773</v>
      </c>
      <c r="I863" s="24" t="s">
        <v>3254</v>
      </c>
      <c r="J863" s="24" t="s">
        <v>2919</v>
      </c>
      <c r="K863" s="3">
        <v>28</v>
      </c>
      <c r="L863" s="3" t="s">
        <v>6826</v>
      </c>
      <c r="M863" s="3" t="str">
        <f>HYPERLINK("http://ictvonline.org/taxonomyHistory.asp?taxnode_id=20151095","ICTVonline=20151095")</f>
        <v>ICTVonline=20151095</v>
      </c>
    </row>
    <row r="864" spans="1:13" x14ac:dyDescent="0.15">
      <c r="A864" s="1" t="s">
        <v>1035</v>
      </c>
      <c r="B864" s="1" t="s">
        <v>1524</v>
      </c>
      <c r="D864" s="1" t="s">
        <v>1450</v>
      </c>
      <c r="E864" s="1" t="s">
        <v>4534</v>
      </c>
      <c r="F864" s="3">
        <v>0</v>
      </c>
      <c r="G864" s="24" t="s">
        <v>7403</v>
      </c>
      <c r="H864" s="24" t="s">
        <v>4535</v>
      </c>
      <c r="I864" s="24" t="s">
        <v>3254</v>
      </c>
      <c r="J864" s="24" t="s">
        <v>2924</v>
      </c>
      <c r="K864" s="3">
        <v>30</v>
      </c>
      <c r="L864" s="3" t="s">
        <v>6823</v>
      </c>
      <c r="M864" s="3" t="str">
        <f>HYPERLINK("http://ictvonline.org/taxonomyHistory.asp?taxnode_id=20151096","ICTVonline=20151096")</f>
        <v>ICTVonline=20151096</v>
      </c>
    </row>
    <row r="865" spans="1:13" x14ac:dyDescent="0.15">
      <c r="A865" s="1" t="s">
        <v>1035</v>
      </c>
      <c r="B865" s="1" t="s">
        <v>1524</v>
      </c>
      <c r="D865" s="1" t="s">
        <v>1450</v>
      </c>
      <c r="E865" s="1" t="s">
        <v>4536</v>
      </c>
      <c r="F865" s="3">
        <v>0</v>
      </c>
      <c r="G865" s="24" t="s">
        <v>7404</v>
      </c>
      <c r="H865" s="24" t="s">
        <v>7405</v>
      </c>
      <c r="I865" s="24" t="s">
        <v>3254</v>
      </c>
      <c r="J865" s="24" t="s">
        <v>2924</v>
      </c>
      <c r="K865" s="3">
        <v>30</v>
      </c>
      <c r="L865" s="3" t="s">
        <v>6823</v>
      </c>
      <c r="M865" s="3" t="str">
        <f>HYPERLINK("http://ictvonline.org/taxonomyHistory.asp?taxnode_id=20151097","ICTVonline=20151097")</f>
        <v>ICTVonline=20151097</v>
      </c>
    </row>
    <row r="866" spans="1:13" x14ac:dyDescent="0.15">
      <c r="A866" s="1" t="s">
        <v>1035</v>
      </c>
      <c r="B866" s="1" t="s">
        <v>1524</v>
      </c>
      <c r="D866" s="1" t="s">
        <v>1450</v>
      </c>
      <c r="E866" s="1" t="s">
        <v>4537</v>
      </c>
      <c r="F866" s="3">
        <v>0</v>
      </c>
      <c r="G866" s="24" t="s">
        <v>7406</v>
      </c>
      <c r="H866" s="24" t="s">
        <v>7407</v>
      </c>
      <c r="I866" s="24" t="s">
        <v>3254</v>
      </c>
      <c r="J866" s="24" t="s">
        <v>2924</v>
      </c>
      <c r="K866" s="3">
        <v>30</v>
      </c>
      <c r="L866" s="3" t="s">
        <v>6823</v>
      </c>
      <c r="M866" s="3" t="str">
        <f>HYPERLINK("http://ictvonline.org/taxonomyHistory.asp?taxnode_id=20151098","ICTVonline=20151098")</f>
        <v>ICTVonline=20151098</v>
      </c>
    </row>
    <row r="867" spans="1:13" x14ac:dyDescent="0.15">
      <c r="A867" s="1" t="s">
        <v>1035</v>
      </c>
      <c r="B867" s="1" t="s">
        <v>1524</v>
      </c>
      <c r="D867" s="1" t="s">
        <v>1450</v>
      </c>
      <c r="E867" s="1" t="s">
        <v>2453</v>
      </c>
      <c r="F867" s="3">
        <v>0</v>
      </c>
      <c r="G867" s="24" t="s">
        <v>7774</v>
      </c>
      <c r="H867" s="24" t="s">
        <v>7775</v>
      </c>
      <c r="I867" s="24" t="s">
        <v>3254</v>
      </c>
      <c r="J867" s="24" t="s">
        <v>2919</v>
      </c>
      <c r="K867" s="3">
        <v>28</v>
      </c>
      <c r="L867" s="3" t="s">
        <v>6827</v>
      </c>
      <c r="M867" s="3" t="str">
        <f>HYPERLINK("http://ictvonline.org/taxonomyHistory.asp?taxnode_id=20151099","ICTVonline=20151099")</f>
        <v>ICTVonline=20151099</v>
      </c>
    </row>
    <row r="868" spans="1:13" x14ac:dyDescent="0.15">
      <c r="A868" s="1" t="s">
        <v>1035</v>
      </c>
      <c r="B868" s="1" t="s">
        <v>1524</v>
      </c>
      <c r="D868" s="1" t="s">
        <v>1450</v>
      </c>
      <c r="E868" s="1" t="s">
        <v>4538</v>
      </c>
      <c r="F868" s="3">
        <v>0</v>
      </c>
      <c r="G868" s="24" t="s">
        <v>7408</v>
      </c>
      <c r="H868" s="24" t="s">
        <v>4539</v>
      </c>
      <c r="I868" s="24" t="s">
        <v>3254</v>
      </c>
      <c r="J868" s="24" t="s">
        <v>2924</v>
      </c>
      <c r="K868" s="3">
        <v>30</v>
      </c>
      <c r="L868" s="3" t="s">
        <v>6823</v>
      </c>
      <c r="M868" s="3" t="str">
        <f>HYPERLINK("http://ictvonline.org/taxonomyHistory.asp?taxnode_id=20151100","ICTVonline=20151100")</f>
        <v>ICTVonline=20151100</v>
      </c>
    </row>
    <row r="869" spans="1:13" x14ac:dyDescent="0.15">
      <c r="A869" s="1" t="s">
        <v>1035</v>
      </c>
      <c r="B869" s="1" t="s">
        <v>1524</v>
      </c>
      <c r="D869" s="1" t="s">
        <v>1450</v>
      </c>
      <c r="E869" s="1" t="s">
        <v>4540</v>
      </c>
      <c r="F869" s="3">
        <v>0</v>
      </c>
      <c r="G869" s="24" t="s">
        <v>7409</v>
      </c>
      <c r="H869" s="24" t="s">
        <v>4541</v>
      </c>
      <c r="I869" s="24" t="s">
        <v>3254</v>
      </c>
      <c r="J869" s="24" t="s">
        <v>2924</v>
      </c>
      <c r="K869" s="3">
        <v>30</v>
      </c>
      <c r="L869" s="3" t="s">
        <v>6823</v>
      </c>
      <c r="M869" s="3" t="str">
        <f>HYPERLINK("http://ictvonline.org/taxonomyHistory.asp?taxnode_id=20151101","ICTVonline=20151101")</f>
        <v>ICTVonline=20151101</v>
      </c>
    </row>
    <row r="870" spans="1:13" x14ac:dyDescent="0.15">
      <c r="A870" s="1" t="s">
        <v>1035</v>
      </c>
      <c r="B870" s="1" t="s">
        <v>1524</v>
      </c>
      <c r="D870" s="1" t="s">
        <v>1450</v>
      </c>
      <c r="E870" s="1" t="s">
        <v>4542</v>
      </c>
      <c r="F870" s="3">
        <v>0</v>
      </c>
      <c r="G870" s="24" t="s">
        <v>7410</v>
      </c>
      <c r="H870" s="24" t="s">
        <v>4543</v>
      </c>
      <c r="I870" s="24" t="s">
        <v>3254</v>
      </c>
      <c r="J870" s="24" t="s">
        <v>2924</v>
      </c>
      <c r="K870" s="3">
        <v>30</v>
      </c>
      <c r="L870" s="3" t="s">
        <v>6823</v>
      </c>
      <c r="M870" s="3" t="str">
        <f>HYPERLINK("http://ictvonline.org/taxonomyHistory.asp?taxnode_id=20151102","ICTVonline=20151102")</f>
        <v>ICTVonline=20151102</v>
      </c>
    </row>
    <row r="871" spans="1:13" x14ac:dyDescent="0.15">
      <c r="A871" s="1" t="s">
        <v>1035</v>
      </c>
      <c r="B871" s="1" t="s">
        <v>1524</v>
      </c>
      <c r="D871" s="1" t="s">
        <v>1450</v>
      </c>
      <c r="E871" s="1" t="s">
        <v>4544</v>
      </c>
      <c r="F871" s="3">
        <v>0</v>
      </c>
      <c r="G871" s="24" t="s">
        <v>7411</v>
      </c>
      <c r="H871" s="24" t="s">
        <v>4545</v>
      </c>
      <c r="I871" s="24" t="s">
        <v>3254</v>
      </c>
      <c r="J871" s="24" t="s">
        <v>2924</v>
      </c>
      <c r="K871" s="3">
        <v>30</v>
      </c>
      <c r="L871" s="3" t="s">
        <v>6823</v>
      </c>
      <c r="M871" s="3" t="str">
        <f>HYPERLINK("http://ictvonline.org/taxonomyHistory.asp?taxnode_id=20151103","ICTVonline=20151103")</f>
        <v>ICTVonline=20151103</v>
      </c>
    </row>
    <row r="872" spans="1:13" x14ac:dyDescent="0.15">
      <c r="A872" s="1" t="s">
        <v>1035</v>
      </c>
      <c r="B872" s="1" t="s">
        <v>1524</v>
      </c>
      <c r="D872" s="1" t="s">
        <v>1450</v>
      </c>
      <c r="E872" s="1" t="s">
        <v>4546</v>
      </c>
      <c r="F872" s="3">
        <v>1</v>
      </c>
      <c r="G872" s="24" t="s">
        <v>7412</v>
      </c>
      <c r="H872" s="24" t="s">
        <v>4547</v>
      </c>
      <c r="I872" s="24" t="s">
        <v>3254</v>
      </c>
      <c r="J872" s="24" t="s">
        <v>2924</v>
      </c>
      <c r="K872" s="3">
        <v>30</v>
      </c>
      <c r="L872" s="3" t="s">
        <v>6823</v>
      </c>
      <c r="M872" s="3" t="str">
        <f>HYPERLINK("http://ictvonline.org/taxonomyHistory.asp?taxnode_id=20151104","ICTVonline=20151104")</f>
        <v>ICTVonline=20151104</v>
      </c>
    </row>
    <row r="873" spans="1:13" x14ac:dyDescent="0.15">
      <c r="A873" s="1" t="s">
        <v>1035</v>
      </c>
      <c r="B873" s="1" t="s">
        <v>1524</v>
      </c>
      <c r="D873" s="1" t="s">
        <v>1450</v>
      </c>
      <c r="E873" s="1" t="s">
        <v>4548</v>
      </c>
      <c r="F873" s="3">
        <v>0</v>
      </c>
      <c r="G873" s="24" t="s">
        <v>7413</v>
      </c>
      <c r="H873" s="24" t="s">
        <v>4549</v>
      </c>
      <c r="I873" s="24" t="s">
        <v>3254</v>
      </c>
      <c r="J873" s="24" t="s">
        <v>2924</v>
      </c>
      <c r="K873" s="3">
        <v>30</v>
      </c>
      <c r="L873" s="3" t="s">
        <v>6823</v>
      </c>
      <c r="M873" s="3" t="str">
        <f>HYPERLINK("http://ictvonline.org/taxonomyHistory.asp?taxnode_id=20151105","ICTVonline=20151105")</f>
        <v>ICTVonline=20151105</v>
      </c>
    </row>
    <row r="874" spans="1:13" x14ac:dyDescent="0.15">
      <c r="A874" s="1" t="s">
        <v>1035</v>
      </c>
      <c r="B874" s="1" t="s">
        <v>1524</v>
      </c>
      <c r="D874" s="1" t="s">
        <v>1450</v>
      </c>
      <c r="E874" s="1" t="s">
        <v>4550</v>
      </c>
      <c r="F874" s="3">
        <v>0</v>
      </c>
      <c r="G874" s="24" t="s">
        <v>7414</v>
      </c>
      <c r="H874" s="24" t="s">
        <v>4551</v>
      </c>
      <c r="I874" s="24" t="s">
        <v>3254</v>
      </c>
      <c r="J874" s="24" t="s">
        <v>2924</v>
      </c>
      <c r="K874" s="3">
        <v>30</v>
      </c>
      <c r="L874" s="3" t="s">
        <v>6823</v>
      </c>
      <c r="M874" s="3" t="str">
        <f>HYPERLINK("http://ictvonline.org/taxonomyHistory.asp?taxnode_id=20151106","ICTVonline=20151106")</f>
        <v>ICTVonline=20151106</v>
      </c>
    </row>
    <row r="875" spans="1:13" x14ac:dyDescent="0.15">
      <c r="A875" s="1" t="s">
        <v>1035</v>
      </c>
      <c r="B875" s="1" t="s">
        <v>1524</v>
      </c>
      <c r="D875" s="1" t="s">
        <v>1165</v>
      </c>
      <c r="E875" s="1" t="s">
        <v>4552</v>
      </c>
      <c r="F875" s="3">
        <v>0</v>
      </c>
      <c r="G875" s="24" t="s">
        <v>7415</v>
      </c>
      <c r="H875" s="24" t="s">
        <v>4553</v>
      </c>
      <c r="I875" s="24" t="s">
        <v>3254</v>
      </c>
      <c r="J875" s="24" t="s">
        <v>2924</v>
      </c>
      <c r="K875" s="3">
        <v>30</v>
      </c>
      <c r="L875" s="3" t="s">
        <v>6823</v>
      </c>
      <c r="M875" s="3" t="str">
        <f>HYPERLINK("http://ictvonline.org/taxonomyHistory.asp?taxnode_id=20151108","ICTVonline=20151108")</f>
        <v>ICTVonline=20151108</v>
      </c>
    </row>
    <row r="876" spans="1:13" x14ac:dyDescent="0.15">
      <c r="A876" s="1" t="s">
        <v>1035</v>
      </c>
      <c r="B876" s="1" t="s">
        <v>1524</v>
      </c>
      <c r="D876" s="1" t="s">
        <v>1165</v>
      </c>
      <c r="E876" s="1" t="s">
        <v>4554</v>
      </c>
      <c r="F876" s="3">
        <v>1</v>
      </c>
      <c r="G876" s="24" t="s">
        <v>7416</v>
      </c>
      <c r="H876" s="24" t="s">
        <v>4555</v>
      </c>
      <c r="I876" s="24" t="s">
        <v>3254</v>
      </c>
      <c r="J876" s="24" t="s">
        <v>2924</v>
      </c>
      <c r="K876" s="3">
        <v>30</v>
      </c>
      <c r="L876" s="3" t="s">
        <v>6823</v>
      </c>
      <c r="M876" s="3" t="str">
        <f>HYPERLINK("http://ictvonline.org/taxonomyHistory.asp?taxnode_id=20151109","ICTVonline=20151109")</f>
        <v>ICTVonline=20151109</v>
      </c>
    </row>
    <row r="877" spans="1:13" x14ac:dyDescent="0.15">
      <c r="A877" s="1" t="s">
        <v>1035</v>
      </c>
      <c r="B877" s="1" t="s">
        <v>1524</v>
      </c>
      <c r="D877" s="1" t="s">
        <v>1165</v>
      </c>
      <c r="E877" s="1" t="s">
        <v>4556</v>
      </c>
      <c r="F877" s="3">
        <v>0</v>
      </c>
      <c r="G877" s="24" t="s">
        <v>7417</v>
      </c>
      <c r="H877" s="24" t="s">
        <v>4557</v>
      </c>
      <c r="I877" s="24" t="s">
        <v>3254</v>
      </c>
      <c r="J877" s="24" t="s">
        <v>2924</v>
      </c>
      <c r="K877" s="3">
        <v>30</v>
      </c>
      <c r="L877" s="3" t="s">
        <v>6823</v>
      </c>
      <c r="M877" s="3" t="str">
        <f>HYPERLINK("http://ictvonline.org/taxonomyHistory.asp?taxnode_id=20151111","ICTVonline=20151111")</f>
        <v>ICTVonline=20151111</v>
      </c>
    </row>
    <row r="878" spans="1:13" x14ac:dyDescent="0.15">
      <c r="A878" s="1" t="s">
        <v>1035</v>
      </c>
      <c r="B878" s="1" t="s">
        <v>1524</v>
      </c>
      <c r="D878" s="1" t="s">
        <v>1165</v>
      </c>
      <c r="E878" s="1" t="s">
        <v>4558</v>
      </c>
      <c r="F878" s="3">
        <v>0</v>
      </c>
      <c r="G878" s="24" t="s">
        <v>7418</v>
      </c>
      <c r="H878" s="24" t="s">
        <v>4559</v>
      </c>
      <c r="I878" s="24" t="s">
        <v>3254</v>
      </c>
      <c r="J878" s="24" t="s">
        <v>2924</v>
      </c>
      <c r="K878" s="3">
        <v>30</v>
      </c>
      <c r="L878" s="3" t="s">
        <v>6823</v>
      </c>
      <c r="M878" s="3" t="str">
        <f>HYPERLINK("http://ictvonline.org/taxonomyHistory.asp?taxnode_id=20151110","ICTVonline=20151110")</f>
        <v>ICTVonline=20151110</v>
      </c>
    </row>
    <row r="879" spans="1:13" x14ac:dyDescent="0.15">
      <c r="A879" s="1" t="s">
        <v>1035</v>
      </c>
      <c r="B879" s="1" t="s">
        <v>1524</v>
      </c>
      <c r="D879" s="1" t="s">
        <v>1523</v>
      </c>
      <c r="E879" s="1" t="s">
        <v>4560</v>
      </c>
      <c r="F879" s="3">
        <v>0</v>
      </c>
      <c r="G879" s="24" t="s">
        <v>7419</v>
      </c>
      <c r="H879" s="24" t="s">
        <v>4561</v>
      </c>
      <c r="I879" s="24" t="s">
        <v>3254</v>
      </c>
      <c r="J879" s="24" t="s">
        <v>2924</v>
      </c>
      <c r="K879" s="3">
        <v>30</v>
      </c>
      <c r="L879" s="3" t="s">
        <v>6823</v>
      </c>
      <c r="M879" s="3" t="str">
        <f>HYPERLINK("http://ictvonline.org/taxonomyHistory.asp?taxnode_id=20151113","ICTVonline=20151113")</f>
        <v>ICTVonline=20151113</v>
      </c>
    </row>
    <row r="880" spans="1:13" x14ac:dyDescent="0.15">
      <c r="A880" s="1" t="s">
        <v>1035</v>
      </c>
      <c r="B880" s="1" t="s">
        <v>1524</v>
      </c>
      <c r="D880" s="1" t="s">
        <v>1523</v>
      </c>
      <c r="E880" s="1" t="s">
        <v>4562</v>
      </c>
      <c r="F880" s="3">
        <v>0</v>
      </c>
      <c r="G880" s="24" t="s">
        <v>7420</v>
      </c>
      <c r="H880" s="24" t="s">
        <v>4563</v>
      </c>
      <c r="I880" s="24" t="s">
        <v>3254</v>
      </c>
      <c r="J880" s="24" t="s">
        <v>2924</v>
      </c>
      <c r="K880" s="3">
        <v>30</v>
      </c>
      <c r="L880" s="3" t="s">
        <v>6823</v>
      </c>
      <c r="M880" s="3" t="str">
        <f>HYPERLINK("http://ictvonline.org/taxonomyHistory.asp?taxnode_id=20151114","ICTVonline=20151114")</f>
        <v>ICTVonline=20151114</v>
      </c>
    </row>
    <row r="881" spans="1:13" x14ac:dyDescent="0.15">
      <c r="A881" s="1" t="s">
        <v>1035</v>
      </c>
      <c r="B881" s="1" t="s">
        <v>1524</v>
      </c>
      <c r="D881" s="1" t="s">
        <v>1523</v>
      </c>
      <c r="E881" s="1" t="s">
        <v>4564</v>
      </c>
      <c r="F881" s="3">
        <v>0</v>
      </c>
      <c r="G881" s="24" t="s">
        <v>4565</v>
      </c>
      <c r="H881" s="24" t="s">
        <v>4566</v>
      </c>
      <c r="I881" s="24" t="s">
        <v>3254</v>
      </c>
      <c r="J881" s="24" t="s">
        <v>2924</v>
      </c>
      <c r="K881" s="3">
        <v>30</v>
      </c>
      <c r="L881" s="3" t="s">
        <v>6823</v>
      </c>
      <c r="M881" s="3" t="str">
        <f>HYPERLINK("http://ictvonline.org/taxonomyHistory.asp?taxnode_id=20151115","ICTVonline=20151115")</f>
        <v>ICTVonline=20151115</v>
      </c>
    </row>
    <row r="882" spans="1:13" x14ac:dyDescent="0.15">
      <c r="A882" s="1" t="s">
        <v>1035</v>
      </c>
      <c r="B882" s="1" t="s">
        <v>1524</v>
      </c>
      <c r="D882" s="1" t="s">
        <v>1523</v>
      </c>
      <c r="E882" s="1" t="s">
        <v>4567</v>
      </c>
      <c r="F882" s="3">
        <v>0</v>
      </c>
      <c r="G882" s="24" t="s">
        <v>4568</v>
      </c>
      <c r="H882" s="24" t="s">
        <v>4569</v>
      </c>
      <c r="I882" s="24" t="s">
        <v>3254</v>
      </c>
      <c r="J882" s="24" t="s">
        <v>2924</v>
      </c>
      <c r="K882" s="3">
        <v>30</v>
      </c>
      <c r="L882" s="3" t="s">
        <v>6823</v>
      </c>
      <c r="M882" s="3" t="str">
        <f>HYPERLINK("http://ictvonline.org/taxonomyHistory.asp?taxnode_id=20151116","ICTVonline=20151116")</f>
        <v>ICTVonline=20151116</v>
      </c>
    </row>
    <row r="883" spans="1:13" x14ac:dyDescent="0.15">
      <c r="A883" s="1" t="s">
        <v>1035</v>
      </c>
      <c r="B883" s="1" t="s">
        <v>1524</v>
      </c>
      <c r="D883" s="1" t="s">
        <v>1523</v>
      </c>
      <c r="E883" s="1" t="s">
        <v>4570</v>
      </c>
      <c r="F883" s="3">
        <v>0</v>
      </c>
      <c r="G883" s="24" t="s">
        <v>4571</v>
      </c>
      <c r="H883" s="24" t="s">
        <v>4572</v>
      </c>
      <c r="I883" s="24" t="s">
        <v>3254</v>
      </c>
      <c r="J883" s="24" t="s">
        <v>2924</v>
      </c>
      <c r="K883" s="3">
        <v>30</v>
      </c>
      <c r="L883" s="3" t="s">
        <v>6823</v>
      </c>
      <c r="M883" s="3" t="str">
        <f>HYPERLINK("http://ictvonline.org/taxonomyHistory.asp?taxnode_id=20151117","ICTVonline=20151117")</f>
        <v>ICTVonline=20151117</v>
      </c>
    </row>
    <row r="884" spans="1:13" x14ac:dyDescent="0.15">
      <c r="A884" s="1" t="s">
        <v>1035</v>
      </c>
      <c r="B884" s="1" t="s">
        <v>1524</v>
      </c>
      <c r="D884" s="1" t="s">
        <v>1523</v>
      </c>
      <c r="E884" s="1" t="s">
        <v>4573</v>
      </c>
      <c r="F884" s="3">
        <v>1</v>
      </c>
      <c r="G884" s="24" t="s">
        <v>4574</v>
      </c>
      <c r="H884" s="24" t="s">
        <v>4575</v>
      </c>
      <c r="I884" s="24" t="s">
        <v>3254</v>
      </c>
      <c r="J884" s="24" t="s">
        <v>2924</v>
      </c>
      <c r="K884" s="3">
        <v>30</v>
      </c>
      <c r="L884" s="3" t="s">
        <v>6823</v>
      </c>
      <c r="M884" s="3" t="str">
        <f>HYPERLINK("http://ictvonline.org/taxonomyHistory.asp?taxnode_id=20151118","ICTVonline=20151118")</f>
        <v>ICTVonline=20151118</v>
      </c>
    </row>
    <row r="885" spans="1:13" x14ac:dyDescent="0.15">
      <c r="A885" s="1" t="s">
        <v>1035</v>
      </c>
      <c r="B885" s="1" t="s">
        <v>1524</v>
      </c>
      <c r="D885" s="1" t="s">
        <v>1523</v>
      </c>
      <c r="E885" s="1" t="s">
        <v>4576</v>
      </c>
      <c r="F885" s="3">
        <v>0</v>
      </c>
      <c r="G885" s="24" t="s">
        <v>7421</v>
      </c>
      <c r="H885" s="24" t="s">
        <v>4577</v>
      </c>
      <c r="I885" s="24" t="s">
        <v>3254</v>
      </c>
      <c r="J885" s="24" t="s">
        <v>2924</v>
      </c>
      <c r="K885" s="3">
        <v>30</v>
      </c>
      <c r="L885" s="3" t="s">
        <v>6823</v>
      </c>
      <c r="M885" s="3" t="str">
        <f>HYPERLINK("http://ictvonline.org/taxonomyHistory.asp?taxnode_id=20151119","ICTVonline=20151119")</f>
        <v>ICTVonline=20151119</v>
      </c>
    </row>
    <row r="886" spans="1:13" x14ac:dyDescent="0.15">
      <c r="A886" s="1" t="s">
        <v>1035</v>
      </c>
      <c r="B886" s="1" t="s">
        <v>1524</v>
      </c>
      <c r="D886" s="1" t="s">
        <v>1523</v>
      </c>
      <c r="E886" s="1" t="s">
        <v>4578</v>
      </c>
      <c r="F886" s="3">
        <v>0</v>
      </c>
      <c r="G886" s="24" t="s">
        <v>4579</v>
      </c>
      <c r="H886" s="24" t="s">
        <v>4580</v>
      </c>
      <c r="I886" s="24" t="s">
        <v>3254</v>
      </c>
      <c r="J886" s="24" t="s">
        <v>2924</v>
      </c>
      <c r="K886" s="3">
        <v>30</v>
      </c>
      <c r="L886" s="3" t="s">
        <v>6823</v>
      </c>
      <c r="M886" s="3" t="str">
        <f>HYPERLINK("http://ictvonline.org/taxonomyHistory.asp?taxnode_id=20151120","ICTVonline=20151120")</f>
        <v>ICTVonline=20151120</v>
      </c>
    </row>
    <row r="887" spans="1:13" x14ac:dyDescent="0.15">
      <c r="A887" s="1" t="s">
        <v>1035</v>
      </c>
      <c r="B887" s="1" t="s">
        <v>1524</v>
      </c>
      <c r="D887" s="1" t="s">
        <v>1523</v>
      </c>
      <c r="E887" s="1" t="s">
        <v>4581</v>
      </c>
      <c r="F887" s="3">
        <v>0</v>
      </c>
      <c r="H887" s="24" t="s">
        <v>4582</v>
      </c>
      <c r="I887" s="24" t="s">
        <v>3254</v>
      </c>
      <c r="J887" s="24" t="s">
        <v>2924</v>
      </c>
      <c r="K887" s="3">
        <v>30</v>
      </c>
      <c r="L887" s="3" t="s">
        <v>6823</v>
      </c>
      <c r="M887" s="3" t="str">
        <f>HYPERLINK("http://ictvonline.org/taxonomyHistory.asp?taxnode_id=20151121","ICTVonline=20151121")</f>
        <v>ICTVonline=20151121</v>
      </c>
    </row>
    <row r="888" spans="1:13" x14ac:dyDescent="0.15">
      <c r="A888" s="1" t="s">
        <v>1035</v>
      </c>
      <c r="B888" s="1" t="s">
        <v>1524</v>
      </c>
      <c r="D888" s="1" t="s">
        <v>1523</v>
      </c>
      <c r="E888" s="1" t="s">
        <v>4583</v>
      </c>
      <c r="F888" s="3">
        <v>0</v>
      </c>
      <c r="G888" s="24" t="s">
        <v>4584</v>
      </c>
      <c r="H888" s="24" t="s">
        <v>4585</v>
      </c>
      <c r="I888" s="24" t="s">
        <v>3254</v>
      </c>
      <c r="J888" s="24" t="s">
        <v>2924</v>
      </c>
      <c r="K888" s="3">
        <v>30</v>
      </c>
      <c r="L888" s="3" t="s">
        <v>6823</v>
      </c>
      <c r="M888" s="3" t="str">
        <f>HYPERLINK("http://ictvonline.org/taxonomyHistory.asp?taxnode_id=20151122","ICTVonline=20151122")</f>
        <v>ICTVonline=20151122</v>
      </c>
    </row>
    <row r="889" spans="1:13" x14ac:dyDescent="0.15">
      <c r="A889" s="1" t="s">
        <v>1035</v>
      </c>
      <c r="B889" s="1" t="s">
        <v>1524</v>
      </c>
      <c r="D889" s="1" t="s">
        <v>2303</v>
      </c>
      <c r="E889" s="1" t="s">
        <v>4586</v>
      </c>
      <c r="F889" s="3">
        <v>0</v>
      </c>
      <c r="G889" s="24" t="s">
        <v>7422</v>
      </c>
      <c r="H889" s="24" t="s">
        <v>4587</v>
      </c>
      <c r="I889" s="24" t="s">
        <v>3254</v>
      </c>
      <c r="J889" s="24" t="s">
        <v>2924</v>
      </c>
      <c r="K889" s="3">
        <v>30</v>
      </c>
      <c r="L889" s="3" t="s">
        <v>6823</v>
      </c>
      <c r="M889" s="3" t="str">
        <f>HYPERLINK("http://ictvonline.org/taxonomyHistory.asp?taxnode_id=20151124","ICTVonline=20151124")</f>
        <v>ICTVonline=20151124</v>
      </c>
    </row>
    <row r="890" spans="1:13" x14ac:dyDescent="0.15">
      <c r="A890" s="1" t="s">
        <v>1035</v>
      </c>
      <c r="B890" s="1" t="s">
        <v>1524</v>
      </c>
      <c r="D890" s="1" t="s">
        <v>2303</v>
      </c>
      <c r="E890" s="1" t="s">
        <v>4588</v>
      </c>
      <c r="F890" s="3">
        <v>1</v>
      </c>
      <c r="G890" s="24" t="s">
        <v>7423</v>
      </c>
      <c r="H890" s="24" t="s">
        <v>4589</v>
      </c>
      <c r="I890" s="24" t="s">
        <v>3254</v>
      </c>
      <c r="J890" s="24" t="s">
        <v>2924</v>
      </c>
      <c r="K890" s="3">
        <v>30</v>
      </c>
      <c r="L890" s="3" t="s">
        <v>6823</v>
      </c>
      <c r="M890" s="3" t="str">
        <f>HYPERLINK("http://ictvonline.org/taxonomyHistory.asp?taxnode_id=20151125","ICTVonline=20151125")</f>
        <v>ICTVonline=20151125</v>
      </c>
    </row>
    <row r="891" spans="1:13" x14ac:dyDescent="0.15">
      <c r="A891" s="1" t="s">
        <v>1035</v>
      </c>
      <c r="B891" s="1" t="s">
        <v>1524</v>
      </c>
      <c r="D891" s="1" t="s">
        <v>2303</v>
      </c>
      <c r="E891" s="1" t="s">
        <v>4590</v>
      </c>
      <c r="F891" s="3">
        <v>0</v>
      </c>
      <c r="G891" s="24" t="s">
        <v>7424</v>
      </c>
      <c r="H891" s="24" t="s">
        <v>4591</v>
      </c>
      <c r="I891" s="24" t="s">
        <v>3254</v>
      </c>
      <c r="J891" s="24" t="s">
        <v>2924</v>
      </c>
      <c r="K891" s="3">
        <v>30</v>
      </c>
      <c r="L891" s="3" t="s">
        <v>6823</v>
      </c>
      <c r="M891" s="3" t="str">
        <f>HYPERLINK("http://ictvonline.org/taxonomyHistory.asp?taxnode_id=20151126","ICTVonline=20151126")</f>
        <v>ICTVonline=20151126</v>
      </c>
    </row>
    <row r="892" spans="1:13" x14ac:dyDescent="0.15">
      <c r="A892" s="1" t="s">
        <v>1035</v>
      </c>
      <c r="B892" s="1" t="s">
        <v>1524</v>
      </c>
      <c r="D892" s="1" t="s">
        <v>2304</v>
      </c>
      <c r="E892" s="1" t="s">
        <v>2305</v>
      </c>
      <c r="F892" s="3">
        <v>0</v>
      </c>
      <c r="I892" s="24" t="s">
        <v>3254</v>
      </c>
      <c r="J892" s="24" t="s">
        <v>2919</v>
      </c>
      <c r="K892" s="3">
        <v>27</v>
      </c>
      <c r="L892" s="3" t="s">
        <v>6828</v>
      </c>
      <c r="M892" s="3" t="str">
        <f>HYPERLINK("http://ictvonline.org/taxonomyHistory.asp?taxnode_id=20151128","ICTVonline=20151128")</f>
        <v>ICTVonline=20151128</v>
      </c>
    </row>
    <row r="893" spans="1:13" x14ac:dyDescent="0.15">
      <c r="A893" s="1" t="s">
        <v>1035</v>
      </c>
      <c r="B893" s="1" t="s">
        <v>1524</v>
      </c>
      <c r="D893" s="1" t="s">
        <v>2304</v>
      </c>
      <c r="E893" s="1" t="s">
        <v>2306</v>
      </c>
      <c r="F893" s="3">
        <v>0</v>
      </c>
      <c r="I893" s="24" t="s">
        <v>3254</v>
      </c>
      <c r="J893" s="24" t="s">
        <v>2919</v>
      </c>
      <c r="K893" s="3">
        <v>27</v>
      </c>
      <c r="L893" s="3" t="s">
        <v>6828</v>
      </c>
      <c r="M893" s="3" t="str">
        <f>HYPERLINK("http://ictvonline.org/taxonomyHistory.asp?taxnode_id=20151129","ICTVonline=20151129")</f>
        <v>ICTVonline=20151129</v>
      </c>
    </row>
    <row r="894" spans="1:13" x14ac:dyDescent="0.15">
      <c r="A894" s="1" t="s">
        <v>1035</v>
      </c>
      <c r="B894" s="1" t="s">
        <v>1524</v>
      </c>
      <c r="D894" s="1" t="s">
        <v>2304</v>
      </c>
      <c r="E894" s="1" t="s">
        <v>2307</v>
      </c>
      <c r="F894" s="3">
        <v>0</v>
      </c>
      <c r="I894" s="24" t="s">
        <v>3254</v>
      </c>
      <c r="J894" s="24" t="s">
        <v>2919</v>
      </c>
      <c r="K894" s="3">
        <v>27</v>
      </c>
      <c r="L894" s="3" t="s">
        <v>6828</v>
      </c>
      <c r="M894" s="3" t="str">
        <f>HYPERLINK("http://ictvonline.org/taxonomyHistory.asp?taxnode_id=20151130","ICTVonline=20151130")</f>
        <v>ICTVonline=20151130</v>
      </c>
    </row>
    <row r="895" spans="1:13" x14ac:dyDescent="0.15">
      <c r="A895" s="1" t="s">
        <v>1035</v>
      </c>
      <c r="B895" s="1" t="s">
        <v>1524</v>
      </c>
      <c r="D895" s="1" t="s">
        <v>2304</v>
      </c>
      <c r="E895" s="1" t="s">
        <v>2308</v>
      </c>
      <c r="F895" s="3">
        <v>1</v>
      </c>
      <c r="G895" s="24" t="s">
        <v>7776</v>
      </c>
      <c r="I895" s="24" t="s">
        <v>3254</v>
      </c>
      <c r="J895" s="24" t="s">
        <v>2934</v>
      </c>
      <c r="K895" s="3">
        <v>27</v>
      </c>
      <c r="L895" s="3" t="s">
        <v>6828</v>
      </c>
      <c r="M895" s="3" t="str">
        <f>HYPERLINK("http://ictvonline.org/taxonomyHistory.asp?taxnode_id=20151131","ICTVonline=20151131")</f>
        <v>ICTVonline=20151131</v>
      </c>
    </row>
    <row r="896" spans="1:13" x14ac:dyDescent="0.15">
      <c r="A896" s="1" t="s">
        <v>1035</v>
      </c>
      <c r="B896" s="1" t="s">
        <v>1524</v>
      </c>
      <c r="D896" s="1" t="s">
        <v>2304</v>
      </c>
      <c r="E896" s="1" t="s">
        <v>2309</v>
      </c>
      <c r="F896" s="3">
        <v>0</v>
      </c>
      <c r="G896" s="24" t="s">
        <v>7777</v>
      </c>
      <c r="I896" s="24" t="s">
        <v>3254</v>
      </c>
      <c r="J896" s="24" t="s">
        <v>2919</v>
      </c>
      <c r="K896" s="3">
        <v>27</v>
      </c>
      <c r="L896" s="3" t="s">
        <v>6828</v>
      </c>
      <c r="M896" s="3" t="str">
        <f>HYPERLINK("http://ictvonline.org/taxonomyHistory.asp?taxnode_id=20151132","ICTVonline=20151132")</f>
        <v>ICTVonline=20151132</v>
      </c>
    </row>
    <row r="897" spans="1:13" x14ac:dyDescent="0.15">
      <c r="A897" s="1" t="s">
        <v>1035</v>
      </c>
      <c r="B897" s="1" t="s">
        <v>1524</v>
      </c>
      <c r="D897" s="1" t="s">
        <v>2304</v>
      </c>
      <c r="E897" s="1" t="s">
        <v>2310</v>
      </c>
      <c r="F897" s="3">
        <v>0</v>
      </c>
      <c r="I897" s="24" t="s">
        <v>3254</v>
      </c>
      <c r="J897" s="24" t="s">
        <v>2919</v>
      </c>
      <c r="K897" s="3">
        <v>27</v>
      </c>
      <c r="L897" s="3" t="s">
        <v>6828</v>
      </c>
      <c r="M897" s="3" t="str">
        <f>HYPERLINK("http://ictvonline.org/taxonomyHistory.asp?taxnode_id=20151133","ICTVonline=20151133")</f>
        <v>ICTVonline=20151133</v>
      </c>
    </row>
    <row r="898" spans="1:13" x14ac:dyDescent="0.15">
      <c r="A898" s="1" t="s">
        <v>1035</v>
      </c>
      <c r="B898" s="1" t="s">
        <v>1524</v>
      </c>
      <c r="D898" s="1" t="s">
        <v>2304</v>
      </c>
      <c r="E898" s="1" t="s">
        <v>2311</v>
      </c>
      <c r="F898" s="3">
        <v>0</v>
      </c>
      <c r="I898" s="24" t="s">
        <v>3254</v>
      </c>
      <c r="J898" s="24" t="s">
        <v>2919</v>
      </c>
      <c r="K898" s="3">
        <v>27</v>
      </c>
      <c r="L898" s="3" t="s">
        <v>6828</v>
      </c>
      <c r="M898" s="3" t="str">
        <f>HYPERLINK("http://ictvonline.org/taxonomyHistory.asp?taxnode_id=20151134","ICTVonline=20151134")</f>
        <v>ICTVonline=20151134</v>
      </c>
    </row>
    <row r="899" spans="1:13" x14ac:dyDescent="0.15">
      <c r="A899" s="1" t="s">
        <v>1035</v>
      </c>
      <c r="B899" s="1" t="s">
        <v>1524</v>
      </c>
      <c r="D899" s="1" t="s">
        <v>2454</v>
      </c>
      <c r="E899" s="1" t="s">
        <v>4592</v>
      </c>
      <c r="F899" s="3">
        <v>1</v>
      </c>
      <c r="G899" s="24" t="s">
        <v>7425</v>
      </c>
      <c r="H899" s="24" t="s">
        <v>4593</v>
      </c>
      <c r="I899" s="24" t="s">
        <v>3254</v>
      </c>
      <c r="J899" s="24" t="s">
        <v>2924</v>
      </c>
      <c r="K899" s="3">
        <v>30</v>
      </c>
      <c r="L899" s="3" t="s">
        <v>6823</v>
      </c>
      <c r="M899" s="3" t="str">
        <f>HYPERLINK("http://ictvonline.org/taxonomyHistory.asp?taxnode_id=20151137","ICTVonline=20151137")</f>
        <v>ICTVonline=20151137</v>
      </c>
    </row>
    <row r="900" spans="1:13" x14ac:dyDescent="0.15">
      <c r="A900" s="1" t="s">
        <v>1035</v>
      </c>
      <c r="B900" s="1" t="s">
        <v>1524</v>
      </c>
      <c r="D900" s="1" t="s">
        <v>2454</v>
      </c>
      <c r="E900" s="1" t="s">
        <v>4594</v>
      </c>
      <c r="F900" s="3">
        <v>0</v>
      </c>
      <c r="G900" s="24" t="s">
        <v>7426</v>
      </c>
      <c r="H900" s="24" t="s">
        <v>4595</v>
      </c>
      <c r="I900" s="24" t="s">
        <v>3254</v>
      </c>
      <c r="J900" s="24" t="s">
        <v>2924</v>
      </c>
      <c r="K900" s="3">
        <v>30</v>
      </c>
      <c r="L900" s="3" t="s">
        <v>6823</v>
      </c>
      <c r="M900" s="3" t="str">
        <f>HYPERLINK("http://ictvonline.org/taxonomyHistory.asp?taxnode_id=20151136","ICTVonline=20151136")</f>
        <v>ICTVonline=20151136</v>
      </c>
    </row>
    <row r="901" spans="1:13" x14ac:dyDescent="0.15">
      <c r="A901" s="1" t="s">
        <v>1035</v>
      </c>
      <c r="B901" s="1" t="s">
        <v>1524</v>
      </c>
      <c r="D901" s="1" t="s">
        <v>2312</v>
      </c>
      <c r="E901" s="1" t="s">
        <v>4596</v>
      </c>
      <c r="F901" s="3">
        <v>0</v>
      </c>
      <c r="G901" s="24" t="s">
        <v>7427</v>
      </c>
      <c r="H901" s="24" t="s">
        <v>4597</v>
      </c>
      <c r="I901" s="24" t="s">
        <v>3254</v>
      </c>
      <c r="J901" s="24" t="s">
        <v>2924</v>
      </c>
      <c r="K901" s="3">
        <v>30</v>
      </c>
      <c r="L901" s="3" t="s">
        <v>6823</v>
      </c>
      <c r="M901" s="3" t="str">
        <f>HYPERLINK("http://ictvonline.org/taxonomyHistory.asp?taxnode_id=20151139","ICTVonline=20151139")</f>
        <v>ICTVonline=20151139</v>
      </c>
    </row>
    <row r="902" spans="1:13" x14ac:dyDescent="0.15">
      <c r="A902" s="1" t="s">
        <v>1035</v>
      </c>
      <c r="B902" s="1" t="s">
        <v>1524</v>
      </c>
      <c r="D902" s="1" t="s">
        <v>2312</v>
      </c>
      <c r="E902" s="1" t="s">
        <v>4598</v>
      </c>
      <c r="F902" s="3">
        <v>1</v>
      </c>
      <c r="G902" s="24" t="s">
        <v>7428</v>
      </c>
      <c r="H902" s="24" t="s">
        <v>4599</v>
      </c>
      <c r="I902" s="24" t="s">
        <v>3254</v>
      </c>
      <c r="J902" s="24" t="s">
        <v>2924</v>
      </c>
      <c r="K902" s="3">
        <v>30</v>
      </c>
      <c r="L902" s="3" t="s">
        <v>6823</v>
      </c>
      <c r="M902" s="3" t="str">
        <f>HYPERLINK("http://ictvonline.org/taxonomyHistory.asp?taxnode_id=20151140","ICTVonline=20151140")</f>
        <v>ICTVonline=20151140</v>
      </c>
    </row>
    <row r="903" spans="1:13" x14ac:dyDescent="0.15">
      <c r="A903" s="1" t="s">
        <v>1035</v>
      </c>
      <c r="B903" s="1" t="s">
        <v>1524</v>
      </c>
      <c r="D903" s="1" t="s">
        <v>2455</v>
      </c>
      <c r="E903" s="1" t="s">
        <v>4600</v>
      </c>
      <c r="F903" s="3">
        <v>1</v>
      </c>
      <c r="G903" s="24" t="s">
        <v>7429</v>
      </c>
      <c r="H903" s="24" t="s">
        <v>4601</v>
      </c>
      <c r="I903" s="24" t="s">
        <v>3254</v>
      </c>
      <c r="J903" s="24" t="s">
        <v>2924</v>
      </c>
      <c r="K903" s="3">
        <v>30</v>
      </c>
      <c r="L903" s="3" t="s">
        <v>6823</v>
      </c>
      <c r="M903" s="3" t="str">
        <f>HYPERLINK("http://ictvonline.org/taxonomyHistory.asp?taxnode_id=20151142","ICTVonline=20151142")</f>
        <v>ICTVonline=20151142</v>
      </c>
    </row>
    <row r="904" spans="1:13" x14ac:dyDescent="0.15">
      <c r="A904" s="1" t="s">
        <v>1035</v>
      </c>
      <c r="B904" s="1" t="s">
        <v>1524</v>
      </c>
      <c r="D904" s="1" t="s">
        <v>2455</v>
      </c>
      <c r="E904" s="1" t="s">
        <v>4602</v>
      </c>
      <c r="F904" s="3">
        <v>0</v>
      </c>
      <c r="G904" s="24" t="s">
        <v>7430</v>
      </c>
      <c r="H904" s="24" t="s">
        <v>4603</v>
      </c>
      <c r="I904" s="24" t="s">
        <v>3254</v>
      </c>
      <c r="J904" s="24" t="s">
        <v>2924</v>
      </c>
      <c r="K904" s="3">
        <v>30</v>
      </c>
      <c r="L904" s="3" t="s">
        <v>6823</v>
      </c>
      <c r="M904" s="3" t="str">
        <f>HYPERLINK("http://ictvonline.org/taxonomyHistory.asp?taxnode_id=20151143","ICTVonline=20151143")</f>
        <v>ICTVonline=20151143</v>
      </c>
    </row>
    <row r="905" spans="1:13" x14ac:dyDescent="0.15">
      <c r="A905" s="1" t="s">
        <v>1035</v>
      </c>
      <c r="B905" s="1" t="s">
        <v>1524</v>
      </c>
      <c r="D905" s="1" t="s">
        <v>934</v>
      </c>
      <c r="E905" s="1" t="s">
        <v>1620</v>
      </c>
      <c r="F905" s="3">
        <v>0</v>
      </c>
      <c r="G905" s="24" t="s">
        <v>7778</v>
      </c>
      <c r="H905" s="24" t="s">
        <v>7779</v>
      </c>
      <c r="I905" s="24" t="s">
        <v>3254</v>
      </c>
      <c r="J905" s="24" t="s">
        <v>2919</v>
      </c>
      <c r="K905" s="3">
        <v>25</v>
      </c>
      <c r="L905" s="3" t="s">
        <v>6829</v>
      </c>
      <c r="M905" s="3" t="str">
        <f>HYPERLINK("http://ictvonline.org/taxonomyHistory.asp?taxnode_id=20151145","ICTVonline=20151145")</f>
        <v>ICTVonline=20151145</v>
      </c>
    </row>
    <row r="906" spans="1:13" x14ac:dyDescent="0.15">
      <c r="A906" s="1" t="s">
        <v>1035</v>
      </c>
      <c r="B906" s="1" t="s">
        <v>1524</v>
      </c>
      <c r="D906" s="1" t="s">
        <v>934</v>
      </c>
      <c r="E906" s="1" t="s">
        <v>1415</v>
      </c>
      <c r="F906" s="3">
        <v>0</v>
      </c>
      <c r="G906" s="24" t="s">
        <v>7780</v>
      </c>
      <c r="H906" s="24" t="s">
        <v>7781</v>
      </c>
      <c r="I906" s="24" t="s">
        <v>3254</v>
      </c>
      <c r="J906" s="24" t="s">
        <v>2919</v>
      </c>
      <c r="K906" s="3">
        <v>26</v>
      </c>
      <c r="L906" s="3" t="s">
        <v>6830</v>
      </c>
      <c r="M906" s="3" t="str">
        <f>HYPERLINK("http://ictvonline.org/taxonomyHistory.asp?taxnode_id=20151146","ICTVonline=20151146")</f>
        <v>ICTVonline=20151146</v>
      </c>
    </row>
    <row r="907" spans="1:13" x14ac:dyDescent="0.15">
      <c r="A907" s="1" t="s">
        <v>1035</v>
      </c>
      <c r="B907" s="1" t="s">
        <v>1524</v>
      </c>
      <c r="D907" s="1" t="s">
        <v>934</v>
      </c>
      <c r="E907" s="1" t="s">
        <v>1955</v>
      </c>
      <c r="F907" s="3">
        <v>0</v>
      </c>
      <c r="G907" s="24" t="s">
        <v>7782</v>
      </c>
      <c r="H907" s="24" t="s">
        <v>7783</v>
      </c>
      <c r="I907" s="24" t="s">
        <v>3254</v>
      </c>
      <c r="J907" s="24" t="s">
        <v>2919</v>
      </c>
      <c r="K907" s="3">
        <v>25</v>
      </c>
      <c r="L907" s="3" t="s">
        <v>6831</v>
      </c>
      <c r="M907" s="3" t="str">
        <f>HYPERLINK("http://ictvonline.org/taxonomyHistory.asp?taxnode_id=20151147","ICTVonline=20151147")</f>
        <v>ICTVonline=20151147</v>
      </c>
    </row>
    <row r="908" spans="1:13" x14ac:dyDescent="0.15">
      <c r="A908" s="1" t="s">
        <v>1035</v>
      </c>
      <c r="B908" s="1" t="s">
        <v>1524</v>
      </c>
      <c r="D908" s="1" t="s">
        <v>934</v>
      </c>
      <c r="E908" s="1" t="s">
        <v>1954</v>
      </c>
      <c r="F908" s="3">
        <v>0</v>
      </c>
      <c r="G908" s="24" t="s">
        <v>7784</v>
      </c>
      <c r="H908" s="24" t="s">
        <v>7785</v>
      </c>
      <c r="I908" s="24" t="s">
        <v>3254</v>
      </c>
      <c r="J908" s="24" t="s">
        <v>2919</v>
      </c>
      <c r="K908" s="3">
        <v>25</v>
      </c>
      <c r="L908" s="3" t="s">
        <v>6832</v>
      </c>
      <c r="M908" s="3" t="str">
        <f>HYPERLINK("http://ictvonline.org/taxonomyHistory.asp?taxnode_id=20151148","ICTVonline=20151148")</f>
        <v>ICTVonline=20151148</v>
      </c>
    </row>
    <row r="909" spans="1:13" x14ac:dyDescent="0.15">
      <c r="A909" s="1" t="s">
        <v>1035</v>
      </c>
      <c r="B909" s="1" t="s">
        <v>1524</v>
      </c>
      <c r="D909" s="1" t="s">
        <v>1616</v>
      </c>
      <c r="E909" s="1" t="s">
        <v>4604</v>
      </c>
      <c r="F909" s="3">
        <v>1</v>
      </c>
      <c r="G909" s="24" t="s">
        <v>7431</v>
      </c>
      <c r="H909" s="24" t="s">
        <v>4605</v>
      </c>
      <c r="I909" s="24" t="s">
        <v>3254</v>
      </c>
      <c r="J909" s="24" t="s">
        <v>2923</v>
      </c>
      <c r="K909" s="3">
        <v>30</v>
      </c>
      <c r="L909" s="3" t="s">
        <v>6823</v>
      </c>
      <c r="M909" s="3" t="str">
        <f>HYPERLINK("http://ictvonline.org/taxonomyHistory.asp?taxnode_id=20154545","ICTVonline=20154545")</f>
        <v>ICTVonline=20154545</v>
      </c>
    </row>
    <row r="910" spans="1:13" x14ac:dyDescent="0.15">
      <c r="A910" s="1" t="s">
        <v>1035</v>
      </c>
      <c r="B910" s="1" t="s">
        <v>1524</v>
      </c>
      <c r="D910" s="1" t="s">
        <v>1526</v>
      </c>
      <c r="E910" s="1" t="s">
        <v>4606</v>
      </c>
      <c r="F910" s="3">
        <v>0</v>
      </c>
      <c r="G910" s="24" t="s">
        <v>7432</v>
      </c>
      <c r="H910" s="24" t="s">
        <v>4607</v>
      </c>
      <c r="I910" s="24" t="s">
        <v>3254</v>
      </c>
      <c r="J910" s="24" t="s">
        <v>2924</v>
      </c>
      <c r="K910" s="3">
        <v>30</v>
      </c>
      <c r="L910" s="3" t="s">
        <v>6823</v>
      </c>
      <c r="M910" s="3" t="str">
        <f>HYPERLINK("http://ictvonline.org/taxonomyHistory.asp?taxnode_id=20151156","ICTVonline=20151156")</f>
        <v>ICTVonline=20151156</v>
      </c>
    </row>
    <row r="911" spans="1:13" x14ac:dyDescent="0.15">
      <c r="A911" s="1" t="s">
        <v>1035</v>
      </c>
      <c r="B911" s="1" t="s">
        <v>1524</v>
      </c>
      <c r="D911" s="1" t="s">
        <v>1526</v>
      </c>
      <c r="E911" s="1" t="s">
        <v>4608</v>
      </c>
      <c r="F911" s="3">
        <v>0</v>
      </c>
      <c r="G911" s="24" t="s">
        <v>7433</v>
      </c>
      <c r="H911" s="24" t="s">
        <v>4609</v>
      </c>
      <c r="I911" s="24" t="s">
        <v>3254</v>
      </c>
      <c r="J911" s="24" t="s">
        <v>2924</v>
      </c>
      <c r="K911" s="3">
        <v>30</v>
      </c>
      <c r="L911" s="3" t="s">
        <v>6823</v>
      </c>
      <c r="M911" s="3" t="str">
        <f>HYPERLINK("http://ictvonline.org/taxonomyHistory.asp?taxnode_id=20151150","ICTVonline=20151150")</f>
        <v>ICTVonline=20151150</v>
      </c>
    </row>
    <row r="912" spans="1:13" x14ac:dyDescent="0.15">
      <c r="A912" s="1" t="s">
        <v>1035</v>
      </c>
      <c r="B912" s="1" t="s">
        <v>1524</v>
      </c>
      <c r="D912" s="1" t="s">
        <v>1526</v>
      </c>
      <c r="E912" s="1" t="s">
        <v>4610</v>
      </c>
      <c r="F912" s="3">
        <v>0</v>
      </c>
      <c r="G912" s="24" t="s">
        <v>7434</v>
      </c>
      <c r="H912" s="24" t="s">
        <v>4611</v>
      </c>
      <c r="I912" s="24" t="s">
        <v>3254</v>
      </c>
      <c r="J912" s="24" t="s">
        <v>2924</v>
      </c>
      <c r="K912" s="3">
        <v>30</v>
      </c>
      <c r="L912" s="3" t="s">
        <v>6823</v>
      </c>
      <c r="M912" s="3" t="str">
        <f>HYPERLINK("http://ictvonline.org/taxonomyHistory.asp?taxnode_id=20151151","ICTVonline=20151151")</f>
        <v>ICTVonline=20151151</v>
      </c>
    </row>
    <row r="913" spans="1:13" x14ac:dyDescent="0.15">
      <c r="A913" s="1" t="s">
        <v>1035</v>
      </c>
      <c r="B913" s="1" t="s">
        <v>1524</v>
      </c>
      <c r="D913" s="1" t="s">
        <v>1526</v>
      </c>
      <c r="E913" s="1" t="s">
        <v>4612</v>
      </c>
      <c r="F913" s="3">
        <v>0</v>
      </c>
      <c r="G913" s="24" t="s">
        <v>7435</v>
      </c>
      <c r="H913" s="24" t="s">
        <v>4613</v>
      </c>
      <c r="I913" s="24" t="s">
        <v>3254</v>
      </c>
      <c r="J913" s="24" t="s">
        <v>2924</v>
      </c>
      <c r="K913" s="3">
        <v>30</v>
      </c>
      <c r="L913" s="3" t="s">
        <v>6823</v>
      </c>
      <c r="M913" s="3" t="str">
        <f>HYPERLINK("http://ictvonline.org/taxonomyHistory.asp?taxnode_id=20151152","ICTVonline=20151152")</f>
        <v>ICTVonline=20151152</v>
      </c>
    </row>
    <row r="914" spans="1:13" x14ac:dyDescent="0.15">
      <c r="A914" s="1" t="s">
        <v>1035</v>
      </c>
      <c r="B914" s="1" t="s">
        <v>1524</v>
      </c>
      <c r="D914" s="1" t="s">
        <v>1526</v>
      </c>
      <c r="E914" s="1" t="s">
        <v>4614</v>
      </c>
      <c r="F914" s="3">
        <v>1</v>
      </c>
      <c r="G914" s="24" t="s">
        <v>7436</v>
      </c>
      <c r="H914" s="24" t="s">
        <v>4615</v>
      </c>
      <c r="I914" s="24" t="s">
        <v>3254</v>
      </c>
      <c r="J914" s="24" t="s">
        <v>2924</v>
      </c>
      <c r="K914" s="3">
        <v>30</v>
      </c>
      <c r="L914" s="3" t="s">
        <v>6823</v>
      </c>
      <c r="M914" s="3" t="str">
        <f>HYPERLINK("http://ictvonline.org/taxonomyHistory.asp?taxnode_id=20151157","ICTVonline=20151157")</f>
        <v>ICTVonline=20151157</v>
      </c>
    </row>
    <row r="915" spans="1:13" x14ac:dyDescent="0.15">
      <c r="A915" s="1" t="s">
        <v>1035</v>
      </c>
      <c r="B915" s="1" t="s">
        <v>1524</v>
      </c>
      <c r="D915" s="1" t="s">
        <v>1526</v>
      </c>
      <c r="E915" s="1" t="s">
        <v>4616</v>
      </c>
      <c r="F915" s="3">
        <v>0</v>
      </c>
      <c r="G915" s="24" t="s">
        <v>7437</v>
      </c>
      <c r="H915" s="24" t="s">
        <v>4617</v>
      </c>
      <c r="I915" s="24" t="s">
        <v>3254</v>
      </c>
      <c r="J915" s="24" t="s">
        <v>2924</v>
      </c>
      <c r="K915" s="3">
        <v>30</v>
      </c>
      <c r="L915" s="3" t="s">
        <v>6823</v>
      </c>
      <c r="M915" s="3" t="str">
        <f>HYPERLINK("http://ictvonline.org/taxonomyHistory.asp?taxnode_id=20151153","ICTVonline=20151153")</f>
        <v>ICTVonline=20151153</v>
      </c>
    </row>
    <row r="916" spans="1:13" x14ac:dyDescent="0.15">
      <c r="A916" s="1" t="s">
        <v>1035</v>
      </c>
      <c r="B916" s="1" t="s">
        <v>1524</v>
      </c>
      <c r="D916" s="1" t="s">
        <v>1526</v>
      </c>
      <c r="E916" s="1" t="s">
        <v>4618</v>
      </c>
      <c r="F916" s="3">
        <v>0</v>
      </c>
      <c r="G916" s="24" t="s">
        <v>7438</v>
      </c>
      <c r="H916" s="24" t="s">
        <v>4619</v>
      </c>
      <c r="I916" s="24" t="s">
        <v>3254</v>
      </c>
      <c r="J916" s="24" t="s">
        <v>2924</v>
      </c>
      <c r="K916" s="3">
        <v>30</v>
      </c>
      <c r="L916" s="3" t="s">
        <v>6823</v>
      </c>
      <c r="M916" s="3" t="str">
        <f>HYPERLINK("http://ictvonline.org/taxonomyHistory.asp?taxnode_id=20151154","ICTVonline=20151154")</f>
        <v>ICTVonline=20151154</v>
      </c>
    </row>
    <row r="917" spans="1:13" x14ac:dyDescent="0.15">
      <c r="A917" s="1" t="s">
        <v>1035</v>
      </c>
      <c r="B917" s="1" t="s">
        <v>1524</v>
      </c>
      <c r="D917" s="1" t="s">
        <v>1526</v>
      </c>
      <c r="E917" s="1" t="s">
        <v>4620</v>
      </c>
      <c r="F917" s="3">
        <v>0</v>
      </c>
      <c r="G917" s="24" t="s">
        <v>7439</v>
      </c>
      <c r="H917" s="24" t="s">
        <v>4621</v>
      </c>
      <c r="I917" s="24" t="s">
        <v>3254</v>
      </c>
      <c r="J917" s="24" t="s">
        <v>2924</v>
      </c>
      <c r="K917" s="3">
        <v>30</v>
      </c>
      <c r="L917" s="3" t="s">
        <v>6823</v>
      </c>
      <c r="M917" s="3" t="str">
        <f>HYPERLINK("http://ictvonline.org/taxonomyHistory.asp?taxnode_id=20151158","ICTVonline=20151158")</f>
        <v>ICTVonline=20151158</v>
      </c>
    </row>
    <row r="918" spans="1:13" x14ac:dyDescent="0.15">
      <c r="A918" s="1" t="s">
        <v>1035</v>
      </c>
      <c r="B918" s="1" t="s">
        <v>1524</v>
      </c>
      <c r="D918" s="1" t="s">
        <v>1526</v>
      </c>
      <c r="E918" s="1" t="s">
        <v>4622</v>
      </c>
      <c r="F918" s="3">
        <v>0</v>
      </c>
      <c r="H918" s="24" t="s">
        <v>4623</v>
      </c>
      <c r="I918" s="24" t="s">
        <v>3254</v>
      </c>
      <c r="J918" s="24" t="s">
        <v>2924</v>
      </c>
      <c r="K918" s="3">
        <v>30</v>
      </c>
      <c r="L918" s="3" t="s">
        <v>6823</v>
      </c>
      <c r="M918" s="3" t="str">
        <f>HYPERLINK("http://ictvonline.org/taxonomyHistory.asp?taxnode_id=20151155","ICTVonline=20151155")</f>
        <v>ICTVonline=20151155</v>
      </c>
    </row>
    <row r="919" spans="1:13" x14ac:dyDescent="0.15">
      <c r="A919" s="1" t="s">
        <v>1035</v>
      </c>
      <c r="B919" s="1" t="s">
        <v>4624</v>
      </c>
      <c r="D919" s="1" t="s">
        <v>4625</v>
      </c>
      <c r="E919" s="1" t="s">
        <v>4626</v>
      </c>
      <c r="F919" s="3">
        <v>1</v>
      </c>
      <c r="H919" s="24" t="s">
        <v>4627</v>
      </c>
      <c r="I919" s="24" t="s">
        <v>3254</v>
      </c>
      <c r="J919" s="24" t="s">
        <v>2919</v>
      </c>
      <c r="K919" s="3">
        <v>30</v>
      </c>
      <c r="L919" s="3" t="s">
        <v>6833</v>
      </c>
      <c r="M919" s="3" t="str">
        <f>HYPERLINK("http://ictvonline.org/taxonomyHistory.asp?taxnode_id=20151169","ICTVonline=20151169")</f>
        <v>ICTVonline=20151169</v>
      </c>
    </row>
    <row r="920" spans="1:13" x14ac:dyDescent="0.15">
      <c r="A920" s="1" t="s">
        <v>1035</v>
      </c>
      <c r="B920" s="1" t="s">
        <v>934</v>
      </c>
      <c r="D920" s="1" t="s">
        <v>4628</v>
      </c>
      <c r="E920" s="1" t="s">
        <v>4629</v>
      </c>
      <c r="F920" s="3">
        <v>1</v>
      </c>
      <c r="H920" s="24" t="s">
        <v>7995</v>
      </c>
      <c r="I920" s="24" t="s">
        <v>3254</v>
      </c>
      <c r="J920" s="24" t="s">
        <v>2919</v>
      </c>
      <c r="K920" s="3">
        <v>30</v>
      </c>
      <c r="L920" s="3" t="s">
        <v>6834</v>
      </c>
      <c r="M920" s="3" t="str">
        <f>HYPERLINK("http://ictvonline.org/taxonomyHistory.asp?taxnode_id=20151175","ICTVonline=20151175")</f>
        <v>ICTVonline=20151175</v>
      </c>
    </row>
    <row r="921" spans="1:13" x14ac:dyDescent="0.15">
      <c r="A921" s="1" t="s">
        <v>1035</v>
      </c>
      <c r="B921" s="1" t="s">
        <v>934</v>
      </c>
      <c r="D921" s="1" t="s">
        <v>4630</v>
      </c>
      <c r="E921" s="1" t="s">
        <v>4631</v>
      </c>
      <c r="F921" s="3">
        <v>1</v>
      </c>
      <c r="H921" s="24" t="s">
        <v>7996</v>
      </c>
      <c r="I921" s="24" t="s">
        <v>3254</v>
      </c>
      <c r="J921" s="24" t="s">
        <v>2919</v>
      </c>
      <c r="K921" s="3">
        <v>30</v>
      </c>
      <c r="L921" s="3" t="s">
        <v>6834</v>
      </c>
      <c r="M921" s="3" t="str">
        <f>HYPERLINK("http://ictvonline.org/taxonomyHistory.asp?taxnode_id=20151177","ICTVonline=20151177")</f>
        <v>ICTVonline=20151177</v>
      </c>
    </row>
    <row r="922" spans="1:13" x14ac:dyDescent="0.15">
      <c r="A922" s="1" t="s">
        <v>1035</v>
      </c>
      <c r="B922" s="1" t="s">
        <v>934</v>
      </c>
      <c r="D922" s="1" t="s">
        <v>4632</v>
      </c>
      <c r="E922" s="1" t="s">
        <v>4633</v>
      </c>
      <c r="F922" s="3">
        <v>1</v>
      </c>
      <c r="H922" s="24" t="s">
        <v>7997</v>
      </c>
      <c r="I922" s="24" t="s">
        <v>3254</v>
      </c>
      <c r="J922" s="24" t="s">
        <v>2919</v>
      </c>
      <c r="K922" s="3">
        <v>30</v>
      </c>
      <c r="L922" s="3" t="s">
        <v>6834</v>
      </c>
      <c r="M922" s="3" t="str">
        <f>HYPERLINK("http://ictvonline.org/taxonomyHistory.asp?taxnode_id=20151181","ICTVonline=20151181")</f>
        <v>ICTVonline=20151181</v>
      </c>
    </row>
    <row r="923" spans="1:13" x14ac:dyDescent="0.15">
      <c r="A923" s="1" t="s">
        <v>1035</v>
      </c>
      <c r="B923" s="1" t="s">
        <v>934</v>
      </c>
      <c r="D923" s="1" t="s">
        <v>4634</v>
      </c>
      <c r="E923" s="1" t="s">
        <v>4635</v>
      </c>
      <c r="F923" s="3">
        <v>1</v>
      </c>
      <c r="H923" s="24" t="s">
        <v>7998</v>
      </c>
      <c r="I923" s="24" t="s">
        <v>3254</v>
      </c>
      <c r="J923" s="24" t="s">
        <v>2919</v>
      </c>
      <c r="K923" s="3">
        <v>30</v>
      </c>
      <c r="L923" s="3" t="s">
        <v>6834</v>
      </c>
      <c r="M923" s="3" t="str">
        <f>HYPERLINK("http://ictvonline.org/taxonomyHistory.asp?taxnode_id=20151173","ICTVonline=20151173")</f>
        <v>ICTVonline=20151173</v>
      </c>
    </row>
    <row r="924" spans="1:13" x14ac:dyDescent="0.15">
      <c r="A924" s="1" t="s">
        <v>1035</v>
      </c>
      <c r="B924" s="1" t="s">
        <v>934</v>
      </c>
      <c r="D924" s="1" t="s">
        <v>4636</v>
      </c>
      <c r="E924" s="1" t="s">
        <v>4637</v>
      </c>
      <c r="F924" s="3">
        <v>1</v>
      </c>
      <c r="H924" s="24" t="s">
        <v>7999</v>
      </c>
      <c r="I924" s="24" t="s">
        <v>3254</v>
      </c>
      <c r="J924" s="24" t="s">
        <v>2919</v>
      </c>
      <c r="K924" s="3">
        <v>30</v>
      </c>
      <c r="L924" s="3" t="s">
        <v>6834</v>
      </c>
      <c r="M924" s="3" t="str">
        <f>HYPERLINK("http://ictvonline.org/taxonomyHistory.asp?taxnode_id=20151179","ICTVonline=20151179")</f>
        <v>ICTVonline=20151179</v>
      </c>
    </row>
    <row r="925" spans="1:13" x14ac:dyDescent="0.15">
      <c r="A925" s="1" t="s">
        <v>1527</v>
      </c>
      <c r="B925" s="1" t="s">
        <v>1528</v>
      </c>
      <c r="D925" s="1" t="s">
        <v>1529</v>
      </c>
      <c r="E925" s="1" t="s">
        <v>6702</v>
      </c>
      <c r="F925" s="3">
        <v>0</v>
      </c>
      <c r="G925" s="24" t="s">
        <v>7440</v>
      </c>
      <c r="H925" s="24" t="s">
        <v>6702</v>
      </c>
      <c r="I925" s="24" t="s">
        <v>3265</v>
      </c>
      <c r="J925" s="24" t="s">
        <v>2919</v>
      </c>
      <c r="K925" s="3">
        <v>30</v>
      </c>
      <c r="L925" s="3" t="s">
        <v>6835</v>
      </c>
      <c r="M925" s="3" t="str">
        <f>HYPERLINK("http://ictvonline.org/taxonomyHistory.asp?taxnode_id=20151196","ICTVonline=20151196")</f>
        <v>ICTVonline=20151196</v>
      </c>
    </row>
    <row r="926" spans="1:13" x14ac:dyDescent="0.15">
      <c r="A926" s="1" t="s">
        <v>1527</v>
      </c>
      <c r="B926" s="1" t="s">
        <v>1528</v>
      </c>
      <c r="D926" s="1" t="s">
        <v>1529</v>
      </c>
      <c r="E926" s="1" t="s">
        <v>1530</v>
      </c>
      <c r="F926" s="3">
        <v>1</v>
      </c>
      <c r="I926" s="24" t="s">
        <v>3265</v>
      </c>
      <c r="J926" s="24" t="s">
        <v>2920</v>
      </c>
      <c r="K926" s="3">
        <v>15</v>
      </c>
      <c r="L926" s="3" t="s">
        <v>2935</v>
      </c>
      <c r="M926" s="3" t="str">
        <f>HYPERLINK("http://ictvonline.org/taxonomyHistory.asp?taxnode_id=20151186","ICTVonline=20151186")</f>
        <v>ICTVonline=20151186</v>
      </c>
    </row>
    <row r="927" spans="1:13" x14ac:dyDescent="0.15">
      <c r="A927" s="1" t="s">
        <v>1527</v>
      </c>
      <c r="B927" s="1" t="s">
        <v>1528</v>
      </c>
      <c r="D927" s="1" t="s">
        <v>1529</v>
      </c>
      <c r="E927" s="1" t="s">
        <v>4638</v>
      </c>
      <c r="F927" s="3">
        <v>0</v>
      </c>
      <c r="G927" s="24" t="s">
        <v>7441</v>
      </c>
      <c r="H927" s="24" t="s">
        <v>4638</v>
      </c>
      <c r="I927" s="24" t="s">
        <v>3265</v>
      </c>
      <c r="J927" s="24" t="s">
        <v>2919</v>
      </c>
      <c r="K927" s="3">
        <v>30</v>
      </c>
      <c r="L927" s="3" t="s">
        <v>6835</v>
      </c>
      <c r="M927" s="3" t="str">
        <f>HYPERLINK("http://ictvonline.org/taxonomyHistory.asp?taxnode_id=20151197","ICTVonline=20151197")</f>
        <v>ICTVonline=20151197</v>
      </c>
    </row>
    <row r="928" spans="1:13" x14ac:dyDescent="0.15">
      <c r="A928" s="1" t="s">
        <v>1527</v>
      </c>
      <c r="B928" s="1" t="s">
        <v>1528</v>
      </c>
      <c r="D928" s="1" t="s">
        <v>1529</v>
      </c>
      <c r="E928" s="1" t="s">
        <v>4639</v>
      </c>
      <c r="F928" s="3">
        <v>0</v>
      </c>
      <c r="G928" s="24" t="s">
        <v>7442</v>
      </c>
      <c r="H928" s="24" t="s">
        <v>4639</v>
      </c>
      <c r="I928" s="24" t="s">
        <v>3265</v>
      </c>
      <c r="J928" s="24" t="s">
        <v>2919</v>
      </c>
      <c r="K928" s="3">
        <v>30</v>
      </c>
      <c r="L928" s="3" t="s">
        <v>6835</v>
      </c>
      <c r="M928" s="3" t="str">
        <f>HYPERLINK("http://ictvonline.org/taxonomyHistory.asp?taxnode_id=20151192","ICTVonline=20151192")</f>
        <v>ICTVonline=20151192</v>
      </c>
    </row>
    <row r="929" spans="1:13" x14ac:dyDescent="0.15">
      <c r="A929" s="1" t="s">
        <v>1527</v>
      </c>
      <c r="B929" s="1" t="s">
        <v>1528</v>
      </c>
      <c r="D929" s="1" t="s">
        <v>1529</v>
      </c>
      <c r="E929" s="1" t="s">
        <v>4640</v>
      </c>
      <c r="F929" s="3">
        <v>0</v>
      </c>
      <c r="G929" s="24" t="s">
        <v>7443</v>
      </c>
      <c r="H929" s="24" t="s">
        <v>4640</v>
      </c>
      <c r="I929" s="24" t="s">
        <v>3265</v>
      </c>
      <c r="J929" s="24" t="s">
        <v>2919</v>
      </c>
      <c r="K929" s="3">
        <v>30</v>
      </c>
      <c r="L929" s="3" t="s">
        <v>6835</v>
      </c>
      <c r="M929" s="3" t="str">
        <f>HYPERLINK("http://ictvonline.org/taxonomyHistory.asp?taxnode_id=20151193","ICTVonline=20151193")</f>
        <v>ICTVonline=20151193</v>
      </c>
    </row>
    <row r="930" spans="1:13" x14ac:dyDescent="0.15">
      <c r="A930" s="1" t="s">
        <v>1527</v>
      </c>
      <c r="B930" s="1" t="s">
        <v>1528</v>
      </c>
      <c r="D930" s="1" t="s">
        <v>1529</v>
      </c>
      <c r="E930" s="1" t="s">
        <v>4641</v>
      </c>
      <c r="F930" s="3">
        <v>0</v>
      </c>
      <c r="G930" s="24" t="s">
        <v>7444</v>
      </c>
      <c r="H930" s="24" t="s">
        <v>4641</v>
      </c>
      <c r="I930" s="24" t="s">
        <v>3265</v>
      </c>
      <c r="J930" s="24" t="s">
        <v>2919</v>
      </c>
      <c r="K930" s="3">
        <v>30</v>
      </c>
      <c r="L930" s="3" t="s">
        <v>6835</v>
      </c>
      <c r="M930" s="3" t="str">
        <f>HYPERLINK("http://ictvonline.org/taxonomyHistory.asp?taxnode_id=20151191","ICTVonline=20151191")</f>
        <v>ICTVonline=20151191</v>
      </c>
    </row>
    <row r="931" spans="1:13" x14ac:dyDescent="0.15">
      <c r="A931" s="1" t="s">
        <v>1527</v>
      </c>
      <c r="B931" s="1" t="s">
        <v>1528</v>
      </c>
      <c r="D931" s="1" t="s">
        <v>1529</v>
      </c>
      <c r="E931" s="1" t="s">
        <v>1531</v>
      </c>
      <c r="F931" s="3">
        <v>0</v>
      </c>
      <c r="I931" s="24" t="s">
        <v>3265</v>
      </c>
      <c r="J931" s="24" t="s">
        <v>2920</v>
      </c>
      <c r="K931" s="3">
        <v>15</v>
      </c>
      <c r="L931" s="3" t="s">
        <v>2935</v>
      </c>
      <c r="M931" s="3" t="str">
        <f>HYPERLINK("http://ictvonline.org/taxonomyHistory.asp?taxnode_id=20151187","ICTVonline=20151187")</f>
        <v>ICTVonline=20151187</v>
      </c>
    </row>
    <row r="932" spans="1:13" x14ac:dyDescent="0.15">
      <c r="A932" s="1" t="s">
        <v>1527</v>
      </c>
      <c r="B932" s="1" t="s">
        <v>1528</v>
      </c>
      <c r="D932" s="1" t="s">
        <v>1529</v>
      </c>
      <c r="E932" s="1" t="s">
        <v>4642</v>
      </c>
      <c r="F932" s="3">
        <v>0</v>
      </c>
      <c r="G932" s="24" t="s">
        <v>7445</v>
      </c>
      <c r="H932" s="24" t="s">
        <v>4642</v>
      </c>
      <c r="I932" s="24" t="s">
        <v>3265</v>
      </c>
      <c r="J932" s="24" t="s">
        <v>2919</v>
      </c>
      <c r="K932" s="3">
        <v>30</v>
      </c>
      <c r="L932" s="3" t="s">
        <v>6835</v>
      </c>
      <c r="M932" s="3" t="str">
        <f>HYPERLINK("http://ictvonline.org/taxonomyHistory.asp?taxnode_id=20151194","ICTVonline=20151194")</f>
        <v>ICTVonline=20151194</v>
      </c>
    </row>
    <row r="933" spans="1:13" x14ac:dyDescent="0.15">
      <c r="A933" s="1" t="s">
        <v>1527</v>
      </c>
      <c r="B933" s="1" t="s">
        <v>1528</v>
      </c>
      <c r="D933" s="1" t="s">
        <v>1529</v>
      </c>
      <c r="E933" s="1" t="s">
        <v>4643</v>
      </c>
      <c r="F933" s="3">
        <v>0</v>
      </c>
      <c r="G933" s="24" t="s">
        <v>7446</v>
      </c>
      <c r="H933" s="24" t="s">
        <v>4643</v>
      </c>
      <c r="I933" s="24" t="s">
        <v>3265</v>
      </c>
      <c r="J933" s="24" t="s">
        <v>2919</v>
      </c>
      <c r="K933" s="3">
        <v>30</v>
      </c>
      <c r="L933" s="3" t="s">
        <v>6835</v>
      </c>
      <c r="M933" s="3" t="str">
        <f>HYPERLINK("http://ictvonline.org/taxonomyHistory.asp?taxnode_id=20151198","ICTVonline=20151198")</f>
        <v>ICTVonline=20151198</v>
      </c>
    </row>
    <row r="934" spans="1:13" x14ac:dyDescent="0.15">
      <c r="A934" s="1" t="s">
        <v>1527</v>
      </c>
      <c r="B934" s="1" t="s">
        <v>1528</v>
      </c>
      <c r="D934" s="1" t="s">
        <v>1529</v>
      </c>
      <c r="E934" s="1" t="s">
        <v>4644</v>
      </c>
      <c r="F934" s="3">
        <v>0</v>
      </c>
      <c r="I934" s="24" t="s">
        <v>3265</v>
      </c>
      <c r="J934" s="24" t="s">
        <v>2924</v>
      </c>
      <c r="K934" s="3">
        <v>30</v>
      </c>
      <c r="L934" s="3" t="s">
        <v>6835</v>
      </c>
      <c r="M934" s="3" t="str">
        <f>HYPERLINK("http://ictvonline.org/taxonomyHistory.asp?taxnode_id=20151188","ICTVonline=20151188")</f>
        <v>ICTVonline=20151188</v>
      </c>
    </row>
    <row r="935" spans="1:13" x14ac:dyDescent="0.15">
      <c r="A935" s="1" t="s">
        <v>1527</v>
      </c>
      <c r="B935" s="1" t="s">
        <v>1528</v>
      </c>
      <c r="D935" s="1" t="s">
        <v>1529</v>
      </c>
      <c r="E935" s="1" t="s">
        <v>4645</v>
      </c>
      <c r="F935" s="3">
        <v>0</v>
      </c>
      <c r="G935" s="24" t="s">
        <v>7447</v>
      </c>
      <c r="H935" s="24" t="s">
        <v>4646</v>
      </c>
      <c r="I935" s="24" t="s">
        <v>3265</v>
      </c>
      <c r="J935" s="24" t="s">
        <v>2919</v>
      </c>
      <c r="K935" s="3">
        <v>30</v>
      </c>
      <c r="L935" s="3" t="s">
        <v>6835</v>
      </c>
      <c r="M935" s="3" t="str">
        <f>HYPERLINK("http://ictvonline.org/taxonomyHistory.asp?taxnode_id=20151190","ICTVonline=20151190")</f>
        <v>ICTVonline=20151190</v>
      </c>
    </row>
    <row r="936" spans="1:13" x14ac:dyDescent="0.15">
      <c r="A936" s="1" t="s">
        <v>1527</v>
      </c>
      <c r="B936" s="1" t="s">
        <v>1528</v>
      </c>
      <c r="D936" s="1" t="s">
        <v>1529</v>
      </c>
      <c r="E936" s="1" t="s">
        <v>4647</v>
      </c>
      <c r="F936" s="3">
        <v>0</v>
      </c>
      <c r="G936" s="24" t="s">
        <v>7448</v>
      </c>
      <c r="H936" s="24" t="s">
        <v>4647</v>
      </c>
      <c r="I936" s="24" t="s">
        <v>3265</v>
      </c>
      <c r="J936" s="24" t="s">
        <v>2919</v>
      </c>
      <c r="K936" s="3">
        <v>30</v>
      </c>
      <c r="L936" s="3" t="s">
        <v>6835</v>
      </c>
      <c r="M936" s="3" t="str">
        <f>HYPERLINK("http://ictvonline.org/taxonomyHistory.asp?taxnode_id=20151195","ICTVonline=20151195")</f>
        <v>ICTVonline=20151195</v>
      </c>
    </row>
    <row r="937" spans="1:13" x14ac:dyDescent="0.15">
      <c r="A937" s="1" t="s">
        <v>1527</v>
      </c>
      <c r="B937" s="1" t="s">
        <v>1528</v>
      </c>
      <c r="D937" s="1" t="s">
        <v>1529</v>
      </c>
      <c r="E937" s="1" t="s">
        <v>1453</v>
      </c>
      <c r="F937" s="3">
        <v>0</v>
      </c>
      <c r="I937" s="24" t="s">
        <v>3265</v>
      </c>
      <c r="J937" s="24" t="s">
        <v>2920</v>
      </c>
      <c r="K937" s="3">
        <v>15</v>
      </c>
      <c r="L937" s="3" t="s">
        <v>2935</v>
      </c>
      <c r="M937" s="3" t="str">
        <f>HYPERLINK("http://ictvonline.org/taxonomyHistory.asp?taxnode_id=20151189","ICTVonline=20151189")</f>
        <v>ICTVonline=20151189</v>
      </c>
    </row>
    <row r="938" spans="1:13" x14ac:dyDescent="0.15">
      <c r="A938" s="1" t="s">
        <v>1527</v>
      </c>
      <c r="B938" s="1" t="s">
        <v>1528</v>
      </c>
      <c r="D938" s="1" t="s">
        <v>934</v>
      </c>
      <c r="E938" s="1" t="s">
        <v>4648</v>
      </c>
      <c r="F938" s="3">
        <v>0</v>
      </c>
      <c r="G938" s="24" t="s">
        <v>7449</v>
      </c>
      <c r="H938" s="24" t="s">
        <v>4648</v>
      </c>
      <c r="I938" s="24" t="s">
        <v>3265</v>
      </c>
      <c r="J938" s="24" t="s">
        <v>2919</v>
      </c>
      <c r="K938" s="3">
        <v>30</v>
      </c>
      <c r="L938" s="3" t="s">
        <v>6835</v>
      </c>
      <c r="M938" s="3" t="str">
        <f>HYPERLINK("http://ictvonline.org/taxonomyHistory.asp?taxnode_id=20151200","ICTVonline=20151200")</f>
        <v>ICTVonline=20151200</v>
      </c>
    </row>
    <row r="939" spans="1:13" x14ac:dyDescent="0.15">
      <c r="A939" s="1" t="s">
        <v>1527</v>
      </c>
      <c r="B939" s="1" t="s">
        <v>1454</v>
      </c>
      <c r="C939" s="1" t="s">
        <v>1967</v>
      </c>
      <c r="D939" s="1" t="s">
        <v>1968</v>
      </c>
      <c r="E939" s="1" t="s">
        <v>1969</v>
      </c>
      <c r="F939" s="3">
        <v>1</v>
      </c>
      <c r="I939" s="24" t="s">
        <v>3265</v>
      </c>
      <c r="J939" s="24" t="s">
        <v>2936</v>
      </c>
      <c r="K939" s="3">
        <v>25</v>
      </c>
      <c r="L939" s="3" t="s">
        <v>6836</v>
      </c>
      <c r="M939" s="3" t="str">
        <f>HYPERLINK("http://ictvonline.org/taxonomyHistory.asp?taxnode_id=20151204","ICTVonline=20151204")</f>
        <v>ICTVonline=20151204</v>
      </c>
    </row>
    <row r="940" spans="1:13" x14ac:dyDescent="0.15">
      <c r="A940" s="1" t="s">
        <v>1527</v>
      </c>
      <c r="B940" s="1" t="s">
        <v>1454</v>
      </c>
      <c r="C940" s="1" t="s">
        <v>1967</v>
      </c>
      <c r="D940" s="1" t="s">
        <v>1968</v>
      </c>
      <c r="E940" s="1" t="s">
        <v>4649</v>
      </c>
      <c r="F940" s="3">
        <v>0</v>
      </c>
      <c r="G940" s="24" t="s">
        <v>7450</v>
      </c>
      <c r="H940" s="24" t="s">
        <v>4650</v>
      </c>
      <c r="I940" s="24" t="s">
        <v>3265</v>
      </c>
      <c r="J940" s="24" t="s">
        <v>2919</v>
      </c>
      <c r="K940" s="3">
        <v>30</v>
      </c>
      <c r="L940" s="3" t="s">
        <v>6837</v>
      </c>
      <c r="M940" s="3" t="str">
        <f>HYPERLINK("http://ictvonline.org/taxonomyHistory.asp?taxnode_id=20151213","ICTVonline=20151213")</f>
        <v>ICTVonline=20151213</v>
      </c>
    </row>
    <row r="941" spans="1:13" x14ac:dyDescent="0.15">
      <c r="A941" s="1" t="s">
        <v>1527</v>
      </c>
      <c r="B941" s="1" t="s">
        <v>1454</v>
      </c>
      <c r="C941" s="1" t="s">
        <v>1967</v>
      </c>
      <c r="D941" s="1" t="s">
        <v>1968</v>
      </c>
      <c r="E941" s="1" t="s">
        <v>4651</v>
      </c>
      <c r="F941" s="3">
        <v>0</v>
      </c>
      <c r="G941" s="24" t="s">
        <v>7451</v>
      </c>
      <c r="H941" s="24" t="s">
        <v>4652</v>
      </c>
      <c r="I941" s="24" t="s">
        <v>3265</v>
      </c>
      <c r="J941" s="24" t="s">
        <v>2919</v>
      </c>
      <c r="K941" s="3">
        <v>30</v>
      </c>
      <c r="L941" s="3" t="s">
        <v>6837</v>
      </c>
      <c r="M941" s="3" t="str">
        <f>HYPERLINK("http://ictvonline.org/taxonomyHistory.asp?taxnode_id=20151212","ICTVonline=20151212")</f>
        <v>ICTVonline=20151212</v>
      </c>
    </row>
    <row r="942" spans="1:13" x14ac:dyDescent="0.15">
      <c r="A942" s="1" t="s">
        <v>1527</v>
      </c>
      <c r="B942" s="1" t="s">
        <v>1454</v>
      </c>
      <c r="C942" s="1" t="s">
        <v>1967</v>
      </c>
      <c r="D942" s="1" t="s">
        <v>1968</v>
      </c>
      <c r="E942" s="1" t="s">
        <v>1455</v>
      </c>
      <c r="F942" s="3">
        <v>0</v>
      </c>
      <c r="I942" s="24" t="s">
        <v>3265</v>
      </c>
      <c r="J942" s="24" t="s">
        <v>2920</v>
      </c>
      <c r="K942" s="3">
        <v>25</v>
      </c>
      <c r="L942" s="3" t="s">
        <v>6836</v>
      </c>
      <c r="M942" s="3" t="str">
        <f>HYPERLINK("http://ictvonline.org/taxonomyHistory.asp?taxnode_id=20151205","ICTVonline=20151205")</f>
        <v>ICTVonline=20151205</v>
      </c>
    </row>
    <row r="943" spans="1:13" x14ac:dyDescent="0.15">
      <c r="A943" s="1" t="s">
        <v>1527</v>
      </c>
      <c r="B943" s="1" t="s">
        <v>1454</v>
      </c>
      <c r="C943" s="1" t="s">
        <v>1967</v>
      </c>
      <c r="D943" s="1" t="s">
        <v>1968</v>
      </c>
      <c r="E943" s="1" t="s">
        <v>1103</v>
      </c>
      <c r="F943" s="3">
        <v>0</v>
      </c>
      <c r="I943" s="24" t="s">
        <v>3265</v>
      </c>
      <c r="J943" s="24" t="s">
        <v>2920</v>
      </c>
      <c r="K943" s="3">
        <v>25</v>
      </c>
      <c r="L943" s="3" t="s">
        <v>6836</v>
      </c>
      <c r="M943" s="3" t="str">
        <f>HYPERLINK("http://ictvonline.org/taxonomyHistory.asp?taxnode_id=20151206","ICTVonline=20151206")</f>
        <v>ICTVonline=20151206</v>
      </c>
    </row>
    <row r="944" spans="1:13" x14ac:dyDescent="0.15">
      <c r="A944" s="1" t="s">
        <v>1527</v>
      </c>
      <c r="B944" s="1" t="s">
        <v>1454</v>
      </c>
      <c r="C944" s="1" t="s">
        <v>1967</v>
      </c>
      <c r="D944" s="1" t="s">
        <v>1968</v>
      </c>
      <c r="E944" s="1" t="s">
        <v>584</v>
      </c>
      <c r="F944" s="3">
        <v>0</v>
      </c>
      <c r="I944" s="24" t="s">
        <v>3265</v>
      </c>
      <c r="J944" s="24" t="s">
        <v>2919</v>
      </c>
      <c r="K944" s="3">
        <v>25</v>
      </c>
      <c r="L944" s="3" t="s">
        <v>6836</v>
      </c>
      <c r="M944" s="3" t="str">
        <f>HYPERLINK("http://ictvonline.org/taxonomyHistory.asp?taxnode_id=20151207","ICTVonline=20151207")</f>
        <v>ICTVonline=20151207</v>
      </c>
    </row>
    <row r="945" spans="1:13" x14ac:dyDescent="0.15">
      <c r="A945" s="1" t="s">
        <v>1527</v>
      </c>
      <c r="B945" s="1" t="s">
        <v>1454</v>
      </c>
      <c r="C945" s="1" t="s">
        <v>1967</v>
      </c>
      <c r="D945" s="1" t="s">
        <v>1968</v>
      </c>
      <c r="E945" s="1" t="s">
        <v>585</v>
      </c>
      <c r="F945" s="3">
        <v>0</v>
      </c>
      <c r="I945" s="24" t="s">
        <v>3265</v>
      </c>
      <c r="J945" s="24" t="s">
        <v>2919</v>
      </c>
      <c r="K945" s="3">
        <v>25</v>
      </c>
      <c r="L945" s="3" t="s">
        <v>6836</v>
      </c>
      <c r="M945" s="3" t="str">
        <f>HYPERLINK("http://ictvonline.org/taxonomyHistory.asp?taxnode_id=20151208","ICTVonline=20151208")</f>
        <v>ICTVonline=20151208</v>
      </c>
    </row>
    <row r="946" spans="1:13" x14ac:dyDescent="0.15">
      <c r="A946" s="1" t="s">
        <v>1527</v>
      </c>
      <c r="B946" s="1" t="s">
        <v>1454</v>
      </c>
      <c r="C946" s="1" t="s">
        <v>1967</v>
      </c>
      <c r="D946" s="1" t="s">
        <v>1968</v>
      </c>
      <c r="E946" s="1" t="s">
        <v>4653</v>
      </c>
      <c r="F946" s="3">
        <v>0</v>
      </c>
      <c r="G946" s="24" t="s">
        <v>7452</v>
      </c>
      <c r="H946" s="24" t="s">
        <v>4654</v>
      </c>
      <c r="I946" s="24" t="s">
        <v>3265</v>
      </c>
      <c r="J946" s="24" t="s">
        <v>2919</v>
      </c>
      <c r="K946" s="3">
        <v>30</v>
      </c>
      <c r="L946" s="3" t="s">
        <v>6837</v>
      </c>
      <c r="M946" s="3" t="str">
        <f>HYPERLINK("http://ictvonline.org/taxonomyHistory.asp?taxnode_id=20151214","ICTVonline=20151214")</f>
        <v>ICTVonline=20151214</v>
      </c>
    </row>
    <row r="947" spans="1:13" x14ac:dyDescent="0.15">
      <c r="A947" s="1" t="s">
        <v>1527</v>
      </c>
      <c r="B947" s="1" t="s">
        <v>1454</v>
      </c>
      <c r="C947" s="1" t="s">
        <v>1967</v>
      </c>
      <c r="D947" s="1" t="s">
        <v>1968</v>
      </c>
      <c r="E947" s="1" t="s">
        <v>1104</v>
      </c>
      <c r="F947" s="3">
        <v>0</v>
      </c>
      <c r="I947" s="24" t="s">
        <v>3265</v>
      </c>
      <c r="J947" s="24" t="s">
        <v>2920</v>
      </c>
      <c r="K947" s="3">
        <v>25</v>
      </c>
      <c r="L947" s="3" t="s">
        <v>6836</v>
      </c>
      <c r="M947" s="3" t="str">
        <f>HYPERLINK("http://ictvonline.org/taxonomyHistory.asp?taxnode_id=20151209","ICTVonline=20151209")</f>
        <v>ICTVonline=20151209</v>
      </c>
    </row>
    <row r="948" spans="1:13" x14ac:dyDescent="0.15">
      <c r="A948" s="1" t="s">
        <v>1527</v>
      </c>
      <c r="B948" s="1" t="s">
        <v>1454</v>
      </c>
      <c r="C948" s="1" t="s">
        <v>1967</v>
      </c>
      <c r="D948" s="1" t="s">
        <v>1968</v>
      </c>
      <c r="E948" s="1" t="s">
        <v>586</v>
      </c>
      <c r="F948" s="3">
        <v>0</v>
      </c>
      <c r="I948" s="24" t="s">
        <v>3265</v>
      </c>
      <c r="J948" s="24" t="s">
        <v>2919</v>
      </c>
      <c r="K948" s="3">
        <v>25</v>
      </c>
      <c r="L948" s="3" t="s">
        <v>6836</v>
      </c>
      <c r="M948" s="3" t="str">
        <f>HYPERLINK("http://ictvonline.org/taxonomyHistory.asp?taxnode_id=20151210","ICTVonline=20151210")</f>
        <v>ICTVonline=20151210</v>
      </c>
    </row>
    <row r="949" spans="1:13" x14ac:dyDescent="0.15">
      <c r="A949" s="1" t="s">
        <v>1527</v>
      </c>
      <c r="B949" s="1" t="s">
        <v>1454</v>
      </c>
      <c r="C949" s="1" t="s">
        <v>1967</v>
      </c>
      <c r="D949" s="1" t="s">
        <v>1968</v>
      </c>
      <c r="E949" s="1" t="s">
        <v>587</v>
      </c>
      <c r="F949" s="3">
        <v>0</v>
      </c>
      <c r="I949" s="24" t="s">
        <v>3265</v>
      </c>
      <c r="J949" s="24" t="s">
        <v>2919</v>
      </c>
      <c r="K949" s="3">
        <v>25</v>
      </c>
      <c r="L949" s="3" t="s">
        <v>6836</v>
      </c>
      <c r="M949" s="3" t="str">
        <f>HYPERLINK("http://ictvonline.org/taxonomyHistory.asp?taxnode_id=20151211","ICTVonline=20151211")</f>
        <v>ICTVonline=20151211</v>
      </c>
    </row>
    <row r="950" spans="1:13" x14ac:dyDescent="0.15">
      <c r="A950" s="1" t="s">
        <v>1527</v>
      </c>
      <c r="B950" s="1" t="s">
        <v>1454</v>
      </c>
      <c r="C950" s="1" t="s">
        <v>1967</v>
      </c>
      <c r="D950" s="1" t="s">
        <v>478</v>
      </c>
      <c r="E950" s="1" t="s">
        <v>480</v>
      </c>
      <c r="F950" s="3">
        <v>0</v>
      </c>
      <c r="I950" s="24" t="s">
        <v>3265</v>
      </c>
      <c r="J950" s="24" t="s">
        <v>2920</v>
      </c>
      <c r="K950" s="3">
        <v>25</v>
      </c>
      <c r="L950" s="3" t="s">
        <v>6836</v>
      </c>
      <c r="M950" s="3" t="str">
        <f>HYPERLINK("http://ictvonline.org/taxonomyHistory.asp?taxnode_id=20151216","ICTVonline=20151216")</f>
        <v>ICTVonline=20151216</v>
      </c>
    </row>
    <row r="951" spans="1:13" x14ac:dyDescent="0.15">
      <c r="A951" s="1" t="s">
        <v>1527</v>
      </c>
      <c r="B951" s="1" t="s">
        <v>1454</v>
      </c>
      <c r="C951" s="1" t="s">
        <v>1967</v>
      </c>
      <c r="D951" s="1" t="s">
        <v>478</v>
      </c>
      <c r="E951" s="1" t="s">
        <v>4655</v>
      </c>
      <c r="F951" s="3">
        <v>0</v>
      </c>
      <c r="G951" s="24" t="s">
        <v>7453</v>
      </c>
      <c r="H951" s="24" t="s">
        <v>4656</v>
      </c>
      <c r="I951" s="24" t="s">
        <v>3265</v>
      </c>
      <c r="J951" s="24" t="s">
        <v>2919</v>
      </c>
      <c r="K951" s="3">
        <v>30</v>
      </c>
      <c r="L951" s="3" t="s">
        <v>6837</v>
      </c>
      <c r="M951" s="3" t="str">
        <f>HYPERLINK("http://ictvonline.org/taxonomyHistory.asp?taxnode_id=20151224","ICTVonline=20151224")</f>
        <v>ICTVonline=20151224</v>
      </c>
    </row>
    <row r="952" spans="1:13" x14ac:dyDescent="0.15">
      <c r="A952" s="1" t="s">
        <v>1527</v>
      </c>
      <c r="B952" s="1" t="s">
        <v>1454</v>
      </c>
      <c r="C952" s="1" t="s">
        <v>1967</v>
      </c>
      <c r="D952" s="1" t="s">
        <v>478</v>
      </c>
      <c r="E952" s="1" t="s">
        <v>1468</v>
      </c>
      <c r="F952" s="3">
        <v>0</v>
      </c>
      <c r="I952" s="24" t="s">
        <v>3265</v>
      </c>
      <c r="J952" s="24" t="s">
        <v>2920</v>
      </c>
      <c r="K952" s="3">
        <v>25</v>
      </c>
      <c r="L952" s="3" t="s">
        <v>6836</v>
      </c>
      <c r="M952" s="3" t="str">
        <f>HYPERLINK("http://ictvonline.org/taxonomyHistory.asp?taxnode_id=20151217","ICTVonline=20151217")</f>
        <v>ICTVonline=20151217</v>
      </c>
    </row>
    <row r="953" spans="1:13" x14ac:dyDescent="0.15">
      <c r="A953" s="1" t="s">
        <v>1527</v>
      </c>
      <c r="B953" s="1" t="s">
        <v>1454</v>
      </c>
      <c r="C953" s="1" t="s">
        <v>1967</v>
      </c>
      <c r="D953" s="1" t="s">
        <v>478</v>
      </c>
      <c r="E953" s="1" t="s">
        <v>4657</v>
      </c>
      <c r="F953" s="3">
        <v>0</v>
      </c>
      <c r="G953" s="24" t="s">
        <v>7454</v>
      </c>
      <c r="H953" s="24" t="s">
        <v>4658</v>
      </c>
      <c r="I953" s="24" t="s">
        <v>3265</v>
      </c>
      <c r="J953" s="24" t="s">
        <v>2919</v>
      </c>
      <c r="K953" s="3">
        <v>30</v>
      </c>
      <c r="L953" s="3" t="s">
        <v>6837</v>
      </c>
      <c r="M953" s="3" t="str">
        <f>HYPERLINK("http://ictvonline.org/taxonomyHistory.asp?taxnode_id=20151223","ICTVonline=20151223")</f>
        <v>ICTVonline=20151223</v>
      </c>
    </row>
    <row r="954" spans="1:13" x14ac:dyDescent="0.15">
      <c r="A954" s="1" t="s">
        <v>1527</v>
      </c>
      <c r="B954" s="1" t="s">
        <v>1454</v>
      </c>
      <c r="C954" s="1" t="s">
        <v>1967</v>
      </c>
      <c r="D954" s="1" t="s">
        <v>478</v>
      </c>
      <c r="E954" s="1" t="s">
        <v>479</v>
      </c>
      <c r="F954" s="3">
        <v>1</v>
      </c>
      <c r="I954" s="24" t="s">
        <v>3265</v>
      </c>
      <c r="J954" s="24" t="s">
        <v>2936</v>
      </c>
      <c r="K954" s="3">
        <v>25</v>
      </c>
      <c r="L954" s="3" t="s">
        <v>6836</v>
      </c>
      <c r="M954" s="3" t="str">
        <f>HYPERLINK("http://ictvonline.org/taxonomyHistory.asp?taxnode_id=20151218","ICTVonline=20151218")</f>
        <v>ICTVonline=20151218</v>
      </c>
    </row>
    <row r="955" spans="1:13" x14ac:dyDescent="0.15">
      <c r="A955" s="1" t="s">
        <v>1527</v>
      </c>
      <c r="B955" s="1" t="s">
        <v>1454</v>
      </c>
      <c r="C955" s="1" t="s">
        <v>1967</v>
      </c>
      <c r="D955" s="1" t="s">
        <v>478</v>
      </c>
      <c r="E955" s="1" t="s">
        <v>588</v>
      </c>
      <c r="F955" s="3">
        <v>0</v>
      </c>
      <c r="I955" s="24" t="s">
        <v>3265</v>
      </c>
      <c r="J955" s="24" t="s">
        <v>2919</v>
      </c>
      <c r="K955" s="3">
        <v>25</v>
      </c>
      <c r="L955" s="3" t="s">
        <v>6836</v>
      </c>
      <c r="M955" s="3" t="str">
        <f>HYPERLINK("http://ictvonline.org/taxonomyHistory.asp?taxnode_id=20151219","ICTVonline=20151219")</f>
        <v>ICTVonline=20151219</v>
      </c>
    </row>
    <row r="956" spans="1:13" x14ac:dyDescent="0.15">
      <c r="A956" s="1" t="s">
        <v>1527</v>
      </c>
      <c r="B956" s="1" t="s">
        <v>1454</v>
      </c>
      <c r="C956" s="1" t="s">
        <v>1967</v>
      </c>
      <c r="D956" s="1" t="s">
        <v>478</v>
      </c>
      <c r="E956" s="1" t="s">
        <v>589</v>
      </c>
      <c r="F956" s="3">
        <v>0</v>
      </c>
      <c r="I956" s="24" t="s">
        <v>3265</v>
      </c>
      <c r="J956" s="24" t="s">
        <v>2919</v>
      </c>
      <c r="K956" s="3">
        <v>25</v>
      </c>
      <c r="L956" s="3" t="s">
        <v>6836</v>
      </c>
      <c r="M956" s="3" t="str">
        <f>HYPERLINK("http://ictvonline.org/taxonomyHistory.asp?taxnode_id=20151220","ICTVonline=20151220")</f>
        <v>ICTVonline=20151220</v>
      </c>
    </row>
    <row r="957" spans="1:13" x14ac:dyDescent="0.15">
      <c r="A957" s="1" t="s">
        <v>1527</v>
      </c>
      <c r="B957" s="1" t="s">
        <v>1454</v>
      </c>
      <c r="C957" s="1" t="s">
        <v>1967</v>
      </c>
      <c r="D957" s="1" t="s">
        <v>478</v>
      </c>
      <c r="E957" s="1" t="s">
        <v>1434</v>
      </c>
      <c r="F957" s="3">
        <v>0</v>
      </c>
      <c r="I957" s="24" t="s">
        <v>3265</v>
      </c>
      <c r="J957" s="24" t="s">
        <v>2923</v>
      </c>
      <c r="K957" s="3">
        <v>25</v>
      </c>
      <c r="L957" s="3" t="s">
        <v>6836</v>
      </c>
      <c r="M957" s="3" t="str">
        <f>HYPERLINK("http://ictvonline.org/taxonomyHistory.asp?taxnode_id=20151221","ICTVonline=20151221")</f>
        <v>ICTVonline=20151221</v>
      </c>
    </row>
    <row r="958" spans="1:13" x14ac:dyDescent="0.15">
      <c r="A958" s="1" t="s">
        <v>1527</v>
      </c>
      <c r="B958" s="1" t="s">
        <v>1454</v>
      </c>
      <c r="C958" s="1" t="s">
        <v>1967</v>
      </c>
      <c r="D958" s="1" t="s">
        <v>478</v>
      </c>
      <c r="E958" s="1" t="s">
        <v>590</v>
      </c>
      <c r="F958" s="3">
        <v>0</v>
      </c>
      <c r="I958" s="24" t="s">
        <v>3265</v>
      </c>
      <c r="J958" s="24" t="s">
        <v>2919</v>
      </c>
      <c r="K958" s="3">
        <v>25</v>
      </c>
      <c r="L958" s="3" t="s">
        <v>6836</v>
      </c>
      <c r="M958" s="3" t="str">
        <f>HYPERLINK("http://ictvonline.org/taxonomyHistory.asp?taxnode_id=20151222","ICTVonline=20151222")</f>
        <v>ICTVonline=20151222</v>
      </c>
    </row>
    <row r="959" spans="1:13" x14ac:dyDescent="0.15">
      <c r="A959" s="1" t="s">
        <v>1527</v>
      </c>
      <c r="B959" s="1" t="s">
        <v>1454</v>
      </c>
      <c r="C959" s="1" t="s">
        <v>1967</v>
      </c>
      <c r="D959" s="1" t="s">
        <v>0</v>
      </c>
      <c r="E959" s="1" t="s">
        <v>1</v>
      </c>
      <c r="F959" s="3">
        <v>1</v>
      </c>
      <c r="I959" s="24" t="s">
        <v>3265</v>
      </c>
      <c r="J959" s="24" t="s">
        <v>2921</v>
      </c>
      <c r="K959" s="3">
        <v>26</v>
      </c>
      <c r="L959" s="3" t="s">
        <v>6838</v>
      </c>
      <c r="M959" s="3" t="str">
        <f>HYPERLINK("http://ictvonline.org/taxonomyHistory.asp?taxnode_id=20151226","ICTVonline=20151226")</f>
        <v>ICTVonline=20151226</v>
      </c>
    </row>
    <row r="960" spans="1:13" x14ac:dyDescent="0.15">
      <c r="A960" s="1" t="s">
        <v>1527</v>
      </c>
      <c r="B960" s="1" t="s">
        <v>1454</v>
      </c>
      <c r="C960" s="1" t="s">
        <v>1967</v>
      </c>
      <c r="D960" s="1" t="s">
        <v>0</v>
      </c>
      <c r="E960" s="1" t="s">
        <v>4659</v>
      </c>
      <c r="F960" s="3">
        <v>0</v>
      </c>
      <c r="G960" s="24" t="s">
        <v>7455</v>
      </c>
      <c r="H960" s="24" t="s">
        <v>4659</v>
      </c>
      <c r="I960" s="24" t="s">
        <v>3265</v>
      </c>
      <c r="J960" s="24" t="s">
        <v>2919</v>
      </c>
      <c r="K960" s="3">
        <v>30</v>
      </c>
      <c r="L960" s="3" t="s">
        <v>6837</v>
      </c>
      <c r="M960" s="3" t="str">
        <f>HYPERLINK("http://ictvonline.org/taxonomyHistory.asp?taxnode_id=20151233","ICTVonline=20151233")</f>
        <v>ICTVonline=20151233</v>
      </c>
    </row>
    <row r="961" spans="1:13" x14ac:dyDescent="0.15">
      <c r="A961" s="1" t="s">
        <v>1527</v>
      </c>
      <c r="B961" s="1" t="s">
        <v>1454</v>
      </c>
      <c r="C961" s="1" t="s">
        <v>1967</v>
      </c>
      <c r="D961" s="1" t="s">
        <v>0</v>
      </c>
      <c r="E961" s="1" t="s">
        <v>4660</v>
      </c>
      <c r="F961" s="3">
        <v>0</v>
      </c>
      <c r="G961" s="24" t="s">
        <v>7456</v>
      </c>
      <c r="H961" s="24" t="s">
        <v>4661</v>
      </c>
      <c r="I961" s="24" t="s">
        <v>3265</v>
      </c>
      <c r="J961" s="24" t="s">
        <v>2919</v>
      </c>
      <c r="K961" s="3">
        <v>30</v>
      </c>
      <c r="L961" s="3" t="s">
        <v>6837</v>
      </c>
      <c r="M961" s="3" t="str">
        <f>HYPERLINK("http://ictvonline.org/taxonomyHistory.asp?taxnode_id=20151229","ICTVonline=20151229")</f>
        <v>ICTVonline=20151229</v>
      </c>
    </row>
    <row r="962" spans="1:13" x14ac:dyDescent="0.15">
      <c r="A962" s="1" t="s">
        <v>1527</v>
      </c>
      <c r="B962" s="1" t="s">
        <v>1454</v>
      </c>
      <c r="C962" s="1" t="s">
        <v>1967</v>
      </c>
      <c r="D962" s="1" t="s">
        <v>0</v>
      </c>
      <c r="E962" s="1" t="s">
        <v>579</v>
      </c>
      <c r="F962" s="3">
        <v>0</v>
      </c>
      <c r="I962" s="24" t="s">
        <v>3265</v>
      </c>
      <c r="J962" s="24" t="s">
        <v>2919</v>
      </c>
      <c r="K962" s="3">
        <v>26</v>
      </c>
      <c r="L962" s="3" t="s">
        <v>6838</v>
      </c>
      <c r="M962" s="3" t="str">
        <f>HYPERLINK("http://ictvonline.org/taxonomyHistory.asp?taxnode_id=20151227","ICTVonline=20151227")</f>
        <v>ICTVonline=20151227</v>
      </c>
    </row>
    <row r="963" spans="1:13" x14ac:dyDescent="0.15">
      <c r="A963" s="1" t="s">
        <v>1527</v>
      </c>
      <c r="B963" s="1" t="s">
        <v>1454</v>
      </c>
      <c r="C963" s="1" t="s">
        <v>1967</v>
      </c>
      <c r="D963" s="1" t="s">
        <v>0</v>
      </c>
      <c r="E963" s="1" t="s">
        <v>4662</v>
      </c>
      <c r="F963" s="3">
        <v>0</v>
      </c>
      <c r="G963" s="24" t="s">
        <v>7457</v>
      </c>
      <c r="H963" s="24" t="s">
        <v>4662</v>
      </c>
      <c r="I963" s="24" t="s">
        <v>3265</v>
      </c>
      <c r="J963" s="24" t="s">
        <v>2919</v>
      </c>
      <c r="K963" s="3">
        <v>30</v>
      </c>
      <c r="L963" s="3" t="s">
        <v>6837</v>
      </c>
      <c r="M963" s="3" t="str">
        <f>HYPERLINK("http://ictvonline.org/taxonomyHistory.asp?taxnode_id=20151231","ICTVonline=20151231")</f>
        <v>ICTVonline=20151231</v>
      </c>
    </row>
    <row r="964" spans="1:13" x14ac:dyDescent="0.15">
      <c r="A964" s="1" t="s">
        <v>1527</v>
      </c>
      <c r="B964" s="1" t="s">
        <v>1454</v>
      </c>
      <c r="C964" s="1" t="s">
        <v>1967</v>
      </c>
      <c r="D964" s="1" t="s">
        <v>0</v>
      </c>
      <c r="E964" s="1" t="s">
        <v>2</v>
      </c>
      <c r="F964" s="3">
        <v>0</v>
      </c>
      <c r="I964" s="24" t="s">
        <v>3265</v>
      </c>
      <c r="J964" s="24" t="s">
        <v>2919</v>
      </c>
      <c r="K964" s="3">
        <v>26</v>
      </c>
      <c r="L964" s="3" t="s">
        <v>6838</v>
      </c>
      <c r="M964" s="3" t="str">
        <f>HYPERLINK("http://ictvonline.org/taxonomyHistory.asp?taxnode_id=20151228","ICTVonline=20151228")</f>
        <v>ICTVonline=20151228</v>
      </c>
    </row>
    <row r="965" spans="1:13" x14ac:dyDescent="0.15">
      <c r="A965" s="1" t="s">
        <v>1527</v>
      </c>
      <c r="B965" s="1" t="s">
        <v>1454</v>
      </c>
      <c r="C965" s="1" t="s">
        <v>1967</v>
      </c>
      <c r="D965" s="1" t="s">
        <v>0</v>
      </c>
      <c r="E965" s="1" t="s">
        <v>4663</v>
      </c>
      <c r="F965" s="3">
        <v>0</v>
      </c>
      <c r="G965" s="24" t="s">
        <v>7458</v>
      </c>
      <c r="H965" s="24" t="s">
        <v>4663</v>
      </c>
      <c r="I965" s="24" t="s">
        <v>3265</v>
      </c>
      <c r="J965" s="24" t="s">
        <v>2919</v>
      </c>
      <c r="K965" s="3">
        <v>30</v>
      </c>
      <c r="L965" s="3" t="s">
        <v>6837</v>
      </c>
      <c r="M965" s="3" t="str">
        <f>HYPERLINK("http://ictvonline.org/taxonomyHistory.asp?taxnode_id=20151230","ICTVonline=20151230")</f>
        <v>ICTVonline=20151230</v>
      </c>
    </row>
    <row r="966" spans="1:13" x14ac:dyDescent="0.15">
      <c r="A966" s="1" t="s">
        <v>1527</v>
      </c>
      <c r="B966" s="1" t="s">
        <v>1454</v>
      </c>
      <c r="C966" s="1" t="s">
        <v>1967</v>
      </c>
      <c r="D966" s="1" t="s">
        <v>0</v>
      </c>
      <c r="E966" s="1" t="s">
        <v>4664</v>
      </c>
      <c r="F966" s="3">
        <v>0</v>
      </c>
      <c r="G966" s="24" t="s">
        <v>7459</v>
      </c>
      <c r="H966" s="24" t="s">
        <v>4664</v>
      </c>
      <c r="I966" s="24" t="s">
        <v>3265</v>
      </c>
      <c r="J966" s="24" t="s">
        <v>2919</v>
      </c>
      <c r="K966" s="3">
        <v>30</v>
      </c>
      <c r="L966" s="3" t="s">
        <v>6837</v>
      </c>
      <c r="M966" s="3" t="str">
        <f>HYPERLINK("http://ictvonline.org/taxonomyHistory.asp?taxnode_id=20151232","ICTVonline=20151232")</f>
        <v>ICTVonline=20151232</v>
      </c>
    </row>
    <row r="967" spans="1:13" x14ac:dyDescent="0.15">
      <c r="A967" s="1" t="s">
        <v>1527</v>
      </c>
      <c r="B967" s="1" t="s">
        <v>1454</v>
      </c>
      <c r="C967" s="1" t="s">
        <v>1967</v>
      </c>
      <c r="D967" s="1" t="s">
        <v>443</v>
      </c>
      <c r="E967" s="1" t="s">
        <v>444</v>
      </c>
      <c r="F967" s="3">
        <v>1</v>
      </c>
      <c r="I967" s="24" t="s">
        <v>3265</v>
      </c>
      <c r="J967" s="24" t="s">
        <v>2936</v>
      </c>
      <c r="K967" s="3">
        <v>25</v>
      </c>
      <c r="L967" s="3" t="s">
        <v>6836</v>
      </c>
      <c r="M967" s="3" t="str">
        <f>HYPERLINK("http://ictvonline.org/taxonomyHistory.asp?taxnode_id=20151235","ICTVonline=20151235")</f>
        <v>ICTVonline=20151235</v>
      </c>
    </row>
    <row r="968" spans="1:13" x14ac:dyDescent="0.15">
      <c r="A968" s="1" t="s">
        <v>1527</v>
      </c>
      <c r="B968" s="1" t="s">
        <v>1454</v>
      </c>
      <c r="C968" s="1" t="s">
        <v>1967</v>
      </c>
      <c r="D968" s="1" t="s">
        <v>443</v>
      </c>
      <c r="E968" s="1" t="s">
        <v>445</v>
      </c>
      <c r="F968" s="3">
        <v>0</v>
      </c>
      <c r="I968" s="24" t="s">
        <v>3265</v>
      </c>
      <c r="J968" s="24" t="s">
        <v>2919</v>
      </c>
      <c r="K968" s="3">
        <v>25</v>
      </c>
      <c r="L968" s="3" t="s">
        <v>6836</v>
      </c>
      <c r="M968" s="3" t="str">
        <f>HYPERLINK("http://ictvonline.org/taxonomyHistory.asp?taxnode_id=20151236","ICTVonline=20151236")</f>
        <v>ICTVonline=20151236</v>
      </c>
    </row>
    <row r="969" spans="1:13" x14ac:dyDescent="0.15">
      <c r="A969" s="1" t="s">
        <v>1527</v>
      </c>
      <c r="B969" s="1" t="s">
        <v>1454</v>
      </c>
      <c r="C969" s="1" t="s">
        <v>446</v>
      </c>
      <c r="D969" s="1" t="s">
        <v>315</v>
      </c>
      <c r="E969" s="1" t="s">
        <v>4665</v>
      </c>
      <c r="F969" s="3">
        <v>0</v>
      </c>
      <c r="G969" s="24" t="s">
        <v>7460</v>
      </c>
      <c r="H969" s="24" t="s">
        <v>4666</v>
      </c>
      <c r="I969" s="24" t="s">
        <v>3265</v>
      </c>
      <c r="J969" s="24" t="s">
        <v>2919</v>
      </c>
      <c r="K969" s="3">
        <v>30</v>
      </c>
      <c r="L969" s="3" t="s">
        <v>6837</v>
      </c>
      <c r="M969" s="3" t="str">
        <f>HYPERLINK("http://ictvonline.org/taxonomyHistory.asp?taxnode_id=20151240","ICTVonline=20151240")</f>
        <v>ICTVonline=20151240</v>
      </c>
    </row>
    <row r="970" spans="1:13" x14ac:dyDescent="0.15">
      <c r="A970" s="1" t="s">
        <v>1527</v>
      </c>
      <c r="B970" s="1" t="s">
        <v>1454</v>
      </c>
      <c r="C970" s="1" t="s">
        <v>446</v>
      </c>
      <c r="D970" s="1" t="s">
        <v>315</v>
      </c>
      <c r="E970" s="1" t="s">
        <v>316</v>
      </c>
      <c r="F970" s="3">
        <v>1</v>
      </c>
      <c r="I970" s="24" t="s">
        <v>3265</v>
      </c>
      <c r="J970" s="24" t="s">
        <v>2921</v>
      </c>
      <c r="K970" s="3">
        <v>25</v>
      </c>
      <c r="L970" s="3" t="s">
        <v>6836</v>
      </c>
      <c r="M970" s="3" t="str">
        <f>HYPERLINK("http://ictvonline.org/taxonomyHistory.asp?taxnode_id=20151239","ICTVonline=20151239")</f>
        <v>ICTVonline=20151239</v>
      </c>
    </row>
    <row r="971" spans="1:13" x14ac:dyDescent="0.15">
      <c r="A971" s="1" t="s">
        <v>1527</v>
      </c>
      <c r="B971" s="1" t="s">
        <v>1454</v>
      </c>
      <c r="C971" s="1" t="s">
        <v>446</v>
      </c>
      <c r="D971" s="1" t="s">
        <v>1105</v>
      </c>
      <c r="E971" s="1" t="s">
        <v>1106</v>
      </c>
      <c r="F971" s="3">
        <v>0</v>
      </c>
      <c r="I971" s="24" t="s">
        <v>3265</v>
      </c>
      <c r="J971" s="24" t="s">
        <v>2920</v>
      </c>
      <c r="K971" s="3">
        <v>25</v>
      </c>
      <c r="L971" s="3" t="s">
        <v>6836</v>
      </c>
      <c r="M971" s="3" t="str">
        <f>HYPERLINK("http://ictvonline.org/taxonomyHistory.asp?taxnode_id=20151242","ICTVonline=20151242")</f>
        <v>ICTVonline=20151242</v>
      </c>
    </row>
    <row r="972" spans="1:13" x14ac:dyDescent="0.15">
      <c r="A972" s="1" t="s">
        <v>1527</v>
      </c>
      <c r="B972" s="1" t="s">
        <v>1454</v>
      </c>
      <c r="C972" s="1" t="s">
        <v>446</v>
      </c>
      <c r="D972" s="1" t="s">
        <v>1105</v>
      </c>
      <c r="E972" s="1" t="s">
        <v>703</v>
      </c>
      <c r="F972" s="3">
        <v>1</v>
      </c>
      <c r="I972" s="24" t="s">
        <v>3265</v>
      </c>
      <c r="J972" s="24" t="s">
        <v>2920</v>
      </c>
      <c r="K972" s="3">
        <v>25</v>
      </c>
      <c r="L972" s="3" t="s">
        <v>6836</v>
      </c>
      <c r="M972" s="3" t="str">
        <f>HYPERLINK("http://ictvonline.org/taxonomyHistory.asp?taxnode_id=20151243","ICTVonline=20151243")</f>
        <v>ICTVonline=20151243</v>
      </c>
    </row>
    <row r="973" spans="1:13" x14ac:dyDescent="0.15">
      <c r="A973" s="1" t="s">
        <v>1527</v>
      </c>
      <c r="B973" s="1" t="s">
        <v>1454</v>
      </c>
      <c r="C973" s="1" t="s">
        <v>446</v>
      </c>
      <c r="D973" s="1" t="s">
        <v>1105</v>
      </c>
      <c r="E973" s="1" t="s">
        <v>1107</v>
      </c>
      <c r="F973" s="3">
        <v>0</v>
      </c>
      <c r="I973" s="24" t="s">
        <v>3265</v>
      </c>
      <c r="J973" s="24" t="s">
        <v>2920</v>
      </c>
      <c r="K973" s="3">
        <v>25</v>
      </c>
      <c r="L973" s="3" t="s">
        <v>6836</v>
      </c>
      <c r="M973" s="3" t="str">
        <f>HYPERLINK("http://ictvonline.org/taxonomyHistory.asp?taxnode_id=20151244","ICTVonline=20151244")</f>
        <v>ICTVonline=20151244</v>
      </c>
    </row>
    <row r="974" spans="1:13" x14ac:dyDescent="0.15">
      <c r="A974" s="1" t="s">
        <v>1527</v>
      </c>
      <c r="B974" s="1" t="s">
        <v>1454</v>
      </c>
      <c r="C974" s="1" t="s">
        <v>446</v>
      </c>
      <c r="D974" s="1" t="s">
        <v>1105</v>
      </c>
      <c r="E974" s="1" t="s">
        <v>1108</v>
      </c>
      <c r="F974" s="3">
        <v>0</v>
      </c>
      <c r="I974" s="24" t="s">
        <v>3265</v>
      </c>
      <c r="J974" s="24" t="s">
        <v>2920</v>
      </c>
      <c r="K974" s="3">
        <v>25</v>
      </c>
      <c r="L974" s="3" t="s">
        <v>6836</v>
      </c>
      <c r="M974" s="3" t="str">
        <f>HYPERLINK("http://ictvonline.org/taxonomyHistory.asp?taxnode_id=20151245","ICTVonline=20151245")</f>
        <v>ICTVonline=20151245</v>
      </c>
    </row>
    <row r="975" spans="1:13" x14ac:dyDescent="0.15">
      <c r="A975" s="1" t="s">
        <v>1527</v>
      </c>
      <c r="B975" s="1" t="s">
        <v>1454</v>
      </c>
      <c r="C975" s="1" t="s">
        <v>446</v>
      </c>
      <c r="D975" s="1" t="s">
        <v>934</v>
      </c>
      <c r="E975" s="1" t="s">
        <v>4667</v>
      </c>
      <c r="F975" s="3">
        <v>0</v>
      </c>
      <c r="G975" s="24" t="s">
        <v>7461</v>
      </c>
      <c r="H975" s="24" t="s">
        <v>4668</v>
      </c>
      <c r="I975" s="24" t="s">
        <v>3265</v>
      </c>
      <c r="J975" s="24" t="s">
        <v>2919</v>
      </c>
      <c r="K975" s="3">
        <v>30</v>
      </c>
      <c r="L975" s="3" t="s">
        <v>6837</v>
      </c>
      <c r="M975" s="3" t="str">
        <f>HYPERLINK("http://ictvonline.org/taxonomyHistory.asp?taxnode_id=20151247","ICTVonline=20151247")</f>
        <v>ICTVonline=20151247</v>
      </c>
    </row>
    <row r="976" spans="1:13" x14ac:dyDescent="0.15">
      <c r="A976" s="1" t="s">
        <v>1527</v>
      </c>
      <c r="B976" s="1" t="s">
        <v>2313</v>
      </c>
      <c r="D976" s="1" t="s">
        <v>2314</v>
      </c>
      <c r="E976" s="1" t="s">
        <v>2315</v>
      </c>
      <c r="F976" s="3">
        <v>1</v>
      </c>
      <c r="I976" s="24" t="s">
        <v>3265</v>
      </c>
      <c r="J976" s="24" t="s">
        <v>2921</v>
      </c>
      <c r="K976" s="3">
        <v>27</v>
      </c>
      <c r="L976" s="3" t="s">
        <v>6839</v>
      </c>
      <c r="M976" s="3" t="str">
        <f>HYPERLINK("http://ictvonline.org/taxonomyHistory.asp?taxnode_id=20151251","ICTVonline=20151251")</f>
        <v>ICTVonline=20151251</v>
      </c>
    </row>
    <row r="977" spans="1:13" x14ac:dyDescent="0.15">
      <c r="A977" s="1" t="s">
        <v>1527</v>
      </c>
      <c r="B977" s="1" t="s">
        <v>2313</v>
      </c>
      <c r="D977" s="1" t="s">
        <v>2314</v>
      </c>
      <c r="E977" s="1" t="s">
        <v>4669</v>
      </c>
      <c r="F977" s="3">
        <v>0</v>
      </c>
      <c r="G977" s="24" t="s">
        <v>7462</v>
      </c>
      <c r="H977" s="24" t="s">
        <v>4670</v>
      </c>
      <c r="I977" s="24" t="s">
        <v>3265</v>
      </c>
      <c r="J977" s="24" t="s">
        <v>2919</v>
      </c>
      <c r="K977" s="3">
        <v>30</v>
      </c>
      <c r="L977" s="3" t="s">
        <v>4671</v>
      </c>
      <c r="M977" s="3" t="str">
        <f>HYPERLINK("http://ictvonline.org/taxonomyHistory.asp?taxnode_id=20151252","ICTVonline=20151252")</f>
        <v>ICTVonline=20151252</v>
      </c>
    </row>
    <row r="978" spans="1:13" x14ac:dyDescent="0.15">
      <c r="A978" s="1" t="s">
        <v>1527</v>
      </c>
      <c r="B978" s="1" t="s">
        <v>2313</v>
      </c>
      <c r="D978" s="1" t="s">
        <v>2314</v>
      </c>
      <c r="E978" s="1" t="s">
        <v>4672</v>
      </c>
      <c r="F978" s="3">
        <v>0</v>
      </c>
      <c r="G978" s="24" t="s">
        <v>7463</v>
      </c>
      <c r="H978" s="24" t="s">
        <v>4673</v>
      </c>
      <c r="I978" s="24" t="s">
        <v>3265</v>
      </c>
      <c r="J978" s="24" t="s">
        <v>2919</v>
      </c>
      <c r="K978" s="3">
        <v>30</v>
      </c>
      <c r="L978" s="3" t="s">
        <v>4671</v>
      </c>
      <c r="M978" s="3" t="str">
        <f>HYPERLINK("http://ictvonline.org/taxonomyHistory.asp?taxnode_id=20151253","ICTVonline=20151253")</f>
        <v>ICTVonline=20151253</v>
      </c>
    </row>
    <row r="979" spans="1:13" x14ac:dyDescent="0.15">
      <c r="A979" s="1" t="s">
        <v>1527</v>
      </c>
      <c r="B979" s="1" t="s">
        <v>2313</v>
      </c>
      <c r="D979" s="1" t="s">
        <v>2314</v>
      </c>
      <c r="E979" s="1" t="s">
        <v>4674</v>
      </c>
      <c r="F979" s="3">
        <v>0</v>
      </c>
      <c r="G979" s="24" t="s">
        <v>7464</v>
      </c>
      <c r="H979" s="24" t="s">
        <v>4675</v>
      </c>
      <c r="I979" s="24" t="s">
        <v>3265</v>
      </c>
      <c r="J979" s="24" t="s">
        <v>2919</v>
      </c>
      <c r="K979" s="3">
        <v>30</v>
      </c>
      <c r="L979" s="3" t="s">
        <v>4671</v>
      </c>
      <c r="M979" s="3" t="str">
        <f>HYPERLINK("http://ictvonline.org/taxonomyHistory.asp?taxnode_id=20151254","ICTVonline=20151254")</f>
        <v>ICTVonline=20151254</v>
      </c>
    </row>
    <row r="980" spans="1:13" x14ac:dyDescent="0.15">
      <c r="A980" s="1" t="s">
        <v>1527</v>
      </c>
      <c r="B980" s="1" t="s">
        <v>2313</v>
      </c>
      <c r="D980" s="1" t="s">
        <v>2314</v>
      </c>
      <c r="E980" s="1" t="s">
        <v>4676</v>
      </c>
      <c r="F980" s="3">
        <v>0</v>
      </c>
      <c r="G980" s="24" t="s">
        <v>7465</v>
      </c>
      <c r="H980" s="24" t="s">
        <v>4677</v>
      </c>
      <c r="I980" s="24" t="s">
        <v>3265</v>
      </c>
      <c r="J980" s="24" t="s">
        <v>2919</v>
      </c>
      <c r="K980" s="3">
        <v>30</v>
      </c>
      <c r="L980" s="3" t="s">
        <v>4671</v>
      </c>
      <c r="M980" s="3" t="str">
        <f>HYPERLINK("http://ictvonline.org/taxonomyHistory.asp?taxnode_id=20151255","ICTVonline=20151255")</f>
        <v>ICTVonline=20151255</v>
      </c>
    </row>
    <row r="981" spans="1:13" x14ac:dyDescent="0.15">
      <c r="A981" s="1" t="s">
        <v>1527</v>
      </c>
      <c r="B981" s="1" t="s">
        <v>2313</v>
      </c>
      <c r="D981" s="1" t="s">
        <v>934</v>
      </c>
      <c r="E981" s="1" t="s">
        <v>4678</v>
      </c>
      <c r="F981" s="3">
        <v>0</v>
      </c>
      <c r="G981" s="24" t="s">
        <v>7466</v>
      </c>
      <c r="H981" s="24" t="s">
        <v>6703</v>
      </c>
      <c r="I981" s="24" t="s">
        <v>3265</v>
      </c>
      <c r="J981" s="24" t="s">
        <v>2919</v>
      </c>
      <c r="K981" s="3">
        <v>30</v>
      </c>
      <c r="L981" s="3" t="s">
        <v>4671</v>
      </c>
      <c r="M981" s="3" t="str">
        <f>HYPERLINK("http://ictvonline.org/taxonomyHistory.asp?taxnode_id=20151257","ICTVonline=20151257")</f>
        <v>ICTVonline=20151257</v>
      </c>
    </row>
    <row r="982" spans="1:13" x14ac:dyDescent="0.15">
      <c r="A982" s="1" t="s">
        <v>1527</v>
      </c>
      <c r="B982" s="1" t="s">
        <v>2313</v>
      </c>
      <c r="D982" s="1" t="s">
        <v>934</v>
      </c>
      <c r="E982" s="1" t="s">
        <v>4679</v>
      </c>
      <c r="F982" s="3">
        <v>0</v>
      </c>
      <c r="G982" s="24" t="s">
        <v>7467</v>
      </c>
      <c r="H982" s="24" t="s">
        <v>6704</v>
      </c>
      <c r="I982" s="24" t="s">
        <v>3265</v>
      </c>
      <c r="J982" s="24" t="s">
        <v>2919</v>
      </c>
      <c r="K982" s="3">
        <v>30</v>
      </c>
      <c r="L982" s="3" t="s">
        <v>4671</v>
      </c>
      <c r="M982" s="3" t="str">
        <f>HYPERLINK("http://ictvonline.org/taxonomyHistory.asp?taxnode_id=20151258","ICTVonline=20151258")</f>
        <v>ICTVonline=20151258</v>
      </c>
    </row>
    <row r="983" spans="1:13" x14ac:dyDescent="0.15">
      <c r="A983" s="1" t="s">
        <v>1527</v>
      </c>
      <c r="B983" s="1" t="s">
        <v>1109</v>
      </c>
      <c r="D983" s="1" t="s">
        <v>1110</v>
      </c>
      <c r="E983" s="1" t="s">
        <v>1111</v>
      </c>
      <c r="F983" s="3">
        <v>1</v>
      </c>
      <c r="I983" s="24" t="s">
        <v>3265</v>
      </c>
      <c r="J983" s="24" t="s">
        <v>2921</v>
      </c>
      <c r="K983" s="3">
        <v>20</v>
      </c>
      <c r="L983" s="3" t="s">
        <v>2925</v>
      </c>
      <c r="M983" s="3" t="str">
        <f>HYPERLINK("http://ictvonline.org/taxonomyHistory.asp?taxnode_id=20151262","ICTVonline=20151262")</f>
        <v>ICTVonline=20151262</v>
      </c>
    </row>
    <row r="984" spans="1:13" x14ac:dyDescent="0.15">
      <c r="A984" s="1" t="s">
        <v>1112</v>
      </c>
      <c r="B984" s="1" t="s">
        <v>1069</v>
      </c>
      <c r="D984" s="1" t="s">
        <v>1427</v>
      </c>
      <c r="E984" s="1" t="s">
        <v>1065</v>
      </c>
      <c r="F984" s="3">
        <v>1</v>
      </c>
      <c r="I984" s="24" t="s">
        <v>3265</v>
      </c>
      <c r="J984" s="24" t="s">
        <v>2922</v>
      </c>
      <c r="K984" s="3">
        <v>25</v>
      </c>
      <c r="L984" s="3" t="s">
        <v>6840</v>
      </c>
      <c r="M984" s="3" t="str">
        <f>HYPERLINK("http://ictvonline.org/taxonomyHistory.asp?taxnode_id=20151267","ICTVonline=20151267")</f>
        <v>ICTVonline=20151267</v>
      </c>
    </row>
    <row r="985" spans="1:13" x14ac:dyDescent="0.15">
      <c r="A985" s="1" t="s">
        <v>1112</v>
      </c>
      <c r="B985" s="1" t="s">
        <v>1069</v>
      </c>
      <c r="D985" s="1" t="s">
        <v>1427</v>
      </c>
      <c r="E985" s="1" t="s">
        <v>1428</v>
      </c>
      <c r="F985" s="3">
        <v>0</v>
      </c>
      <c r="I985" s="24" t="s">
        <v>3265</v>
      </c>
      <c r="J985" s="24" t="s">
        <v>2919</v>
      </c>
      <c r="K985" s="3">
        <v>25</v>
      </c>
      <c r="L985" s="3" t="s">
        <v>6840</v>
      </c>
      <c r="M985" s="3" t="str">
        <f>HYPERLINK("http://ictvonline.org/taxonomyHistory.asp?taxnode_id=20151268","ICTVonline=20151268")</f>
        <v>ICTVonline=20151268</v>
      </c>
    </row>
    <row r="986" spans="1:13" x14ac:dyDescent="0.15">
      <c r="A986" s="1" t="s">
        <v>1112</v>
      </c>
      <c r="B986" s="1" t="s">
        <v>1069</v>
      </c>
      <c r="D986" s="1" t="s">
        <v>1427</v>
      </c>
      <c r="E986" s="1" t="s">
        <v>1066</v>
      </c>
      <c r="F986" s="3">
        <v>0</v>
      </c>
      <c r="I986" s="24" t="s">
        <v>3265</v>
      </c>
      <c r="J986" s="24" t="s">
        <v>2920</v>
      </c>
      <c r="K986" s="3">
        <v>25</v>
      </c>
      <c r="L986" s="3" t="s">
        <v>6840</v>
      </c>
      <c r="M986" s="3" t="str">
        <f>HYPERLINK("http://ictvonline.org/taxonomyHistory.asp?taxnode_id=20151269","ICTVonline=20151269")</f>
        <v>ICTVonline=20151269</v>
      </c>
    </row>
    <row r="987" spans="1:13" x14ac:dyDescent="0.15">
      <c r="A987" s="1" t="s">
        <v>1112</v>
      </c>
      <c r="B987" s="1" t="s">
        <v>1069</v>
      </c>
      <c r="D987" s="1" t="s">
        <v>1427</v>
      </c>
      <c r="E987" s="1" t="s">
        <v>3</v>
      </c>
      <c r="F987" s="3">
        <v>0</v>
      </c>
      <c r="I987" s="24" t="s">
        <v>3265</v>
      </c>
      <c r="J987" s="24" t="s">
        <v>2919</v>
      </c>
      <c r="K987" s="3">
        <v>26</v>
      </c>
      <c r="L987" s="3" t="s">
        <v>6841</v>
      </c>
      <c r="M987" s="3" t="str">
        <f>HYPERLINK("http://ictvonline.org/taxonomyHistory.asp?taxnode_id=20151270","ICTVonline=20151270")</f>
        <v>ICTVonline=20151270</v>
      </c>
    </row>
    <row r="988" spans="1:13" x14ac:dyDescent="0.15">
      <c r="A988" s="1" t="s">
        <v>1112</v>
      </c>
      <c r="B988" s="1" t="s">
        <v>1069</v>
      </c>
      <c r="D988" s="1" t="s">
        <v>1427</v>
      </c>
      <c r="E988" s="1" t="s">
        <v>1067</v>
      </c>
      <c r="F988" s="3">
        <v>0</v>
      </c>
      <c r="I988" s="24" t="s">
        <v>3265</v>
      </c>
      <c r="J988" s="24" t="s">
        <v>2920</v>
      </c>
      <c r="K988" s="3">
        <v>25</v>
      </c>
      <c r="L988" s="3" t="s">
        <v>6840</v>
      </c>
      <c r="M988" s="3" t="str">
        <f>HYPERLINK("http://ictvonline.org/taxonomyHistory.asp?taxnode_id=20151271","ICTVonline=20151271")</f>
        <v>ICTVonline=20151271</v>
      </c>
    </row>
    <row r="989" spans="1:13" x14ac:dyDescent="0.15">
      <c r="A989" s="1" t="s">
        <v>1112</v>
      </c>
      <c r="B989" s="1" t="s">
        <v>1069</v>
      </c>
      <c r="D989" s="1" t="s">
        <v>1427</v>
      </c>
      <c r="E989" s="1" t="s">
        <v>1068</v>
      </c>
      <c r="F989" s="3">
        <v>0</v>
      </c>
      <c r="I989" s="24" t="s">
        <v>3265</v>
      </c>
      <c r="J989" s="24" t="s">
        <v>2920</v>
      </c>
      <c r="K989" s="3">
        <v>25</v>
      </c>
      <c r="L989" s="3" t="s">
        <v>6840</v>
      </c>
      <c r="M989" s="3" t="str">
        <f>HYPERLINK("http://ictvonline.org/taxonomyHistory.asp?taxnode_id=20151272","ICTVonline=20151272")</f>
        <v>ICTVonline=20151272</v>
      </c>
    </row>
    <row r="990" spans="1:13" x14ac:dyDescent="0.15">
      <c r="A990" s="1" t="s">
        <v>1112</v>
      </c>
      <c r="B990" s="1" t="s">
        <v>1069</v>
      </c>
      <c r="D990" s="1" t="s">
        <v>1070</v>
      </c>
      <c r="E990" s="1" t="s">
        <v>1071</v>
      </c>
      <c r="F990" s="3">
        <v>0</v>
      </c>
      <c r="I990" s="24" t="s">
        <v>3265</v>
      </c>
      <c r="J990" s="24" t="s">
        <v>2920</v>
      </c>
      <c r="K990" s="3">
        <v>24</v>
      </c>
      <c r="L990" s="3" t="s">
        <v>6842</v>
      </c>
      <c r="M990" s="3" t="str">
        <f>HYPERLINK("http://ictvonline.org/taxonomyHistory.asp?taxnode_id=20151274","ICTVonline=20151274")</f>
        <v>ICTVonline=20151274</v>
      </c>
    </row>
    <row r="991" spans="1:13" x14ac:dyDescent="0.15">
      <c r="A991" s="1" t="s">
        <v>1112</v>
      </c>
      <c r="B991" s="1" t="s">
        <v>1069</v>
      </c>
      <c r="D991" s="1" t="s">
        <v>1070</v>
      </c>
      <c r="E991" s="1" t="s">
        <v>1073</v>
      </c>
      <c r="F991" s="3">
        <v>1</v>
      </c>
      <c r="I991" s="24" t="s">
        <v>3265</v>
      </c>
      <c r="J991" s="24" t="s">
        <v>2920</v>
      </c>
      <c r="K991" s="3">
        <v>24</v>
      </c>
      <c r="L991" s="3" t="s">
        <v>6842</v>
      </c>
      <c r="M991" s="3" t="str">
        <f>HYPERLINK("http://ictvonline.org/taxonomyHistory.asp?taxnode_id=20151276","ICTVonline=20151276")</f>
        <v>ICTVonline=20151276</v>
      </c>
    </row>
    <row r="992" spans="1:13" x14ac:dyDescent="0.15">
      <c r="A992" s="1" t="s">
        <v>1112</v>
      </c>
      <c r="B992" s="1" t="s">
        <v>1069</v>
      </c>
      <c r="D992" s="1" t="s">
        <v>1070</v>
      </c>
      <c r="E992" s="1" t="s">
        <v>1074</v>
      </c>
      <c r="F992" s="3">
        <v>0</v>
      </c>
      <c r="I992" s="24" t="s">
        <v>3265</v>
      </c>
      <c r="J992" s="24" t="s">
        <v>2920</v>
      </c>
      <c r="K992" s="3">
        <v>24</v>
      </c>
      <c r="L992" s="3" t="s">
        <v>6842</v>
      </c>
      <c r="M992" s="3" t="str">
        <f>HYPERLINK("http://ictvonline.org/taxonomyHistory.asp?taxnode_id=20151277","ICTVonline=20151277")</f>
        <v>ICTVonline=20151277</v>
      </c>
    </row>
    <row r="993" spans="1:13" x14ac:dyDescent="0.15">
      <c r="A993" s="1" t="s">
        <v>1112</v>
      </c>
      <c r="B993" s="1" t="s">
        <v>1069</v>
      </c>
      <c r="D993" s="1" t="s">
        <v>1070</v>
      </c>
      <c r="E993" s="1" t="s">
        <v>1076</v>
      </c>
      <c r="F993" s="3">
        <v>0</v>
      </c>
      <c r="I993" s="24" t="s">
        <v>3265</v>
      </c>
      <c r="J993" s="24" t="s">
        <v>2920</v>
      </c>
      <c r="K993" s="3">
        <v>24</v>
      </c>
      <c r="L993" s="3" t="s">
        <v>6842</v>
      </c>
      <c r="M993" s="3" t="str">
        <f>HYPERLINK("http://ictvonline.org/taxonomyHistory.asp?taxnode_id=20151281","ICTVonline=20151281")</f>
        <v>ICTVonline=20151281</v>
      </c>
    </row>
    <row r="994" spans="1:13" x14ac:dyDescent="0.15">
      <c r="A994" s="1" t="s">
        <v>1112</v>
      </c>
      <c r="B994" s="1" t="s">
        <v>1069</v>
      </c>
      <c r="D994" s="1" t="s">
        <v>4680</v>
      </c>
      <c r="E994" s="1" t="s">
        <v>1072</v>
      </c>
      <c r="F994" s="3">
        <v>0</v>
      </c>
      <c r="I994" s="24" t="s">
        <v>3265</v>
      </c>
      <c r="J994" s="24" t="s">
        <v>2920</v>
      </c>
      <c r="K994" s="3">
        <v>30</v>
      </c>
      <c r="L994" s="3" t="s">
        <v>6843</v>
      </c>
      <c r="M994" s="3" t="str">
        <f>HYPERLINK("http://ictvonline.org/taxonomyHistory.asp?taxnode_id=20151275","ICTVonline=20151275")</f>
        <v>ICTVonline=20151275</v>
      </c>
    </row>
    <row r="995" spans="1:13" x14ac:dyDescent="0.15">
      <c r="A995" s="1" t="s">
        <v>1112</v>
      </c>
      <c r="B995" s="1" t="s">
        <v>1069</v>
      </c>
      <c r="D995" s="1" t="s">
        <v>4680</v>
      </c>
      <c r="E995" s="1" t="s">
        <v>1514</v>
      </c>
      <c r="F995" s="3">
        <v>0</v>
      </c>
      <c r="I995" s="24" t="s">
        <v>3265</v>
      </c>
      <c r="J995" s="24" t="s">
        <v>2920</v>
      </c>
      <c r="K995" s="3">
        <v>30</v>
      </c>
      <c r="L995" s="3" t="s">
        <v>6843</v>
      </c>
      <c r="M995" s="3" t="str">
        <f>HYPERLINK("http://ictvonline.org/taxonomyHistory.asp?taxnode_id=20151278","ICTVonline=20151278")</f>
        <v>ICTVonline=20151278</v>
      </c>
    </row>
    <row r="996" spans="1:13" x14ac:dyDescent="0.15">
      <c r="A996" s="1" t="s">
        <v>1112</v>
      </c>
      <c r="B996" s="1" t="s">
        <v>1069</v>
      </c>
      <c r="D996" s="1" t="s">
        <v>4680</v>
      </c>
      <c r="E996" s="1" t="s">
        <v>299</v>
      </c>
      <c r="F996" s="3">
        <v>0</v>
      </c>
      <c r="I996" s="24" t="s">
        <v>3265</v>
      </c>
      <c r="J996" s="24" t="s">
        <v>2920</v>
      </c>
      <c r="K996" s="3">
        <v>30</v>
      </c>
      <c r="L996" s="3" t="s">
        <v>6843</v>
      </c>
      <c r="M996" s="3" t="str">
        <f>HYPERLINK("http://ictvonline.org/taxonomyHistory.asp?taxnode_id=20151279","ICTVonline=20151279")</f>
        <v>ICTVonline=20151279</v>
      </c>
    </row>
    <row r="997" spans="1:13" x14ac:dyDescent="0.15">
      <c r="A997" s="1" t="s">
        <v>1112</v>
      </c>
      <c r="B997" s="1" t="s">
        <v>1069</v>
      </c>
      <c r="D997" s="1" t="s">
        <v>4680</v>
      </c>
      <c r="E997" s="1" t="s">
        <v>1075</v>
      </c>
      <c r="F997" s="3">
        <v>0</v>
      </c>
      <c r="I997" s="24" t="s">
        <v>3265</v>
      </c>
      <c r="J997" s="24" t="s">
        <v>2920</v>
      </c>
      <c r="K997" s="3">
        <v>30</v>
      </c>
      <c r="L997" s="3" t="s">
        <v>6843</v>
      </c>
      <c r="M997" s="3" t="str">
        <f>HYPERLINK("http://ictvonline.org/taxonomyHistory.asp?taxnode_id=20151280","ICTVonline=20151280")</f>
        <v>ICTVonline=20151280</v>
      </c>
    </row>
    <row r="998" spans="1:13" x14ac:dyDescent="0.15">
      <c r="A998" s="1" t="s">
        <v>1112</v>
      </c>
      <c r="B998" s="1" t="s">
        <v>1069</v>
      </c>
      <c r="D998" s="1" t="s">
        <v>4680</v>
      </c>
      <c r="E998" s="1" t="s">
        <v>1064</v>
      </c>
      <c r="F998" s="3">
        <v>1</v>
      </c>
      <c r="I998" s="24" t="s">
        <v>3265</v>
      </c>
      <c r="J998" s="24" t="s">
        <v>2920</v>
      </c>
      <c r="K998" s="3">
        <v>30</v>
      </c>
      <c r="L998" s="3" t="s">
        <v>6843</v>
      </c>
      <c r="M998" s="3" t="str">
        <f>HYPERLINK("http://ictvonline.org/taxonomyHistory.asp?taxnode_id=20151282","ICTVonline=20151282")</f>
        <v>ICTVonline=20151282</v>
      </c>
    </row>
    <row r="999" spans="1:13" x14ac:dyDescent="0.15">
      <c r="A999" s="1" t="s">
        <v>1112</v>
      </c>
      <c r="B999" s="1" t="s">
        <v>1149</v>
      </c>
      <c r="D999" s="1" t="s">
        <v>1150</v>
      </c>
      <c r="E999" s="1" t="s">
        <v>4681</v>
      </c>
      <c r="F999" s="3">
        <v>0</v>
      </c>
      <c r="G999" s="24" t="s">
        <v>7468</v>
      </c>
      <c r="H999" s="24" t="s">
        <v>4682</v>
      </c>
      <c r="I999" s="24" t="s">
        <v>3265</v>
      </c>
      <c r="J999" s="24" t="s">
        <v>2919</v>
      </c>
      <c r="K999" s="3">
        <v>30</v>
      </c>
      <c r="L999" s="3" t="s">
        <v>6844</v>
      </c>
      <c r="M999" s="3" t="str">
        <f>HYPERLINK("http://ictvonline.org/taxonomyHistory.asp?taxnode_id=20151296","ICTVonline=20151296")</f>
        <v>ICTVonline=20151296</v>
      </c>
    </row>
    <row r="1000" spans="1:13" x14ac:dyDescent="0.15">
      <c r="A1000" s="1" t="s">
        <v>1112</v>
      </c>
      <c r="B1000" s="1" t="s">
        <v>1149</v>
      </c>
      <c r="D1000" s="1" t="s">
        <v>1150</v>
      </c>
      <c r="E1000" s="1" t="s">
        <v>1151</v>
      </c>
      <c r="F1000" s="3">
        <v>0</v>
      </c>
      <c r="I1000" s="24" t="s">
        <v>3265</v>
      </c>
      <c r="J1000" s="24" t="s">
        <v>2919</v>
      </c>
      <c r="K1000" s="3">
        <v>24</v>
      </c>
      <c r="L1000" s="3" t="s">
        <v>6845</v>
      </c>
      <c r="M1000" s="3" t="str">
        <f>HYPERLINK("http://ictvonline.org/taxonomyHistory.asp?taxnode_id=20151287","ICTVonline=20151287")</f>
        <v>ICTVonline=20151287</v>
      </c>
    </row>
    <row r="1001" spans="1:13" x14ac:dyDescent="0.15">
      <c r="A1001" s="1" t="s">
        <v>1112</v>
      </c>
      <c r="B1001" s="1" t="s">
        <v>1149</v>
      </c>
      <c r="D1001" s="1" t="s">
        <v>1150</v>
      </c>
      <c r="E1001" s="1" t="s">
        <v>4683</v>
      </c>
      <c r="F1001" s="3">
        <v>0</v>
      </c>
      <c r="G1001" s="24" t="s">
        <v>7469</v>
      </c>
      <c r="H1001" s="24" t="s">
        <v>4684</v>
      </c>
      <c r="I1001" s="24" t="s">
        <v>3265</v>
      </c>
      <c r="J1001" s="24" t="s">
        <v>2919</v>
      </c>
      <c r="K1001" s="3">
        <v>30</v>
      </c>
      <c r="L1001" s="3" t="s">
        <v>6846</v>
      </c>
      <c r="M1001" s="3" t="str">
        <f>HYPERLINK("http://ictvonline.org/taxonomyHistory.asp?taxnode_id=20151297","ICTVonline=20151297")</f>
        <v>ICTVonline=20151297</v>
      </c>
    </row>
    <row r="1002" spans="1:13" x14ac:dyDescent="0.15">
      <c r="A1002" s="1" t="s">
        <v>1112</v>
      </c>
      <c r="B1002" s="1" t="s">
        <v>1149</v>
      </c>
      <c r="D1002" s="1" t="s">
        <v>1150</v>
      </c>
      <c r="E1002" s="1" t="s">
        <v>1152</v>
      </c>
      <c r="F1002" s="3">
        <v>0</v>
      </c>
      <c r="I1002" s="24" t="s">
        <v>3265</v>
      </c>
      <c r="J1002" s="24" t="s">
        <v>2919</v>
      </c>
      <c r="K1002" s="3">
        <v>24</v>
      </c>
      <c r="L1002" s="3" t="s">
        <v>6845</v>
      </c>
      <c r="M1002" s="3" t="str">
        <f>HYPERLINK("http://ictvonline.org/taxonomyHistory.asp?taxnode_id=20151288","ICTVonline=20151288")</f>
        <v>ICTVonline=20151288</v>
      </c>
    </row>
    <row r="1003" spans="1:13" x14ac:dyDescent="0.15">
      <c r="A1003" s="1" t="s">
        <v>1112</v>
      </c>
      <c r="B1003" s="1" t="s">
        <v>1149</v>
      </c>
      <c r="D1003" s="1" t="s">
        <v>1150</v>
      </c>
      <c r="E1003" s="1" t="s">
        <v>1153</v>
      </c>
      <c r="F1003" s="3">
        <v>1</v>
      </c>
      <c r="I1003" s="24" t="s">
        <v>3265</v>
      </c>
      <c r="J1003" s="24" t="s">
        <v>2920</v>
      </c>
      <c r="K1003" s="3">
        <v>24</v>
      </c>
      <c r="L1003" s="3" t="s">
        <v>6847</v>
      </c>
      <c r="M1003" s="3" t="str">
        <f>HYPERLINK("http://ictvonline.org/taxonomyHistory.asp?taxnode_id=20151289","ICTVonline=20151289")</f>
        <v>ICTVonline=20151289</v>
      </c>
    </row>
    <row r="1004" spans="1:13" x14ac:dyDescent="0.15">
      <c r="A1004" s="1" t="s">
        <v>1112</v>
      </c>
      <c r="B1004" s="1" t="s">
        <v>1149</v>
      </c>
      <c r="D1004" s="1" t="s">
        <v>1150</v>
      </c>
      <c r="E1004" s="1" t="s">
        <v>2456</v>
      </c>
      <c r="F1004" s="3">
        <v>0</v>
      </c>
      <c r="I1004" s="24" t="s">
        <v>3265</v>
      </c>
      <c r="J1004" s="24" t="s">
        <v>2919</v>
      </c>
      <c r="K1004" s="3">
        <v>28</v>
      </c>
      <c r="L1004" s="3" t="s">
        <v>6848</v>
      </c>
      <c r="M1004" s="3" t="str">
        <f>HYPERLINK("http://ictvonline.org/taxonomyHistory.asp?taxnode_id=20151290","ICTVonline=20151290")</f>
        <v>ICTVonline=20151290</v>
      </c>
    </row>
    <row r="1005" spans="1:13" x14ac:dyDescent="0.15">
      <c r="A1005" s="1" t="s">
        <v>1112</v>
      </c>
      <c r="B1005" s="1" t="s">
        <v>1149</v>
      </c>
      <c r="D1005" s="1" t="s">
        <v>1150</v>
      </c>
      <c r="E1005" s="1" t="s">
        <v>4685</v>
      </c>
      <c r="F1005" s="3">
        <v>0</v>
      </c>
      <c r="G1005" s="24" t="s">
        <v>7470</v>
      </c>
      <c r="H1005" s="24" t="s">
        <v>4686</v>
      </c>
      <c r="I1005" s="24" t="s">
        <v>3265</v>
      </c>
      <c r="J1005" s="24" t="s">
        <v>2919</v>
      </c>
      <c r="K1005" s="3">
        <v>30</v>
      </c>
      <c r="L1005" s="3" t="s">
        <v>6849</v>
      </c>
      <c r="M1005" s="3" t="str">
        <f>HYPERLINK("http://ictvonline.org/taxonomyHistory.asp?taxnode_id=20151298","ICTVonline=20151298")</f>
        <v>ICTVonline=20151298</v>
      </c>
    </row>
    <row r="1006" spans="1:13" x14ac:dyDescent="0.15">
      <c r="A1006" s="1" t="s">
        <v>1112</v>
      </c>
      <c r="B1006" s="1" t="s">
        <v>1149</v>
      </c>
      <c r="D1006" s="1" t="s">
        <v>1150</v>
      </c>
      <c r="E1006" s="1" t="s">
        <v>2457</v>
      </c>
      <c r="F1006" s="3">
        <v>0</v>
      </c>
      <c r="I1006" s="24" t="s">
        <v>3265</v>
      </c>
      <c r="J1006" s="24" t="s">
        <v>2919</v>
      </c>
      <c r="K1006" s="3">
        <v>28</v>
      </c>
      <c r="L1006" s="3" t="s">
        <v>6848</v>
      </c>
      <c r="M1006" s="3" t="str">
        <f>HYPERLINK("http://ictvonline.org/taxonomyHistory.asp?taxnode_id=20151291","ICTVonline=20151291")</f>
        <v>ICTVonline=20151291</v>
      </c>
    </row>
    <row r="1007" spans="1:13" x14ac:dyDescent="0.15">
      <c r="A1007" s="1" t="s">
        <v>1112</v>
      </c>
      <c r="B1007" s="1" t="s">
        <v>1149</v>
      </c>
      <c r="D1007" s="1" t="s">
        <v>1150</v>
      </c>
      <c r="E1007" s="1" t="s">
        <v>1154</v>
      </c>
      <c r="F1007" s="3">
        <v>0</v>
      </c>
      <c r="I1007" s="24" t="s">
        <v>3265</v>
      </c>
      <c r="J1007" s="24" t="s">
        <v>2920</v>
      </c>
      <c r="K1007" s="3">
        <v>24</v>
      </c>
      <c r="L1007" s="3" t="s">
        <v>6847</v>
      </c>
      <c r="M1007" s="3" t="str">
        <f>HYPERLINK("http://ictvonline.org/taxonomyHistory.asp?taxnode_id=20151292","ICTVonline=20151292")</f>
        <v>ICTVonline=20151292</v>
      </c>
    </row>
    <row r="1008" spans="1:13" x14ac:dyDescent="0.15">
      <c r="A1008" s="1" t="s">
        <v>1112</v>
      </c>
      <c r="B1008" s="1" t="s">
        <v>1149</v>
      </c>
      <c r="D1008" s="1" t="s">
        <v>1150</v>
      </c>
      <c r="E1008" s="1" t="s">
        <v>1155</v>
      </c>
      <c r="F1008" s="3">
        <v>0</v>
      </c>
      <c r="I1008" s="24" t="s">
        <v>3265</v>
      </c>
      <c r="J1008" s="24" t="s">
        <v>2920</v>
      </c>
      <c r="K1008" s="3">
        <v>24</v>
      </c>
      <c r="L1008" s="3" t="s">
        <v>6847</v>
      </c>
      <c r="M1008" s="3" t="str">
        <f>HYPERLINK("http://ictvonline.org/taxonomyHistory.asp?taxnode_id=20151293","ICTVonline=20151293")</f>
        <v>ICTVonline=20151293</v>
      </c>
    </row>
    <row r="1009" spans="1:13" x14ac:dyDescent="0.15">
      <c r="A1009" s="1" t="s">
        <v>1112</v>
      </c>
      <c r="B1009" s="1" t="s">
        <v>1149</v>
      </c>
      <c r="D1009" s="1" t="s">
        <v>1150</v>
      </c>
      <c r="E1009" s="1" t="s">
        <v>4</v>
      </c>
      <c r="F1009" s="3">
        <v>0</v>
      </c>
      <c r="I1009" s="24" t="s">
        <v>3265</v>
      </c>
      <c r="J1009" s="24" t="s">
        <v>2919</v>
      </c>
      <c r="K1009" s="3">
        <v>26</v>
      </c>
      <c r="L1009" s="3" t="s">
        <v>6850</v>
      </c>
      <c r="M1009" s="3" t="str">
        <f>HYPERLINK("http://ictvonline.org/taxonomyHistory.asp?taxnode_id=20151294","ICTVonline=20151294")</f>
        <v>ICTVonline=20151294</v>
      </c>
    </row>
    <row r="1010" spans="1:13" x14ac:dyDescent="0.15">
      <c r="A1010" s="1" t="s">
        <v>1112</v>
      </c>
      <c r="B1010" s="1" t="s">
        <v>1149</v>
      </c>
      <c r="D1010" s="1" t="s">
        <v>1150</v>
      </c>
      <c r="E1010" s="1" t="s">
        <v>4687</v>
      </c>
      <c r="F1010" s="3">
        <v>0</v>
      </c>
      <c r="G1010" s="24" t="s">
        <v>7471</v>
      </c>
      <c r="H1010" s="24" t="s">
        <v>4688</v>
      </c>
      <c r="I1010" s="24" t="s">
        <v>3265</v>
      </c>
      <c r="J1010" s="24" t="s">
        <v>2919</v>
      </c>
      <c r="K1010" s="3">
        <v>30</v>
      </c>
      <c r="L1010" s="3" t="s">
        <v>6851</v>
      </c>
      <c r="M1010" s="3" t="str">
        <f>HYPERLINK("http://ictvonline.org/taxonomyHistory.asp?taxnode_id=20151299","ICTVonline=20151299")</f>
        <v>ICTVonline=20151299</v>
      </c>
    </row>
    <row r="1011" spans="1:13" x14ac:dyDescent="0.15">
      <c r="A1011" s="1" t="s">
        <v>1112</v>
      </c>
      <c r="B1011" s="1" t="s">
        <v>1149</v>
      </c>
      <c r="D1011" s="1" t="s">
        <v>1150</v>
      </c>
      <c r="E1011" s="1" t="s">
        <v>4689</v>
      </c>
      <c r="F1011" s="3">
        <v>0</v>
      </c>
      <c r="G1011" s="24" t="s">
        <v>7472</v>
      </c>
      <c r="H1011" s="24" t="s">
        <v>4690</v>
      </c>
      <c r="I1011" s="24" t="s">
        <v>3265</v>
      </c>
      <c r="J1011" s="24" t="s">
        <v>2919</v>
      </c>
      <c r="K1011" s="3">
        <v>30</v>
      </c>
      <c r="L1011" s="3" t="s">
        <v>6852</v>
      </c>
      <c r="M1011" s="3" t="str">
        <f>HYPERLINK("http://ictvonline.org/taxonomyHistory.asp?taxnode_id=20151300","ICTVonline=20151300")</f>
        <v>ICTVonline=20151300</v>
      </c>
    </row>
    <row r="1012" spans="1:13" x14ac:dyDescent="0.15">
      <c r="A1012" s="1" t="s">
        <v>1112</v>
      </c>
      <c r="B1012" s="1" t="s">
        <v>1149</v>
      </c>
      <c r="D1012" s="1" t="s">
        <v>1150</v>
      </c>
      <c r="E1012" s="1" t="s">
        <v>1157</v>
      </c>
      <c r="F1012" s="3">
        <v>0</v>
      </c>
      <c r="I1012" s="24" t="s">
        <v>3265</v>
      </c>
      <c r="J1012" s="24" t="s">
        <v>2919</v>
      </c>
      <c r="K1012" s="3">
        <v>24</v>
      </c>
      <c r="L1012" s="3" t="s">
        <v>6845</v>
      </c>
      <c r="M1012" s="3" t="str">
        <f>HYPERLINK("http://ictvonline.org/taxonomyHistory.asp?taxnode_id=20151295","ICTVonline=20151295")</f>
        <v>ICTVonline=20151295</v>
      </c>
    </row>
    <row r="1013" spans="1:13" x14ac:dyDescent="0.15">
      <c r="A1013" s="1" t="s">
        <v>1112</v>
      </c>
      <c r="B1013" s="1" t="s">
        <v>1158</v>
      </c>
      <c r="D1013" s="1" t="s">
        <v>1159</v>
      </c>
      <c r="E1013" s="1" t="s">
        <v>1160</v>
      </c>
      <c r="F1013" s="3">
        <v>1</v>
      </c>
      <c r="G1013" s="24" t="s">
        <v>4691</v>
      </c>
      <c r="H1013" s="24" t="s">
        <v>4692</v>
      </c>
      <c r="I1013" s="24" t="s">
        <v>3265</v>
      </c>
      <c r="J1013" s="24" t="s">
        <v>2920</v>
      </c>
      <c r="K1013" s="3">
        <v>24</v>
      </c>
      <c r="L1013" s="3" t="s">
        <v>6842</v>
      </c>
      <c r="M1013" s="3" t="str">
        <f>HYPERLINK("http://ictvonline.org/taxonomyHistory.asp?taxnode_id=20151304","ICTVonline=20151304")</f>
        <v>ICTVonline=20151304</v>
      </c>
    </row>
    <row r="1014" spans="1:13" x14ac:dyDescent="0.15">
      <c r="A1014" s="1" t="s">
        <v>1112</v>
      </c>
      <c r="B1014" s="1" t="s">
        <v>1161</v>
      </c>
      <c r="D1014" s="1" t="s">
        <v>1079</v>
      </c>
      <c r="E1014" s="1" t="s">
        <v>5</v>
      </c>
      <c r="F1014" s="3">
        <v>0</v>
      </c>
      <c r="I1014" s="24" t="s">
        <v>3265</v>
      </c>
      <c r="J1014" s="24" t="s">
        <v>2919</v>
      </c>
      <c r="K1014" s="3">
        <v>26</v>
      </c>
      <c r="L1014" s="3" t="s">
        <v>6853</v>
      </c>
      <c r="M1014" s="3" t="str">
        <f>HYPERLINK("http://ictvonline.org/taxonomyHistory.asp?taxnode_id=20151308","ICTVonline=20151308")</f>
        <v>ICTVonline=20151308</v>
      </c>
    </row>
    <row r="1015" spans="1:13" x14ac:dyDescent="0.15">
      <c r="A1015" s="1" t="s">
        <v>1112</v>
      </c>
      <c r="B1015" s="1" t="s">
        <v>1161</v>
      </c>
      <c r="D1015" s="1" t="s">
        <v>1079</v>
      </c>
      <c r="E1015" s="1" t="s">
        <v>2271</v>
      </c>
      <c r="F1015" s="3">
        <v>0</v>
      </c>
      <c r="I1015" s="24" t="s">
        <v>3265</v>
      </c>
      <c r="J1015" s="24" t="s">
        <v>2919</v>
      </c>
      <c r="K1015" s="3">
        <v>25</v>
      </c>
      <c r="L1015" s="3" t="s">
        <v>6854</v>
      </c>
      <c r="M1015" s="3" t="str">
        <f>HYPERLINK("http://ictvonline.org/taxonomyHistory.asp?taxnode_id=20151309","ICTVonline=20151309")</f>
        <v>ICTVonline=20151309</v>
      </c>
    </row>
    <row r="1016" spans="1:13" x14ac:dyDescent="0.15">
      <c r="A1016" s="1" t="s">
        <v>1112</v>
      </c>
      <c r="B1016" s="1" t="s">
        <v>1161</v>
      </c>
      <c r="D1016" s="1" t="s">
        <v>1079</v>
      </c>
      <c r="E1016" s="1" t="s">
        <v>727</v>
      </c>
      <c r="F1016" s="3">
        <v>0</v>
      </c>
      <c r="I1016" s="24" t="s">
        <v>3265</v>
      </c>
      <c r="J1016" s="24" t="s">
        <v>2924</v>
      </c>
      <c r="K1016" s="3">
        <v>29</v>
      </c>
      <c r="L1016" s="3" t="s">
        <v>6856</v>
      </c>
      <c r="M1016" s="3" t="str">
        <f>HYPERLINK("http://ictvonline.org/taxonomyHistory.asp?taxnode_id=20151310","ICTVonline=20151310")</f>
        <v>ICTVonline=20151310</v>
      </c>
    </row>
    <row r="1017" spans="1:13" x14ac:dyDescent="0.15">
      <c r="A1017" s="1" t="s">
        <v>1112</v>
      </c>
      <c r="B1017" s="1" t="s">
        <v>1161</v>
      </c>
      <c r="D1017" s="1" t="s">
        <v>1079</v>
      </c>
      <c r="E1017" s="1" t="s">
        <v>1869</v>
      </c>
      <c r="F1017" s="3">
        <v>1</v>
      </c>
      <c r="I1017" s="24" t="s">
        <v>3265</v>
      </c>
      <c r="J1017" s="24" t="s">
        <v>2920</v>
      </c>
      <c r="K1017" s="3">
        <v>24</v>
      </c>
      <c r="L1017" s="3" t="s">
        <v>6842</v>
      </c>
      <c r="M1017" s="3" t="str">
        <f>HYPERLINK("http://ictvonline.org/taxonomyHistory.asp?taxnode_id=20151311","ICTVonline=20151311")</f>
        <v>ICTVonline=20151311</v>
      </c>
    </row>
    <row r="1018" spans="1:13" x14ac:dyDescent="0.15">
      <c r="A1018" s="1" t="s">
        <v>1112</v>
      </c>
      <c r="B1018" s="1" t="s">
        <v>1161</v>
      </c>
      <c r="D1018" s="1" t="s">
        <v>2316</v>
      </c>
      <c r="E1018" s="1" t="s">
        <v>2317</v>
      </c>
      <c r="F1018" s="3">
        <v>1</v>
      </c>
      <c r="I1018" s="24" t="s">
        <v>3265</v>
      </c>
      <c r="J1018" s="24" t="s">
        <v>2921</v>
      </c>
      <c r="K1018" s="3">
        <v>27</v>
      </c>
      <c r="L1018" s="3" t="s">
        <v>6855</v>
      </c>
      <c r="M1018" s="3" t="str">
        <f>HYPERLINK("http://ictvonline.org/taxonomyHistory.asp?taxnode_id=20151313","ICTVonline=20151313")</f>
        <v>ICTVonline=20151313</v>
      </c>
    </row>
    <row r="1019" spans="1:13" x14ac:dyDescent="0.15">
      <c r="A1019" s="1" t="s">
        <v>1112</v>
      </c>
      <c r="B1019" s="1" t="s">
        <v>1161</v>
      </c>
      <c r="D1019" s="1" t="s">
        <v>1118</v>
      </c>
      <c r="E1019" s="1" t="s">
        <v>2799</v>
      </c>
      <c r="F1019" s="3">
        <v>1</v>
      </c>
      <c r="I1019" s="24" t="s">
        <v>3265</v>
      </c>
      <c r="J1019" s="24" t="s">
        <v>2924</v>
      </c>
      <c r="K1019" s="3">
        <v>29</v>
      </c>
      <c r="L1019" s="3" t="s">
        <v>6856</v>
      </c>
      <c r="M1019" s="3" t="str">
        <f>HYPERLINK("http://ictvonline.org/taxonomyHistory.asp?taxnode_id=20151315","ICTVonline=20151315")</f>
        <v>ICTVonline=20151315</v>
      </c>
    </row>
    <row r="1020" spans="1:13" x14ac:dyDescent="0.15">
      <c r="A1020" s="1" t="s">
        <v>1112</v>
      </c>
      <c r="B1020" s="1" t="s">
        <v>1161</v>
      </c>
      <c r="D1020" s="1" t="s">
        <v>2458</v>
      </c>
      <c r="E1020" s="1" t="s">
        <v>2459</v>
      </c>
      <c r="F1020" s="3">
        <v>1</v>
      </c>
      <c r="I1020" s="24" t="s">
        <v>3265</v>
      </c>
      <c r="J1020" s="24" t="s">
        <v>2919</v>
      </c>
      <c r="K1020" s="3">
        <v>28</v>
      </c>
      <c r="L1020" s="3" t="s">
        <v>6857</v>
      </c>
      <c r="M1020" s="3" t="str">
        <f>HYPERLINK("http://ictvonline.org/taxonomyHistory.asp?taxnode_id=20151317","ICTVonline=20151317")</f>
        <v>ICTVonline=20151317</v>
      </c>
    </row>
    <row r="1021" spans="1:13" x14ac:dyDescent="0.15">
      <c r="A1021" s="1" t="s">
        <v>1112</v>
      </c>
      <c r="B1021" s="1" t="s">
        <v>1161</v>
      </c>
      <c r="D1021" s="1" t="s">
        <v>1870</v>
      </c>
      <c r="E1021" s="1" t="s">
        <v>2800</v>
      </c>
      <c r="F1021" s="3">
        <v>1</v>
      </c>
      <c r="I1021" s="24" t="s">
        <v>3265</v>
      </c>
      <c r="J1021" s="24" t="s">
        <v>2924</v>
      </c>
      <c r="K1021" s="3">
        <v>29</v>
      </c>
      <c r="L1021" s="3" t="s">
        <v>6856</v>
      </c>
      <c r="M1021" s="3" t="str">
        <f>HYPERLINK("http://ictvonline.org/taxonomyHistory.asp?taxnode_id=20151319","ICTVonline=20151319")</f>
        <v>ICTVonline=20151319</v>
      </c>
    </row>
    <row r="1022" spans="1:13" x14ac:dyDescent="0.15">
      <c r="A1022" s="1" t="s">
        <v>1112</v>
      </c>
      <c r="B1022" s="1" t="s">
        <v>1161</v>
      </c>
      <c r="D1022" s="1" t="s">
        <v>1870</v>
      </c>
      <c r="E1022" s="1" t="s">
        <v>2801</v>
      </c>
      <c r="F1022" s="3">
        <v>0</v>
      </c>
      <c r="I1022" s="24" t="s">
        <v>3265</v>
      </c>
      <c r="J1022" s="24" t="s">
        <v>2924</v>
      </c>
      <c r="K1022" s="3">
        <v>29</v>
      </c>
      <c r="L1022" s="3" t="s">
        <v>6856</v>
      </c>
      <c r="M1022" s="3" t="str">
        <f>HYPERLINK("http://ictvonline.org/taxonomyHistory.asp?taxnode_id=20151320","ICTVonline=20151320")</f>
        <v>ICTVonline=20151320</v>
      </c>
    </row>
    <row r="1023" spans="1:13" x14ac:dyDescent="0.15">
      <c r="A1023" s="1" t="s">
        <v>1112</v>
      </c>
      <c r="B1023" s="1" t="s">
        <v>1161</v>
      </c>
      <c r="D1023" s="1" t="s">
        <v>1870</v>
      </c>
      <c r="E1023" s="1" t="s">
        <v>2802</v>
      </c>
      <c r="F1023" s="3">
        <v>0</v>
      </c>
      <c r="G1023" s="24" t="s">
        <v>3266</v>
      </c>
      <c r="H1023" s="24" t="s">
        <v>3267</v>
      </c>
      <c r="I1023" s="24" t="s">
        <v>3265</v>
      </c>
      <c r="J1023" s="24" t="s">
        <v>2919</v>
      </c>
      <c r="K1023" s="3">
        <v>29</v>
      </c>
      <c r="L1023" s="3" t="s">
        <v>6858</v>
      </c>
      <c r="M1023" s="3" t="str">
        <f>HYPERLINK("http://ictvonline.org/taxonomyHistory.asp?taxnode_id=20151321","ICTVonline=20151321")</f>
        <v>ICTVonline=20151321</v>
      </c>
    </row>
    <row r="1024" spans="1:13" x14ac:dyDescent="0.15">
      <c r="A1024" s="1" t="s">
        <v>1112</v>
      </c>
      <c r="B1024" s="1" t="s">
        <v>1161</v>
      </c>
      <c r="D1024" s="1" t="s">
        <v>2318</v>
      </c>
      <c r="E1024" s="1" t="s">
        <v>2319</v>
      </c>
      <c r="F1024" s="3">
        <v>1</v>
      </c>
      <c r="I1024" s="24" t="s">
        <v>3265</v>
      </c>
      <c r="J1024" s="24" t="s">
        <v>2921</v>
      </c>
      <c r="K1024" s="3">
        <v>27</v>
      </c>
      <c r="L1024" s="3" t="s">
        <v>6859</v>
      </c>
      <c r="M1024" s="3" t="str">
        <f>HYPERLINK("http://ictvonline.org/taxonomyHistory.asp?taxnode_id=20151323","ICTVonline=20151323")</f>
        <v>ICTVonline=20151323</v>
      </c>
    </row>
    <row r="1025" spans="1:13" x14ac:dyDescent="0.15">
      <c r="A1025" s="1" t="s">
        <v>1112</v>
      </c>
      <c r="B1025" s="1" t="s">
        <v>1161</v>
      </c>
      <c r="D1025" s="1" t="s">
        <v>2320</v>
      </c>
      <c r="E1025" s="1" t="s">
        <v>2321</v>
      </c>
      <c r="F1025" s="3">
        <v>1</v>
      </c>
      <c r="I1025" s="24" t="s">
        <v>3265</v>
      </c>
      <c r="J1025" s="24" t="s">
        <v>2921</v>
      </c>
      <c r="K1025" s="3">
        <v>27</v>
      </c>
      <c r="L1025" s="3" t="s">
        <v>6860</v>
      </c>
      <c r="M1025" s="3" t="str">
        <f>HYPERLINK("http://ictvonline.org/taxonomyHistory.asp?taxnode_id=20151325","ICTVonline=20151325")</f>
        <v>ICTVonline=20151325</v>
      </c>
    </row>
    <row r="1026" spans="1:13" x14ac:dyDescent="0.15">
      <c r="A1026" s="1" t="s">
        <v>1112</v>
      </c>
      <c r="B1026" s="1" t="s">
        <v>1161</v>
      </c>
      <c r="D1026" s="1" t="s">
        <v>642</v>
      </c>
      <c r="E1026" s="1" t="s">
        <v>2322</v>
      </c>
      <c r="F1026" s="3">
        <v>0</v>
      </c>
      <c r="I1026" s="24" t="s">
        <v>3265</v>
      </c>
      <c r="J1026" s="24" t="s">
        <v>2924</v>
      </c>
      <c r="K1026" s="3">
        <v>27</v>
      </c>
      <c r="L1026" s="3" t="s">
        <v>6861</v>
      </c>
      <c r="M1026" s="3" t="str">
        <f>HYPERLINK("http://ictvonline.org/taxonomyHistory.asp?taxnode_id=20151327","ICTVonline=20151327")</f>
        <v>ICTVonline=20151327</v>
      </c>
    </row>
    <row r="1027" spans="1:13" x14ac:dyDescent="0.15">
      <c r="A1027" s="1" t="s">
        <v>1112</v>
      </c>
      <c r="B1027" s="1" t="s">
        <v>1161</v>
      </c>
      <c r="D1027" s="1" t="s">
        <v>642</v>
      </c>
      <c r="E1027" s="1" t="s">
        <v>2323</v>
      </c>
      <c r="F1027" s="3">
        <v>0</v>
      </c>
      <c r="I1027" s="24" t="s">
        <v>3265</v>
      </c>
      <c r="J1027" s="24" t="s">
        <v>2924</v>
      </c>
      <c r="K1027" s="3">
        <v>27</v>
      </c>
      <c r="L1027" s="3" t="s">
        <v>6861</v>
      </c>
      <c r="M1027" s="3" t="str">
        <f>HYPERLINK("http://ictvonline.org/taxonomyHistory.asp?taxnode_id=20151328","ICTVonline=20151328")</f>
        <v>ICTVonline=20151328</v>
      </c>
    </row>
    <row r="1028" spans="1:13" x14ac:dyDescent="0.15">
      <c r="A1028" s="1" t="s">
        <v>1112</v>
      </c>
      <c r="B1028" s="1" t="s">
        <v>1161</v>
      </c>
      <c r="D1028" s="1" t="s">
        <v>642</v>
      </c>
      <c r="E1028" s="1" t="s">
        <v>2324</v>
      </c>
      <c r="F1028" s="3">
        <v>1</v>
      </c>
      <c r="I1028" s="24" t="s">
        <v>3265</v>
      </c>
      <c r="J1028" s="24" t="s">
        <v>2924</v>
      </c>
      <c r="K1028" s="3">
        <v>27</v>
      </c>
      <c r="L1028" s="3" t="s">
        <v>6861</v>
      </c>
      <c r="M1028" s="3" t="str">
        <f>HYPERLINK("http://ictvonline.org/taxonomyHistory.asp?taxnode_id=20151329","ICTVonline=20151329")</f>
        <v>ICTVonline=20151329</v>
      </c>
    </row>
    <row r="1029" spans="1:13" x14ac:dyDescent="0.15">
      <c r="A1029" s="1" t="s">
        <v>1112</v>
      </c>
      <c r="B1029" s="1" t="s">
        <v>1161</v>
      </c>
      <c r="D1029" s="1" t="s">
        <v>642</v>
      </c>
      <c r="E1029" s="1" t="s">
        <v>2325</v>
      </c>
      <c r="F1029" s="3">
        <v>0</v>
      </c>
      <c r="I1029" s="24" t="s">
        <v>3265</v>
      </c>
      <c r="J1029" s="24" t="s">
        <v>2924</v>
      </c>
      <c r="K1029" s="3">
        <v>27</v>
      </c>
      <c r="L1029" s="3" t="s">
        <v>6861</v>
      </c>
      <c r="M1029" s="3" t="str">
        <f>HYPERLINK("http://ictvonline.org/taxonomyHistory.asp?taxnode_id=20151330","ICTVonline=20151330")</f>
        <v>ICTVonline=20151330</v>
      </c>
    </row>
    <row r="1030" spans="1:13" x14ac:dyDescent="0.15">
      <c r="A1030" s="1" t="s">
        <v>1112</v>
      </c>
      <c r="B1030" s="1" t="s">
        <v>1161</v>
      </c>
      <c r="D1030" s="1" t="s">
        <v>642</v>
      </c>
      <c r="E1030" s="1" t="s">
        <v>2326</v>
      </c>
      <c r="F1030" s="3">
        <v>0</v>
      </c>
      <c r="I1030" s="24" t="s">
        <v>3265</v>
      </c>
      <c r="J1030" s="24" t="s">
        <v>2924</v>
      </c>
      <c r="K1030" s="3">
        <v>27</v>
      </c>
      <c r="L1030" s="3" t="s">
        <v>6861</v>
      </c>
      <c r="M1030" s="3" t="str">
        <f>HYPERLINK("http://ictvonline.org/taxonomyHistory.asp?taxnode_id=20151331","ICTVonline=20151331")</f>
        <v>ICTVonline=20151331</v>
      </c>
    </row>
    <row r="1031" spans="1:13" x14ac:dyDescent="0.15">
      <c r="A1031" s="1" t="s">
        <v>1112</v>
      </c>
      <c r="B1031" s="1" t="s">
        <v>1161</v>
      </c>
      <c r="D1031" s="1" t="s">
        <v>642</v>
      </c>
      <c r="E1031" s="1" t="s">
        <v>2327</v>
      </c>
      <c r="F1031" s="3">
        <v>0</v>
      </c>
      <c r="I1031" s="24" t="s">
        <v>3265</v>
      </c>
      <c r="J1031" s="24" t="s">
        <v>2919</v>
      </c>
      <c r="K1031" s="3">
        <v>27</v>
      </c>
      <c r="L1031" s="3" t="s">
        <v>6861</v>
      </c>
      <c r="M1031" s="3" t="str">
        <f>HYPERLINK("http://ictvonline.org/taxonomyHistory.asp?taxnode_id=20151332","ICTVonline=20151332")</f>
        <v>ICTVonline=20151332</v>
      </c>
    </row>
    <row r="1032" spans="1:13" x14ac:dyDescent="0.15">
      <c r="A1032" s="1" t="s">
        <v>1112</v>
      </c>
      <c r="B1032" s="1" t="s">
        <v>1161</v>
      </c>
      <c r="D1032" s="1" t="s">
        <v>642</v>
      </c>
      <c r="E1032" s="1" t="s">
        <v>2328</v>
      </c>
      <c r="F1032" s="3">
        <v>0</v>
      </c>
      <c r="I1032" s="24" t="s">
        <v>3265</v>
      </c>
      <c r="J1032" s="24" t="s">
        <v>2924</v>
      </c>
      <c r="K1032" s="3">
        <v>27</v>
      </c>
      <c r="L1032" s="3" t="s">
        <v>6861</v>
      </c>
      <c r="M1032" s="3" t="str">
        <f>HYPERLINK("http://ictvonline.org/taxonomyHistory.asp?taxnode_id=20151333","ICTVonline=20151333")</f>
        <v>ICTVonline=20151333</v>
      </c>
    </row>
    <row r="1033" spans="1:13" x14ac:dyDescent="0.15">
      <c r="A1033" s="1" t="s">
        <v>1112</v>
      </c>
      <c r="B1033" s="1" t="s">
        <v>1161</v>
      </c>
      <c r="D1033" s="1" t="s">
        <v>642</v>
      </c>
      <c r="E1033" s="1" t="s">
        <v>2329</v>
      </c>
      <c r="F1033" s="3">
        <v>0</v>
      </c>
      <c r="I1033" s="24" t="s">
        <v>3265</v>
      </c>
      <c r="J1033" s="24" t="s">
        <v>2924</v>
      </c>
      <c r="K1033" s="3">
        <v>27</v>
      </c>
      <c r="L1033" s="3" t="s">
        <v>6861</v>
      </c>
      <c r="M1033" s="3" t="str">
        <f>HYPERLINK("http://ictvonline.org/taxonomyHistory.asp?taxnode_id=20151334","ICTVonline=20151334")</f>
        <v>ICTVonline=20151334</v>
      </c>
    </row>
    <row r="1034" spans="1:13" x14ac:dyDescent="0.15">
      <c r="A1034" s="1" t="s">
        <v>1112</v>
      </c>
      <c r="B1034" s="1" t="s">
        <v>1161</v>
      </c>
      <c r="D1034" s="1" t="s">
        <v>642</v>
      </c>
      <c r="E1034" s="1" t="s">
        <v>2330</v>
      </c>
      <c r="F1034" s="3">
        <v>0</v>
      </c>
      <c r="I1034" s="24" t="s">
        <v>3265</v>
      </c>
      <c r="J1034" s="24" t="s">
        <v>2919</v>
      </c>
      <c r="K1034" s="3">
        <v>27</v>
      </c>
      <c r="L1034" s="3" t="s">
        <v>6861</v>
      </c>
      <c r="M1034" s="3" t="str">
        <f>HYPERLINK("http://ictvonline.org/taxonomyHistory.asp?taxnode_id=20151335","ICTVonline=20151335")</f>
        <v>ICTVonline=20151335</v>
      </c>
    </row>
    <row r="1035" spans="1:13" x14ac:dyDescent="0.15">
      <c r="A1035" s="1" t="s">
        <v>1112</v>
      </c>
      <c r="B1035" s="1" t="s">
        <v>1161</v>
      </c>
      <c r="D1035" s="1" t="s">
        <v>642</v>
      </c>
      <c r="E1035" s="1" t="s">
        <v>2331</v>
      </c>
      <c r="F1035" s="3">
        <v>0</v>
      </c>
      <c r="I1035" s="24" t="s">
        <v>3265</v>
      </c>
      <c r="J1035" s="24" t="s">
        <v>2924</v>
      </c>
      <c r="K1035" s="3">
        <v>27</v>
      </c>
      <c r="L1035" s="3" t="s">
        <v>6861</v>
      </c>
      <c r="M1035" s="3" t="str">
        <f>HYPERLINK("http://ictvonline.org/taxonomyHistory.asp?taxnode_id=20151336","ICTVonline=20151336")</f>
        <v>ICTVonline=20151336</v>
      </c>
    </row>
    <row r="1036" spans="1:13" x14ac:dyDescent="0.15">
      <c r="A1036" s="1" t="s">
        <v>1112</v>
      </c>
      <c r="B1036" s="1" t="s">
        <v>1161</v>
      </c>
      <c r="D1036" s="1" t="s">
        <v>642</v>
      </c>
      <c r="E1036" s="1" t="s">
        <v>2332</v>
      </c>
      <c r="F1036" s="3">
        <v>0</v>
      </c>
      <c r="I1036" s="24" t="s">
        <v>3265</v>
      </c>
      <c r="J1036" s="24" t="s">
        <v>2924</v>
      </c>
      <c r="K1036" s="3">
        <v>27</v>
      </c>
      <c r="L1036" s="3" t="s">
        <v>6861</v>
      </c>
      <c r="M1036" s="3" t="str">
        <f>HYPERLINK("http://ictvonline.org/taxonomyHistory.asp?taxnode_id=20151337","ICTVonline=20151337")</f>
        <v>ICTVonline=20151337</v>
      </c>
    </row>
    <row r="1037" spans="1:13" x14ac:dyDescent="0.15">
      <c r="A1037" s="1" t="s">
        <v>1112</v>
      </c>
      <c r="B1037" s="1" t="s">
        <v>1161</v>
      </c>
      <c r="D1037" s="1" t="s">
        <v>642</v>
      </c>
      <c r="E1037" s="1" t="s">
        <v>2333</v>
      </c>
      <c r="F1037" s="3">
        <v>0</v>
      </c>
      <c r="I1037" s="24" t="s">
        <v>3265</v>
      </c>
      <c r="J1037" s="24" t="s">
        <v>2924</v>
      </c>
      <c r="K1037" s="3">
        <v>27</v>
      </c>
      <c r="L1037" s="3" t="s">
        <v>6861</v>
      </c>
      <c r="M1037" s="3" t="str">
        <f>HYPERLINK("http://ictvonline.org/taxonomyHistory.asp?taxnode_id=20151338","ICTVonline=20151338")</f>
        <v>ICTVonline=20151338</v>
      </c>
    </row>
    <row r="1038" spans="1:13" x14ac:dyDescent="0.15">
      <c r="A1038" s="1" t="s">
        <v>1112</v>
      </c>
      <c r="B1038" s="1" t="s">
        <v>1161</v>
      </c>
      <c r="D1038" s="1" t="s">
        <v>645</v>
      </c>
      <c r="E1038" s="1" t="s">
        <v>2803</v>
      </c>
      <c r="F1038" s="3">
        <v>1</v>
      </c>
      <c r="I1038" s="24" t="s">
        <v>3265</v>
      </c>
      <c r="J1038" s="24" t="s">
        <v>2924</v>
      </c>
      <c r="K1038" s="3">
        <v>29</v>
      </c>
      <c r="L1038" s="3" t="s">
        <v>6856</v>
      </c>
      <c r="M1038" s="3" t="str">
        <f>HYPERLINK("http://ictvonline.org/taxonomyHistory.asp?taxnode_id=20151340","ICTVonline=20151340")</f>
        <v>ICTVonline=20151340</v>
      </c>
    </row>
    <row r="1039" spans="1:13" x14ac:dyDescent="0.15">
      <c r="A1039" s="1" t="s">
        <v>1112</v>
      </c>
      <c r="B1039" s="1" t="s">
        <v>1161</v>
      </c>
      <c r="D1039" s="1" t="s">
        <v>2460</v>
      </c>
      <c r="E1039" s="1" t="s">
        <v>2461</v>
      </c>
      <c r="F1039" s="3">
        <v>1</v>
      </c>
      <c r="I1039" s="24" t="s">
        <v>3265</v>
      </c>
      <c r="J1039" s="24" t="s">
        <v>2919</v>
      </c>
      <c r="K1039" s="3">
        <v>28</v>
      </c>
      <c r="L1039" s="3" t="s">
        <v>6862</v>
      </c>
      <c r="M1039" s="3" t="str">
        <f>HYPERLINK("http://ictvonline.org/taxonomyHistory.asp?taxnode_id=20151342","ICTVonline=20151342")</f>
        <v>ICTVonline=20151342</v>
      </c>
    </row>
    <row r="1040" spans="1:13" x14ac:dyDescent="0.15">
      <c r="A1040" s="1" t="s">
        <v>1112</v>
      </c>
      <c r="B1040" s="1" t="s">
        <v>1161</v>
      </c>
      <c r="D1040" s="1" t="s">
        <v>646</v>
      </c>
      <c r="E1040" s="1" t="s">
        <v>2804</v>
      </c>
      <c r="F1040" s="3">
        <v>1</v>
      </c>
      <c r="I1040" s="24" t="s">
        <v>3265</v>
      </c>
      <c r="J1040" s="24" t="s">
        <v>2924</v>
      </c>
      <c r="K1040" s="3">
        <v>29</v>
      </c>
      <c r="L1040" s="3" t="s">
        <v>6856</v>
      </c>
      <c r="M1040" s="3" t="str">
        <f>HYPERLINK("http://ictvonline.org/taxonomyHistory.asp?taxnode_id=20151344","ICTVonline=20151344")</f>
        <v>ICTVonline=20151344</v>
      </c>
    </row>
    <row r="1041" spans="1:13" x14ac:dyDescent="0.15">
      <c r="A1041" s="1" t="s">
        <v>1112</v>
      </c>
      <c r="B1041" s="1" t="s">
        <v>1161</v>
      </c>
      <c r="D1041" s="1" t="s">
        <v>2462</v>
      </c>
      <c r="E1041" s="1" t="s">
        <v>2463</v>
      </c>
      <c r="F1041" s="3">
        <v>1</v>
      </c>
      <c r="I1041" s="24" t="s">
        <v>3265</v>
      </c>
      <c r="J1041" s="24" t="s">
        <v>2919</v>
      </c>
      <c r="K1041" s="3">
        <v>28</v>
      </c>
      <c r="L1041" s="3" t="s">
        <v>6863</v>
      </c>
      <c r="M1041" s="3" t="str">
        <f>HYPERLINK("http://ictvonline.org/taxonomyHistory.asp?taxnode_id=20151346","ICTVonline=20151346")</f>
        <v>ICTVonline=20151346</v>
      </c>
    </row>
    <row r="1042" spans="1:13" x14ac:dyDescent="0.15">
      <c r="A1042" s="1" t="s">
        <v>1112</v>
      </c>
      <c r="B1042" s="1" t="s">
        <v>1161</v>
      </c>
      <c r="D1042" s="1" t="s">
        <v>647</v>
      </c>
      <c r="E1042" s="1" t="s">
        <v>2334</v>
      </c>
      <c r="F1042" s="3">
        <v>1</v>
      </c>
      <c r="I1042" s="24" t="s">
        <v>3265</v>
      </c>
      <c r="J1042" s="24" t="s">
        <v>2924</v>
      </c>
      <c r="K1042" s="3">
        <v>27</v>
      </c>
      <c r="L1042" s="3" t="s">
        <v>6864</v>
      </c>
      <c r="M1042" s="3" t="str">
        <f>HYPERLINK("http://ictvonline.org/taxonomyHistory.asp?taxnode_id=20151348","ICTVonline=20151348")</f>
        <v>ICTVonline=20151348</v>
      </c>
    </row>
    <row r="1043" spans="1:13" x14ac:dyDescent="0.15">
      <c r="A1043" s="1" t="s">
        <v>1112</v>
      </c>
      <c r="B1043" s="1" t="s">
        <v>1161</v>
      </c>
      <c r="D1043" s="1" t="s">
        <v>647</v>
      </c>
      <c r="E1043" s="1" t="s">
        <v>2335</v>
      </c>
      <c r="F1043" s="3">
        <v>0</v>
      </c>
      <c r="I1043" s="24" t="s">
        <v>3265</v>
      </c>
      <c r="J1043" s="24" t="s">
        <v>2924</v>
      </c>
      <c r="K1043" s="3">
        <v>27</v>
      </c>
      <c r="L1043" s="3" t="s">
        <v>6864</v>
      </c>
      <c r="M1043" s="3" t="str">
        <f>HYPERLINK("http://ictvonline.org/taxonomyHistory.asp?taxnode_id=20151349","ICTVonline=20151349")</f>
        <v>ICTVonline=20151349</v>
      </c>
    </row>
    <row r="1044" spans="1:13" x14ac:dyDescent="0.15">
      <c r="A1044" s="1" t="s">
        <v>1112</v>
      </c>
      <c r="B1044" s="1" t="s">
        <v>1161</v>
      </c>
      <c r="D1044" s="1" t="s">
        <v>647</v>
      </c>
      <c r="E1044" s="1" t="s">
        <v>2336</v>
      </c>
      <c r="F1044" s="3">
        <v>0</v>
      </c>
      <c r="I1044" s="24" t="s">
        <v>3265</v>
      </c>
      <c r="J1044" s="24" t="s">
        <v>2919</v>
      </c>
      <c r="K1044" s="3">
        <v>27</v>
      </c>
      <c r="L1044" s="3" t="s">
        <v>6865</v>
      </c>
      <c r="M1044" s="3" t="str">
        <f>HYPERLINK("http://ictvonline.org/taxonomyHistory.asp?taxnode_id=20151350","ICTVonline=20151350")</f>
        <v>ICTVonline=20151350</v>
      </c>
    </row>
    <row r="1045" spans="1:13" x14ac:dyDescent="0.15">
      <c r="A1045" s="1" t="s">
        <v>1112</v>
      </c>
      <c r="B1045" s="1" t="s">
        <v>1161</v>
      </c>
      <c r="D1045" s="1" t="s">
        <v>2805</v>
      </c>
      <c r="E1045" s="1" t="s">
        <v>2806</v>
      </c>
      <c r="F1045" s="3">
        <v>1</v>
      </c>
      <c r="G1045" s="24" t="s">
        <v>3268</v>
      </c>
      <c r="H1045" s="24" t="s">
        <v>3269</v>
      </c>
      <c r="I1045" s="24" t="s">
        <v>3265</v>
      </c>
      <c r="J1045" s="24" t="s">
        <v>2919</v>
      </c>
      <c r="K1045" s="3">
        <v>29</v>
      </c>
      <c r="L1045" s="3" t="s">
        <v>6866</v>
      </c>
      <c r="M1045" s="3" t="str">
        <f>HYPERLINK("http://ictvonline.org/taxonomyHistory.asp?taxnode_id=20151352","ICTVonline=20151352")</f>
        <v>ICTVonline=20151352</v>
      </c>
    </row>
    <row r="1046" spans="1:13" x14ac:dyDescent="0.15">
      <c r="A1046" s="1" t="s">
        <v>1112</v>
      </c>
      <c r="B1046" s="1" t="s">
        <v>1161</v>
      </c>
      <c r="D1046" s="1" t="s">
        <v>4693</v>
      </c>
      <c r="E1046" s="1" t="s">
        <v>4694</v>
      </c>
      <c r="F1046" s="3">
        <v>1</v>
      </c>
      <c r="G1046" s="24" t="s">
        <v>7473</v>
      </c>
      <c r="H1046" s="24" t="s">
        <v>4695</v>
      </c>
      <c r="I1046" s="24" t="s">
        <v>3265</v>
      </c>
      <c r="J1046" s="24" t="s">
        <v>2919</v>
      </c>
      <c r="K1046" s="3">
        <v>30</v>
      </c>
      <c r="L1046" s="3" t="s">
        <v>6867</v>
      </c>
      <c r="M1046" s="3" t="str">
        <f>HYPERLINK("http://ictvonline.org/taxonomyHistory.asp?taxnode_id=20151387","ICTVonline=20151387")</f>
        <v>ICTVonline=20151387</v>
      </c>
    </row>
    <row r="1047" spans="1:13" x14ac:dyDescent="0.15">
      <c r="A1047" s="1" t="s">
        <v>1112</v>
      </c>
      <c r="B1047" s="1" t="s">
        <v>1161</v>
      </c>
      <c r="D1047" s="1" t="s">
        <v>4693</v>
      </c>
      <c r="E1047" s="1" t="s">
        <v>4696</v>
      </c>
      <c r="F1047" s="3">
        <v>0</v>
      </c>
      <c r="G1047" s="24" t="s">
        <v>7474</v>
      </c>
      <c r="H1047" s="24" t="s">
        <v>4697</v>
      </c>
      <c r="I1047" s="24" t="s">
        <v>3265</v>
      </c>
      <c r="J1047" s="24" t="s">
        <v>2919</v>
      </c>
      <c r="K1047" s="3">
        <v>30</v>
      </c>
      <c r="L1047" s="3" t="s">
        <v>6867</v>
      </c>
      <c r="M1047" s="3" t="str">
        <f>HYPERLINK("http://ictvonline.org/taxonomyHistory.asp?taxnode_id=20151388","ICTVonline=20151388")</f>
        <v>ICTVonline=20151388</v>
      </c>
    </row>
    <row r="1048" spans="1:13" x14ac:dyDescent="0.15">
      <c r="A1048" s="1" t="s">
        <v>1112</v>
      </c>
      <c r="B1048" s="1" t="s">
        <v>1161</v>
      </c>
      <c r="D1048" s="1" t="s">
        <v>4693</v>
      </c>
      <c r="E1048" s="1" t="s">
        <v>4698</v>
      </c>
      <c r="F1048" s="3">
        <v>0</v>
      </c>
      <c r="G1048" s="24" t="s">
        <v>7475</v>
      </c>
      <c r="H1048" s="24" t="s">
        <v>4699</v>
      </c>
      <c r="I1048" s="24" t="s">
        <v>3265</v>
      </c>
      <c r="J1048" s="24" t="s">
        <v>2919</v>
      </c>
      <c r="K1048" s="3">
        <v>30</v>
      </c>
      <c r="L1048" s="3" t="s">
        <v>6867</v>
      </c>
      <c r="M1048" s="3" t="str">
        <f>HYPERLINK("http://ictvonline.org/taxonomyHistory.asp?taxnode_id=20151389","ICTVonline=20151389")</f>
        <v>ICTVonline=20151389</v>
      </c>
    </row>
    <row r="1049" spans="1:13" x14ac:dyDescent="0.15">
      <c r="A1049" s="1" t="s">
        <v>1112</v>
      </c>
      <c r="B1049" s="1" t="s">
        <v>1161</v>
      </c>
      <c r="D1049" s="1" t="s">
        <v>2337</v>
      </c>
      <c r="E1049" s="1" t="s">
        <v>2338</v>
      </c>
      <c r="F1049" s="3">
        <v>1</v>
      </c>
      <c r="I1049" s="24" t="s">
        <v>3265</v>
      </c>
      <c r="J1049" s="24" t="s">
        <v>2921</v>
      </c>
      <c r="K1049" s="3">
        <v>27</v>
      </c>
      <c r="L1049" s="3" t="s">
        <v>6868</v>
      </c>
      <c r="M1049" s="3" t="str">
        <f>HYPERLINK("http://ictvonline.org/taxonomyHistory.asp?taxnode_id=20151354","ICTVonline=20151354")</f>
        <v>ICTVonline=20151354</v>
      </c>
    </row>
    <row r="1050" spans="1:13" x14ac:dyDescent="0.15">
      <c r="A1050" s="1" t="s">
        <v>1112</v>
      </c>
      <c r="B1050" s="1" t="s">
        <v>1161</v>
      </c>
      <c r="D1050" s="1" t="s">
        <v>2464</v>
      </c>
      <c r="E1050" s="1" t="s">
        <v>2465</v>
      </c>
      <c r="F1050" s="3">
        <v>1</v>
      </c>
      <c r="I1050" s="24" t="s">
        <v>3265</v>
      </c>
      <c r="J1050" s="24" t="s">
        <v>2919</v>
      </c>
      <c r="K1050" s="3">
        <v>28</v>
      </c>
      <c r="L1050" s="3" t="s">
        <v>6869</v>
      </c>
      <c r="M1050" s="3" t="str">
        <f>HYPERLINK("http://ictvonline.org/taxonomyHistory.asp?taxnode_id=20151356","ICTVonline=20151356")</f>
        <v>ICTVonline=20151356</v>
      </c>
    </row>
    <row r="1051" spans="1:13" x14ac:dyDescent="0.15">
      <c r="A1051" s="1" t="s">
        <v>1112</v>
      </c>
      <c r="B1051" s="1" t="s">
        <v>1161</v>
      </c>
      <c r="D1051" s="1" t="s">
        <v>2466</v>
      </c>
      <c r="E1051" s="1" t="s">
        <v>2467</v>
      </c>
      <c r="F1051" s="3">
        <v>1</v>
      </c>
      <c r="I1051" s="24" t="s">
        <v>3265</v>
      </c>
      <c r="J1051" s="24" t="s">
        <v>2919</v>
      </c>
      <c r="K1051" s="3">
        <v>28</v>
      </c>
      <c r="L1051" s="3" t="s">
        <v>6870</v>
      </c>
      <c r="M1051" s="3" t="str">
        <f>HYPERLINK("http://ictvonline.org/taxonomyHistory.asp?taxnode_id=20151358","ICTVonline=20151358")</f>
        <v>ICTVonline=20151358</v>
      </c>
    </row>
    <row r="1052" spans="1:13" x14ac:dyDescent="0.15">
      <c r="A1052" s="1" t="s">
        <v>1112</v>
      </c>
      <c r="B1052" s="1" t="s">
        <v>1161</v>
      </c>
      <c r="D1052" s="1" t="s">
        <v>2468</v>
      </c>
      <c r="E1052" s="1" t="s">
        <v>2469</v>
      </c>
      <c r="F1052" s="3">
        <v>1</v>
      </c>
      <c r="I1052" s="24" t="s">
        <v>3265</v>
      </c>
      <c r="J1052" s="24" t="s">
        <v>2919</v>
      </c>
      <c r="K1052" s="3">
        <v>28</v>
      </c>
      <c r="L1052" s="3" t="s">
        <v>6871</v>
      </c>
      <c r="M1052" s="3" t="str">
        <f>HYPERLINK("http://ictvonline.org/taxonomyHistory.asp?taxnode_id=20151360","ICTVonline=20151360")</f>
        <v>ICTVonline=20151360</v>
      </c>
    </row>
    <row r="1053" spans="1:13" x14ac:dyDescent="0.15">
      <c r="A1053" s="1" t="s">
        <v>1112</v>
      </c>
      <c r="B1053" s="1" t="s">
        <v>1161</v>
      </c>
      <c r="D1053" s="1" t="s">
        <v>999</v>
      </c>
      <c r="E1053" s="1" t="s">
        <v>2807</v>
      </c>
      <c r="F1053" s="3">
        <v>1</v>
      </c>
      <c r="I1053" s="24" t="s">
        <v>3265</v>
      </c>
      <c r="J1053" s="24" t="s">
        <v>2924</v>
      </c>
      <c r="K1053" s="3">
        <v>29</v>
      </c>
      <c r="L1053" s="3" t="s">
        <v>6856</v>
      </c>
      <c r="M1053" s="3" t="str">
        <f>HYPERLINK("http://ictvonline.org/taxonomyHistory.asp?taxnode_id=20151362","ICTVonline=20151362")</f>
        <v>ICTVonline=20151362</v>
      </c>
    </row>
    <row r="1054" spans="1:13" x14ac:dyDescent="0.15">
      <c r="A1054" s="1" t="s">
        <v>1112</v>
      </c>
      <c r="B1054" s="1" t="s">
        <v>1161</v>
      </c>
      <c r="D1054" s="1" t="s">
        <v>999</v>
      </c>
      <c r="E1054" s="1" t="s">
        <v>2808</v>
      </c>
      <c r="F1054" s="3">
        <v>0</v>
      </c>
      <c r="I1054" s="24" t="s">
        <v>3265</v>
      </c>
      <c r="J1054" s="24" t="s">
        <v>2924</v>
      </c>
      <c r="K1054" s="3">
        <v>29</v>
      </c>
      <c r="L1054" s="3" t="s">
        <v>6856</v>
      </c>
      <c r="M1054" s="3" t="str">
        <f>HYPERLINK("http://ictvonline.org/taxonomyHistory.asp?taxnode_id=20151363","ICTVonline=20151363")</f>
        <v>ICTVonline=20151363</v>
      </c>
    </row>
    <row r="1055" spans="1:13" x14ac:dyDescent="0.15">
      <c r="A1055" s="1" t="s">
        <v>1112</v>
      </c>
      <c r="B1055" s="1" t="s">
        <v>1161</v>
      </c>
      <c r="D1055" s="1" t="s">
        <v>2470</v>
      </c>
      <c r="E1055" s="1" t="s">
        <v>2471</v>
      </c>
      <c r="F1055" s="3">
        <v>1</v>
      </c>
      <c r="I1055" s="24" t="s">
        <v>3265</v>
      </c>
      <c r="J1055" s="24" t="s">
        <v>2919</v>
      </c>
      <c r="K1055" s="3">
        <v>28</v>
      </c>
      <c r="L1055" s="3" t="s">
        <v>6872</v>
      </c>
      <c r="M1055" s="3" t="str">
        <f>HYPERLINK("http://ictvonline.org/taxonomyHistory.asp?taxnode_id=20151365","ICTVonline=20151365")</f>
        <v>ICTVonline=20151365</v>
      </c>
    </row>
    <row r="1056" spans="1:13" x14ac:dyDescent="0.15">
      <c r="A1056" s="1" t="s">
        <v>1112</v>
      </c>
      <c r="B1056" s="1" t="s">
        <v>1161</v>
      </c>
      <c r="D1056" s="1" t="s">
        <v>2472</v>
      </c>
      <c r="E1056" s="1" t="s">
        <v>2473</v>
      </c>
      <c r="F1056" s="3">
        <v>1</v>
      </c>
      <c r="I1056" s="24" t="s">
        <v>3265</v>
      </c>
      <c r="J1056" s="24" t="s">
        <v>2919</v>
      </c>
      <c r="K1056" s="3">
        <v>28</v>
      </c>
      <c r="L1056" s="3" t="s">
        <v>6873</v>
      </c>
      <c r="M1056" s="3" t="str">
        <f>HYPERLINK("http://ictvonline.org/taxonomyHistory.asp?taxnode_id=20151367","ICTVonline=20151367")</f>
        <v>ICTVonline=20151367</v>
      </c>
    </row>
    <row r="1057" spans="1:13" x14ac:dyDescent="0.15">
      <c r="A1057" s="1" t="s">
        <v>1112</v>
      </c>
      <c r="B1057" s="1" t="s">
        <v>1161</v>
      </c>
      <c r="D1057" s="1" t="s">
        <v>4700</v>
      </c>
      <c r="E1057" s="1" t="s">
        <v>4701</v>
      </c>
      <c r="F1057" s="3">
        <v>1</v>
      </c>
      <c r="G1057" s="24" t="s">
        <v>7476</v>
      </c>
      <c r="H1057" s="24" t="s">
        <v>4702</v>
      </c>
      <c r="I1057" s="24" t="s">
        <v>3265</v>
      </c>
      <c r="J1057" s="24" t="s">
        <v>2919</v>
      </c>
      <c r="K1057" s="3">
        <v>30</v>
      </c>
      <c r="L1057" s="3" t="s">
        <v>6874</v>
      </c>
      <c r="M1057" s="3" t="str">
        <f>HYPERLINK("http://ictvonline.org/taxonomyHistory.asp?taxnode_id=20151391","ICTVonline=20151391")</f>
        <v>ICTVonline=20151391</v>
      </c>
    </row>
    <row r="1058" spans="1:13" x14ac:dyDescent="0.15">
      <c r="A1058" s="1" t="s">
        <v>1112</v>
      </c>
      <c r="B1058" s="1" t="s">
        <v>1161</v>
      </c>
      <c r="D1058" s="1" t="s">
        <v>2474</v>
      </c>
      <c r="E1058" s="1" t="s">
        <v>2475</v>
      </c>
      <c r="F1058" s="3">
        <v>1</v>
      </c>
      <c r="I1058" s="24" t="s">
        <v>3265</v>
      </c>
      <c r="J1058" s="24" t="s">
        <v>2919</v>
      </c>
      <c r="K1058" s="3">
        <v>28</v>
      </c>
      <c r="L1058" s="3" t="s">
        <v>6875</v>
      </c>
      <c r="M1058" s="3" t="str">
        <f>HYPERLINK("http://ictvonline.org/taxonomyHistory.asp?taxnode_id=20151369","ICTVonline=20151369")</f>
        <v>ICTVonline=20151369</v>
      </c>
    </row>
    <row r="1059" spans="1:13" x14ac:dyDescent="0.15">
      <c r="A1059" s="1" t="s">
        <v>1112</v>
      </c>
      <c r="B1059" s="1" t="s">
        <v>1161</v>
      </c>
      <c r="D1059" s="1" t="s">
        <v>2809</v>
      </c>
      <c r="E1059" s="1" t="s">
        <v>2810</v>
      </c>
      <c r="F1059" s="3">
        <v>1</v>
      </c>
      <c r="G1059" s="24" t="s">
        <v>3270</v>
      </c>
      <c r="H1059" s="24" t="s">
        <v>3271</v>
      </c>
      <c r="I1059" s="24" t="s">
        <v>3265</v>
      </c>
      <c r="J1059" s="24" t="s">
        <v>2919</v>
      </c>
      <c r="K1059" s="3">
        <v>29</v>
      </c>
      <c r="L1059" s="3" t="s">
        <v>6876</v>
      </c>
      <c r="M1059" s="3" t="str">
        <f>HYPERLINK("http://ictvonline.org/taxonomyHistory.asp?taxnode_id=20151371","ICTVonline=20151371")</f>
        <v>ICTVonline=20151371</v>
      </c>
    </row>
    <row r="1060" spans="1:13" x14ac:dyDescent="0.15">
      <c r="A1060" s="1" t="s">
        <v>1112</v>
      </c>
      <c r="B1060" s="1" t="s">
        <v>1161</v>
      </c>
      <c r="D1060" s="1" t="s">
        <v>2339</v>
      </c>
      <c r="E1060" s="1" t="s">
        <v>2340</v>
      </c>
      <c r="F1060" s="3">
        <v>1</v>
      </c>
      <c r="I1060" s="24" t="s">
        <v>3265</v>
      </c>
      <c r="J1060" s="24" t="s">
        <v>2921</v>
      </c>
      <c r="K1060" s="3">
        <v>27</v>
      </c>
      <c r="L1060" s="3" t="s">
        <v>6877</v>
      </c>
      <c r="M1060" s="3" t="str">
        <f>HYPERLINK("http://ictvonline.org/taxonomyHistory.asp?taxnode_id=20151373","ICTVonline=20151373")</f>
        <v>ICTVonline=20151373</v>
      </c>
    </row>
    <row r="1061" spans="1:13" x14ac:dyDescent="0.15">
      <c r="A1061" s="1" t="s">
        <v>1112</v>
      </c>
      <c r="B1061" s="1" t="s">
        <v>1161</v>
      </c>
      <c r="D1061" s="1" t="s">
        <v>1115</v>
      </c>
      <c r="E1061" s="1" t="s">
        <v>1116</v>
      </c>
      <c r="F1061" s="3">
        <v>0</v>
      </c>
      <c r="I1061" s="24" t="s">
        <v>3265</v>
      </c>
      <c r="J1061" s="24" t="s">
        <v>2919</v>
      </c>
      <c r="K1061" s="3">
        <v>25</v>
      </c>
      <c r="L1061" s="3" t="s">
        <v>6878</v>
      </c>
      <c r="M1061" s="3" t="str">
        <f>HYPERLINK("http://ictvonline.org/taxonomyHistory.asp?taxnode_id=20151375","ICTVonline=20151375")</f>
        <v>ICTVonline=20151375</v>
      </c>
    </row>
    <row r="1062" spans="1:13" x14ac:dyDescent="0.15">
      <c r="A1062" s="1" t="s">
        <v>1112</v>
      </c>
      <c r="B1062" s="1" t="s">
        <v>1161</v>
      </c>
      <c r="D1062" s="1" t="s">
        <v>1115</v>
      </c>
      <c r="E1062" s="1" t="s">
        <v>2811</v>
      </c>
      <c r="F1062" s="3">
        <v>1</v>
      </c>
      <c r="I1062" s="24" t="s">
        <v>3265</v>
      </c>
      <c r="J1062" s="24" t="s">
        <v>2924</v>
      </c>
      <c r="K1062" s="3">
        <v>29</v>
      </c>
      <c r="L1062" s="3" t="s">
        <v>6856</v>
      </c>
      <c r="M1062" s="3" t="str">
        <f>HYPERLINK("http://ictvonline.org/taxonomyHistory.asp?taxnode_id=20151376","ICTVonline=20151376")</f>
        <v>ICTVonline=20151376</v>
      </c>
    </row>
    <row r="1063" spans="1:13" x14ac:dyDescent="0.15">
      <c r="A1063" s="1" t="s">
        <v>1112</v>
      </c>
      <c r="B1063" s="1" t="s">
        <v>1161</v>
      </c>
      <c r="D1063" s="1" t="s">
        <v>1115</v>
      </c>
      <c r="E1063" s="1" t="s">
        <v>2812</v>
      </c>
      <c r="F1063" s="3">
        <v>0</v>
      </c>
      <c r="I1063" s="24" t="s">
        <v>3265</v>
      </c>
      <c r="J1063" s="24" t="s">
        <v>2924</v>
      </c>
      <c r="K1063" s="3">
        <v>29</v>
      </c>
      <c r="L1063" s="3" t="s">
        <v>6856</v>
      </c>
      <c r="M1063" s="3" t="str">
        <f>HYPERLINK("http://ictvonline.org/taxonomyHistory.asp?taxnode_id=20151377","ICTVonline=20151377")</f>
        <v>ICTVonline=20151377</v>
      </c>
    </row>
    <row r="1064" spans="1:13" x14ac:dyDescent="0.15">
      <c r="A1064" s="1" t="s">
        <v>1112</v>
      </c>
      <c r="B1064" s="1" t="s">
        <v>1161</v>
      </c>
      <c r="D1064" s="1" t="s">
        <v>1030</v>
      </c>
      <c r="E1064" s="1" t="s">
        <v>2813</v>
      </c>
      <c r="F1064" s="3">
        <v>1</v>
      </c>
      <c r="I1064" s="24" t="s">
        <v>3265</v>
      </c>
      <c r="J1064" s="24" t="s">
        <v>2924</v>
      </c>
      <c r="K1064" s="3">
        <v>29</v>
      </c>
      <c r="L1064" s="3" t="s">
        <v>6856</v>
      </c>
      <c r="M1064" s="3" t="str">
        <f>HYPERLINK("http://ictvonline.org/taxonomyHistory.asp?taxnode_id=20151379","ICTVonline=20151379")</f>
        <v>ICTVonline=20151379</v>
      </c>
    </row>
    <row r="1065" spans="1:13" x14ac:dyDescent="0.15">
      <c r="A1065" s="1" t="s">
        <v>1112</v>
      </c>
      <c r="B1065" s="1" t="s">
        <v>1161</v>
      </c>
      <c r="D1065" s="1" t="s">
        <v>2814</v>
      </c>
      <c r="E1065" s="1" t="s">
        <v>2815</v>
      </c>
      <c r="F1065" s="3">
        <v>1</v>
      </c>
      <c r="G1065" s="24" t="s">
        <v>3272</v>
      </c>
      <c r="H1065" s="24" t="s">
        <v>3273</v>
      </c>
      <c r="I1065" s="24" t="s">
        <v>3265</v>
      </c>
      <c r="J1065" s="24" t="s">
        <v>2919</v>
      </c>
      <c r="K1065" s="3">
        <v>29</v>
      </c>
      <c r="L1065" s="3" t="s">
        <v>6879</v>
      </c>
      <c r="M1065" s="3" t="str">
        <f>HYPERLINK("http://ictvonline.org/taxonomyHistory.asp?taxnode_id=20151381","ICTVonline=20151381")</f>
        <v>ICTVonline=20151381</v>
      </c>
    </row>
    <row r="1066" spans="1:13" x14ac:dyDescent="0.15">
      <c r="A1066" s="1" t="s">
        <v>1112</v>
      </c>
      <c r="B1066" s="1" t="s">
        <v>1161</v>
      </c>
      <c r="D1066" s="1" t="s">
        <v>1000</v>
      </c>
      <c r="E1066" s="1" t="s">
        <v>2816</v>
      </c>
      <c r="F1066" s="3">
        <v>1</v>
      </c>
      <c r="I1066" s="24" t="s">
        <v>3265</v>
      </c>
      <c r="J1066" s="24" t="s">
        <v>2924</v>
      </c>
      <c r="K1066" s="3">
        <v>29</v>
      </c>
      <c r="L1066" s="3" t="s">
        <v>6856</v>
      </c>
      <c r="M1066" s="3" t="str">
        <f>HYPERLINK("http://ictvonline.org/taxonomyHistory.asp?taxnode_id=20151383","ICTVonline=20151383")</f>
        <v>ICTVonline=20151383</v>
      </c>
    </row>
    <row r="1067" spans="1:13" x14ac:dyDescent="0.15">
      <c r="A1067" s="1" t="s">
        <v>1112</v>
      </c>
      <c r="B1067" s="1" t="s">
        <v>1161</v>
      </c>
      <c r="D1067" s="1" t="s">
        <v>1031</v>
      </c>
      <c r="E1067" s="1" t="s">
        <v>2817</v>
      </c>
      <c r="F1067" s="3">
        <v>1</v>
      </c>
      <c r="I1067" s="24" t="s">
        <v>3265</v>
      </c>
      <c r="J1067" s="24" t="s">
        <v>2924</v>
      </c>
      <c r="K1067" s="3">
        <v>29</v>
      </c>
      <c r="L1067" s="3" t="s">
        <v>6856</v>
      </c>
      <c r="M1067" s="3" t="str">
        <f>HYPERLINK("http://ictvonline.org/taxonomyHistory.asp?taxnode_id=20151385","ICTVonline=20151385")</f>
        <v>ICTVonline=20151385</v>
      </c>
    </row>
    <row r="1068" spans="1:13" x14ac:dyDescent="0.15">
      <c r="A1068" s="1" t="s">
        <v>1112</v>
      </c>
      <c r="B1068" s="1" t="s">
        <v>2132</v>
      </c>
      <c r="C1068" s="1" t="s">
        <v>2014</v>
      </c>
      <c r="D1068" s="1" t="s">
        <v>2011</v>
      </c>
      <c r="E1068" s="1" t="s">
        <v>706</v>
      </c>
      <c r="F1068" s="3">
        <v>0</v>
      </c>
      <c r="G1068" s="24" t="s">
        <v>4703</v>
      </c>
      <c r="H1068" s="24" t="s">
        <v>4704</v>
      </c>
      <c r="I1068" s="24" t="s">
        <v>3265</v>
      </c>
      <c r="J1068" s="24" t="s">
        <v>2920</v>
      </c>
      <c r="K1068" s="3">
        <v>25</v>
      </c>
      <c r="L1068" s="3" t="s">
        <v>6880</v>
      </c>
      <c r="M1068" s="3" t="str">
        <f>HYPERLINK("http://ictvonline.org/taxonomyHistory.asp?taxnode_id=20151395","ICTVonline=20151395")</f>
        <v>ICTVonline=20151395</v>
      </c>
    </row>
    <row r="1069" spans="1:13" x14ac:dyDescent="0.15">
      <c r="A1069" s="1" t="s">
        <v>1112</v>
      </c>
      <c r="B1069" s="1" t="s">
        <v>2132</v>
      </c>
      <c r="C1069" s="1" t="s">
        <v>2014</v>
      </c>
      <c r="D1069" s="1" t="s">
        <v>2011</v>
      </c>
      <c r="E1069" s="1" t="s">
        <v>707</v>
      </c>
      <c r="F1069" s="3">
        <v>0</v>
      </c>
      <c r="G1069" s="24" t="s">
        <v>7786</v>
      </c>
      <c r="H1069" s="24" t="s">
        <v>4705</v>
      </c>
      <c r="I1069" s="24" t="s">
        <v>3265</v>
      </c>
      <c r="J1069" s="24" t="s">
        <v>2920</v>
      </c>
      <c r="K1069" s="3">
        <v>25</v>
      </c>
      <c r="L1069" s="3" t="s">
        <v>6880</v>
      </c>
      <c r="M1069" s="3" t="str">
        <f>HYPERLINK("http://ictvonline.org/taxonomyHistory.asp?taxnode_id=20151396","ICTVonline=20151396")</f>
        <v>ICTVonline=20151396</v>
      </c>
    </row>
    <row r="1070" spans="1:13" x14ac:dyDescent="0.15">
      <c r="A1070" s="1" t="s">
        <v>1112</v>
      </c>
      <c r="B1070" s="1" t="s">
        <v>2132</v>
      </c>
      <c r="C1070" s="1" t="s">
        <v>2014</v>
      </c>
      <c r="D1070" s="1" t="s">
        <v>2011</v>
      </c>
      <c r="E1070" s="1" t="s">
        <v>708</v>
      </c>
      <c r="F1070" s="3">
        <v>0</v>
      </c>
      <c r="I1070" s="24" t="s">
        <v>3265</v>
      </c>
      <c r="J1070" s="24" t="s">
        <v>2920</v>
      </c>
      <c r="K1070" s="3">
        <v>25</v>
      </c>
      <c r="L1070" s="3" t="s">
        <v>6880</v>
      </c>
      <c r="M1070" s="3" t="str">
        <f>HYPERLINK("http://ictvonline.org/taxonomyHistory.asp?taxnode_id=20151397","ICTVonline=20151397")</f>
        <v>ICTVonline=20151397</v>
      </c>
    </row>
    <row r="1071" spans="1:13" x14ac:dyDescent="0.15">
      <c r="A1071" s="1" t="s">
        <v>1112</v>
      </c>
      <c r="B1071" s="1" t="s">
        <v>2132</v>
      </c>
      <c r="C1071" s="1" t="s">
        <v>2014</v>
      </c>
      <c r="D1071" s="1" t="s">
        <v>2011</v>
      </c>
      <c r="E1071" s="1" t="s">
        <v>709</v>
      </c>
      <c r="F1071" s="3">
        <v>0</v>
      </c>
      <c r="G1071" s="24" t="s">
        <v>4706</v>
      </c>
      <c r="H1071" s="24" t="s">
        <v>7477</v>
      </c>
      <c r="I1071" s="24" t="s">
        <v>3265</v>
      </c>
      <c r="J1071" s="24" t="s">
        <v>2920</v>
      </c>
      <c r="K1071" s="3">
        <v>25</v>
      </c>
      <c r="L1071" s="3" t="s">
        <v>6880</v>
      </c>
      <c r="M1071" s="3" t="str">
        <f>HYPERLINK("http://ictvonline.org/taxonomyHistory.asp?taxnode_id=20151398","ICTVonline=20151398")</f>
        <v>ICTVonline=20151398</v>
      </c>
    </row>
    <row r="1072" spans="1:13" x14ac:dyDescent="0.15">
      <c r="A1072" s="1" t="s">
        <v>1112</v>
      </c>
      <c r="B1072" s="1" t="s">
        <v>2132</v>
      </c>
      <c r="C1072" s="1" t="s">
        <v>2014</v>
      </c>
      <c r="D1072" s="1" t="s">
        <v>2011</v>
      </c>
      <c r="E1072" s="1" t="s">
        <v>1113</v>
      </c>
      <c r="F1072" s="3">
        <v>0</v>
      </c>
      <c r="G1072" s="24" t="s">
        <v>7787</v>
      </c>
      <c r="H1072" s="24" t="s">
        <v>4707</v>
      </c>
      <c r="I1072" s="24" t="s">
        <v>3265</v>
      </c>
      <c r="J1072" s="24" t="s">
        <v>2920</v>
      </c>
      <c r="K1072" s="3">
        <v>25</v>
      </c>
      <c r="L1072" s="3" t="s">
        <v>6880</v>
      </c>
      <c r="M1072" s="3" t="str">
        <f>HYPERLINK("http://ictvonline.org/taxonomyHistory.asp?taxnode_id=20151399","ICTVonline=20151399")</f>
        <v>ICTVonline=20151399</v>
      </c>
    </row>
    <row r="1073" spans="1:13" x14ac:dyDescent="0.15">
      <c r="A1073" s="1" t="s">
        <v>1112</v>
      </c>
      <c r="B1073" s="1" t="s">
        <v>2132</v>
      </c>
      <c r="C1073" s="1" t="s">
        <v>2014</v>
      </c>
      <c r="D1073" s="1" t="s">
        <v>2011</v>
      </c>
      <c r="E1073" s="1" t="s">
        <v>1114</v>
      </c>
      <c r="F1073" s="3">
        <v>1</v>
      </c>
      <c r="G1073" s="24" t="s">
        <v>7788</v>
      </c>
      <c r="H1073" s="24" t="s">
        <v>4708</v>
      </c>
      <c r="I1073" s="24" t="s">
        <v>3265</v>
      </c>
      <c r="J1073" s="24" t="s">
        <v>2920</v>
      </c>
      <c r="K1073" s="3">
        <v>25</v>
      </c>
      <c r="L1073" s="3" t="s">
        <v>6880</v>
      </c>
      <c r="M1073" s="3" t="str">
        <f>HYPERLINK("http://ictvonline.org/taxonomyHistory.asp?taxnode_id=20151400","ICTVonline=20151400")</f>
        <v>ICTVonline=20151400</v>
      </c>
    </row>
    <row r="1074" spans="1:13" x14ac:dyDescent="0.15">
      <c r="A1074" s="1" t="s">
        <v>1112</v>
      </c>
      <c r="B1074" s="1" t="s">
        <v>2132</v>
      </c>
      <c r="C1074" s="1" t="s">
        <v>2014</v>
      </c>
      <c r="D1074" s="1" t="s">
        <v>2011</v>
      </c>
      <c r="E1074" s="1" t="s">
        <v>710</v>
      </c>
      <c r="F1074" s="3">
        <v>0</v>
      </c>
      <c r="G1074" s="24" t="s">
        <v>7789</v>
      </c>
      <c r="H1074" s="24" t="s">
        <v>4709</v>
      </c>
      <c r="I1074" s="24" t="s">
        <v>3265</v>
      </c>
      <c r="J1074" s="24" t="s">
        <v>2920</v>
      </c>
      <c r="K1074" s="3">
        <v>25</v>
      </c>
      <c r="L1074" s="3" t="s">
        <v>6880</v>
      </c>
      <c r="M1074" s="3" t="str">
        <f>HYPERLINK("http://ictvonline.org/taxonomyHistory.asp?taxnode_id=20151401","ICTVonline=20151401")</f>
        <v>ICTVonline=20151401</v>
      </c>
    </row>
    <row r="1075" spans="1:13" x14ac:dyDescent="0.15">
      <c r="A1075" s="1" t="s">
        <v>1112</v>
      </c>
      <c r="B1075" s="1" t="s">
        <v>2132</v>
      </c>
      <c r="C1075" s="1" t="s">
        <v>2014</v>
      </c>
      <c r="D1075" s="1" t="s">
        <v>2011</v>
      </c>
      <c r="E1075" s="1" t="s">
        <v>1196</v>
      </c>
      <c r="F1075" s="3">
        <v>0</v>
      </c>
      <c r="I1075" s="24" t="s">
        <v>3265</v>
      </c>
      <c r="J1075" s="24" t="s">
        <v>2920</v>
      </c>
      <c r="K1075" s="3">
        <v>25</v>
      </c>
      <c r="L1075" s="3" t="s">
        <v>6880</v>
      </c>
      <c r="M1075" s="3" t="str">
        <f>HYPERLINK("http://ictvonline.org/taxonomyHistory.asp?taxnode_id=20151402","ICTVonline=20151402")</f>
        <v>ICTVonline=20151402</v>
      </c>
    </row>
    <row r="1076" spans="1:13" x14ac:dyDescent="0.15">
      <c r="A1076" s="1" t="s">
        <v>1112</v>
      </c>
      <c r="B1076" s="1" t="s">
        <v>2132</v>
      </c>
      <c r="C1076" s="1" t="s">
        <v>2014</v>
      </c>
      <c r="D1076" s="1" t="s">
        <v>2011</v>
      </c>
      <c r="E1076" s="1" t="s">
        <v>1197</v>
      </c>
      <c r="F1076" s="3">
        <v>0</v>
      </c>
      <c r="I1076" s="24" t="s">
        <v>3265</v>
      </c>
      <c r="J1076" s="24" t="s">
        <v>2920</v>
      </c>
      <c r="K1076" s="3">
        <v>25</v>
      </c>
      <c r="L1076" s="3" t="s">
        <v>6880</v>
      </c>
      <c r="M1076" s="3" t="str">
        <f>HYPERLINK("http://ictvonline.org/taxonomyHistory.asp?taxnode_id=20151403","ICTVonline=20151403")</f>
        <v>ICTVonline=20151403</v>
      </c>
    </row>
    <row r="1077" spans="1:13" x14ac:dyDescent="0.15">
      <c r="A1077" s="1" t="s">
        <v>1112</v>
      </c>
      <c r="B1077" s="1" t="s">
        <v>2132</v>
      </c>
      <c r="C1077" s="1" t="s">
        <v>2014</v>
      </c>
      <c r="D1077" s="1" t="s">
        <v>2011</v>
      </c>
      <c r="E1077" s="1" t="s">
        <v>1424</v>
      </c>
      <c r="F1077" s="3">
        <v>0</v>
      </c>
      <c r="I1077" s="24" t="s">
        <v>3265</v>
      </c>
      <c r="J1077" s="24" t="s">
        <v>2920</v>
      </c>
      <c r="K1077" s="3">
        <v>25</v>
      </c>
      <c r="L1077" s="3" t="s">
        <v>6880</v>
      </c>
      <c r="M1077" s="3" t="str">
        <f>HYPERLINK("http://ictvonline.org/taxonomyHistory.asp?taxnode_id=20151404","ICTVonline=20151404")</f>
        <v>ICTVonline=20151404</v>
      </c>
    </row>
    <row r="1078" spans="1:13" x14ac:dyDescent="0.15">
      <c r="A1078" s="1" t="s">
        <v>1112</v>
      </c>
      <c r="B1078" s="1" t="s">
        <v>2132</v>
      </c>
      <c r="C1078" s="1" t="s">
        <v>2014</v>
      </c>
      <c r="D1078" s="1" t="s">
        <v>2011</v>
      </c>
      <c r="E1078" s="1" t="s">
        <v>940</v>
      </c>
      <c r="F1078" s="3">
        <v>0</v>
      </c>
      <c r="I1078" s="24" t="s">
        <v>3265</v>
      </c>
      <c r="J1078" s="24" t="s">
        <v>2920</v>
      </c>
      <c r="K1078" s="3">
        <v>25</v>
      </c>
      <c r="L1078" s="3" t="s">
        <v>6880</v>
      </c>
      <c r="M1078" s="3" t="str">
        <f>HYPERLINK("http://ictvonline.org/taxonomyHistory.asp?taxnode_id=20151405","ICTVonline=20151405")</f>
        <v>ICTVonline=20151405</v>
      </c>
    </row>
    <row r="1079" spans="1:13" x14ac:dyDescent="0.15">
      <c r="A1079" s="1" t="s">
        <v>1112</v>
      </c>
      <c r="B1079" s="1" t="s">
        <v>2132</v>
      </c>
      <c r="C1079" s="1" t="s">
        <v>2014</v>
      </c>
      <c r="D1079" s="1" t="s">
        <v>2011</v>
      </c>
      <c r="E1079" s="1" t="s">
        <v>941</v>
      </c>
      <c r="F1079" s="3">
        <v>0</v>
      </c>
      <c r="G1079" s="24" t="s">
        <v>7790</v>
      </c>
      <c r="H1079" s="24" t="s">
        <v>4710</v>
      </c>
      <c r="I1079" s="24" t="s">
        <v>3265</v>
      </c>
      <c r="J1079" s="24" t="s">
        <v>2920</v>
      </c>
      <c r="K1079" s="3">
        <v>25</v>
      </c>
      <c r="L1079" s="3" t="s">
        <v>6880</v>
      </c>
      <c r="M1079" s="3" t="str">
        <f>HYPERLINK("http://ictvonline.org/taxonomyHistory.asp?taxnode_id=20151406","ICTVonline=20151406")</f>
        <v>ICTVonline=20151406</v>
      </c>
    </row>
    <row r="1080" spans="1:13" x14ac:dyDescent="0.15">
      <c r="A1080" s="1" t="s">
        <v>1112</v>
      </c>
      <c r="B1080" s="1" t="s">
        <v>2132</v>
      </c>
      <c r="C1080" s="1" t="s">
        <v>2014</v>
      </c>
      <c r="D1080" s="1" t="s">
        <v>2011</v>
      </c>
      <c r="E1080" s="1" t="s">
        <v>1426</v>
      </c>
      <c r="F1080" s="3">
        <v>0</v>
      </c>
      <c r="G1080" s="24" t="s">
        <v>7791</v>
      </c>
      <c r="H1080" s="24" t="s">
        <v>4711</v>
      </c>
      <c r="I1080" s="24" t="s">
        <v>3265</v>
      </c>
      <c r="J1080" s="24" t="s">
        <v>2920</v>
      </c>
      <c r="K1080" s="3">
        <v>25</v>
      </c>
      <c r="L1080" s="3" t="s">
        <v>6880</v>
      </c>
      <c r="M1080" s="3" t="str">
        <f>HYPERLINK("http://ictvonline.org/taxonomyHistory.asp?taxnode_id=20151407","ICTVonline=20151407")</f>
        <v>ICTVonline=20151407</v>
      </c>
    </row>
    <row r="1081" spans="1:13" x14ac:dyDescent="0.15">
      <c r="A1081" s="1" t="s">
        <v>1112</v>
      </c>
      <c r="B1081" s="1" t="s">
        <v>2132</v>
      </c>
      <c r="C1081" s="1" t="s">
        <v>2014</v>
      </c>
      <c r="D1081" s="1" t="s">
        <v>2011</v>
      </c>
      <c r="E1081" s="1" t="s">
        <v>591</v>
      </c>
      <c r="F1081" s="3">
        <v>0</v>
      </c>
      <c r="G1081" s="24" t="s">
        <v>7792</v>
      </c>
      <c r="H1081" s="24" t="s">
        <v>4712</v>
      </c>
      <c r="I1081" s="24" t="s">
        <v>3265</v>
      </c>
      <c r="J1081" s="24" t="s">
        <v>2920</v>
      </c>
      <c r="K1081" s="3">
        <v>25</v>
      </c>
      <c r="L1081" s="3" t="s">
        <v>6880</v>
      </c>
      <c r="M1081" s="3" t="str">
        <f>HYPERLINK("http://ictvonline.org/taxonomyHistory.asp?taxnode_id=20151408","ICTVonline=20151408")</f>
        <v>ICTVonline=20151408</v>
      </c>
    </row>
    <row r="1082" spans="1:13" x14ac:dyDescent="0.15">
      <c r="A1082" s="1" t="s">
        <v>1112</v>
      </c>
      <c r="B1082" s="1" t="s">
        <v>2132</v>
      </c>
      <c r="C1082" s="1" t="s">
        <v>2014</v>
      </c>
      <c r="D1082" s="1" t="s">
        <v>2011</v>
      </c>
      <c r="E1082" s="1" t="s">
        <v>592</v>
      </c>
      <c r="F1082" s="3">
        <v>0</v>
      </c>
      <c r="I1082" s="24" t="s">
        <v>3265</v>
      </c>
      <c r="J1082" s="24" t="s">
        <v>2920</v>
      </c>
      <c r="K1082" s="3">
        <v>25</v>
      </c>
      <c r="L1082" s="3" t="s">
        <v>6880</v>
      </c>
      <c r="M1082" s="3" t="str">
        <f>HYPERLINK("http://ictvonline.org/taxonomyHistory.asp?taxnode_id=20151409","ICTVonline=20151409")</f>
        <v>ICTVonline=20151409</v>
      </c>
    </row>
    <row r="1083" spans="1:13" x14ac:dyDescent="0.15">
      <c r="A1083" s="1" t="s">
        <v>1112</v>
      </c>
      <c r="B1083" s="1" t="s">
        <v>2132</v>
      </c>
      <c r="C1083" s="1" t="s">
        <v>2014</v>
      </c>
      <c r="D1083" s="1" t="s">
        <v>2012</v>
      </c>
      <c r="E1083" s="1" t="s">
        <v>593</v>
      </c>
      <c r="F1083" s="3">
        <v>1</v>
      </c>
      <c r="G1083" s="24" t="s">
        <v>7793</v>
      </c>
      <c r="H1083" s="24" t="s">
        <v>4713</v>
      </c>
      <c r="I1083" s="24" t="s">
        <v>3265</v>
      </c>
      <c r="J1083" s="24" t="s">
        <v>2920</v>
      </c>
      <c r="K1083" s="3">
        <v>25</v>
      </c>
      <c r="L1083" s="3" t="s">
        <v>6880</v>
      </c>
      <c r="M1083" s="3" t="str">
        <f>HYPERLINK("http://ictvonline.org/taxonomyHistory.asp?taxnode_id=20151411","ICTVonline=20151411")</f>
        <v>ICTVonline=20151411</v>
      </c>
    </row>
    <row r="1084" spans="1:13" x14ac:dyDescent="0.15">
      <c r="A1084" s="1" t="s">
        <v>1112</v>
      </c>
      <c r="B1084" s="1" t="s">
        <v>2132</v>
      </c>
      <c r="C1084" s="1" t="s">
        <v>2014</v>
      </c>
      <c r="D1084" s="1" t="s">
        <v>2012</v>
      </c>
      <c r="E1084" s="1" t="s">
        <v>594</v>
      </c>
      <c r="F1084" s="3">
        <v>0</v>
      </c>
      <c r="G1084" s="24" t="s">
        <v>7794</v>
      </c>
      <c r="H1084" s="24" t="s">
        <v>4714</v>
      </c>
      <c r="I1084" s="24" t="s">
        <v>3265</v>
      </c>
      <c r="J1084" s="24" t="s">
        <v>2920</v>
      </c>
      <c r="K1084" s="3">
        <v>25</v>
      </c>
      <c r="L1084" s="3" t="s">
        <v>6880</v>
      </c>
      <c r="M1084" s="3" t="str">
        <f>HYPERLINK("http://ictvonline.org/taxonomyHistory.asp?taxnode_id=20151412","ICTVonline=20151412")</f>
        <v>ICTVonline=20151412</v>
      </c>
    </row>
    <row r="1085" spans="1:13" x14ac:dyDescent="0.15">
      <c r="A1085" s="1" t="s">
        <v>1112</v>
      </c>
      <c r="B1085" s="1" t="s">
        <v>2132</v>
      </c>
      <c r="C1085" s="1" t="s">
        <v>2014</v>
      </c>
      <c r="D1085" s="1" t="s">
        <v>2012</v>
      </c>
      <c r="E1085" s="1" t="s">
        <v>2341</v>
      </c>
      <c r="F1085" s="3">
        <v>0</v>
      </c>
      <c r="I1085" s="24" t="s">
        <v>3265</v>
      </c>
      <c r="J1085" s="24" t="s">
        <v>2919</v>
      </c>
      <c r="K1085" s="3">
        <v>27</v>
      </c>
      <c r="L1085" s="3" t="s">
        <v>6881</v>
      </c>
      <c r="M1085" s="3" t="str">
        <f>HYPERLINK("http://ictvonline.org/taxonomyHistory.asp?taxnode_id=20151413","ICTVonline=20151413")</f>
        <v>ICTVonline=20151413</v>
      </c>
    </row>
    <row r="1086" spans="1:13" x14ac:dyDescent="0.15">
      <c r="A1086" s="1" t="s">
        <v>1112</v>
      </c>
      <c r="B1086" s="1" t="s">
        <v>2132</v>
      </c>
      <c r="C1086" s="1" t="s">
        <v>2014</v>
      </c>
      <c r="D1086" s="1" t="s">
        <v>2012</v>
      </c>
      <c r="E1086" s="1" t="s">
        <v>595</v>
      </c>
      <c r="F1086" s="3">
        <v>0</v>
      </c>
      <c r="G1086" s="24" t="s">
        <v>7795</v>
      </c>
      <c r="H1086" s="24" t="s">
        <v>4715</v>
      </c>
      <c r="I1086" s="24" t="s">
        <v>3265</v>
      </c>
      <c r="J1086" s="24" t="s">
        <v>2920</v>
      </c>
      <c r="K1086" s="3">
        <v>25</v>
      </c>
      <c r="L1086" s="3" t="s">
        <v>6880</v>
      </c>
      <c r="M1086" s="3" t="str">
        <f>HYPERLINK("http://ictvonline.org/taxonomyHistory.asp?taxnode_id=20151414","ICTVonline=20151414")</f>
        <v>ICTVonline=20151414</v>
      </c>
    </row>
    <row r="1087" spans="1:13" x14ac:dyDescent="0.15">
      <c r="A1087" s="1" t="s">
        <v>1112</v>
      </c>
      <c r="B1087" s="1" t="s">
        <v>2132</v>
      </c>
      <c r="C1087" s="1" t="s">
        <v>2014</v>
      </c>
      <c r="D1087" s="1" t="s">
        <v>2012</v>
      </c>
      <c r="E1087" s="1" t="s">
        <v>946</v>
      </c>
      <c r="F1087" s="3">
        <v>0</v>
      </c>
      <c r="G1087" s="24" t="s">
        <v>7796</v>
      </c>
      <c r="H1087" s="24" t="s">
        <v>4716</v>
      </c>
      <c r="I1087" s="24" t="s">
        <v>3265</v>
      </c>
      <c r="J1087" s="24" t="s">
        <v>2920</v>
      </c>
      <c r="K1087" s="3">
        <v>25</v>
      </c>
      <c r="L1087" s="3" t="s">
        <v>6880</v>
      </c>
      <c r="M1087" s="3" t="str">
        <f>HYPERLINK("http://ictvonline.org/taxonomyHistory.asp?taxnode_id=20151415","ICTVonline=20151415")</f>
        <v>ICTVonline=20151415</v>
      </c>
    </row>
    <row r="1088" spans="1:13" x14ac:dyDescent="0.15">
      <c r="A1088" s="1" t="s">
        <v>1112</v>
      </c>
      <c r="B1088" s="1" t="s">
        <v>2132</v>
      </c>
      <c r="C1088" s="1" t="s">
        <v>2014</v>
      </c>
      <c r="D1088" s="1" t="s">
        <v>2013</v>
      </c>
      <c r="E1088" s="1" t="s">
        <v>4717</v>
      </c>
      <c r="F1088" s="3">
        <v>0</v>
      </c>
      <c r="G1088" s="24" t="s">
        <v>7478</v>
      </c>
      <c r="H1088" s="24" t="s">
        <v>4718</v>
      </c>
      <c r="I1088" s="24" t="s">
        <v>3265</v>
      </c>
      <c r="J1088" s="24" t="s">
        <v>2919</v>
      </c>
      <c r="K1088" s="3">
        <v>30</v>
      </c>
      <c r="L1088" s="3" t="s">
        <v>6882</v>
      </c>
      <c r="M1088" s="3" t="str">
        <f>HYPERLINK("http://ictvonline.org/taxonomyHistory.asp?taxnode_id=20151453","ICTVonline=20151453")</f>
        <v>ICTVonline=20151453</v>
      </c>
    </row>
    <row r="1089" spans="1:13" x14ac:dyDescent="0.15">
      <c r="A1089" s="1" t="s">
        <v>1112</v>
      </c>
      <c r="B1089" s="1" t="s">
        <v>2132</v>
      </c>
      <c r="C1089" s="1" t="s">
        <v>2014</v>
      </c>
      <c r="D1089" s="1" t="s">
        <v>2013</v>
      </c>
      <c r="E1089" s="1" t="s">
        <v>947</v>
      </c>
      <c r="F1089" s="3">
        <v>0</v>
      </c>
      <c r="I1089" s="24" t="s">
        <v>3265</v>
      </c>
      <c r="J1089" s="24" t="s">
        <v>2920</v>
      </c>
      <c r="K1089" s="3">
        <v>25</v>
      </c>
      <c r="L1089" s="3" t="s">
        <v>6880</v>
      </c>
      <c r="M1089" s="3" t="str">
        <f>HYPERLINK("http://ictvonline.org/taxonomyHistory.asp?taxnode_id=20151417","ICTVonline=20151417")</f>
        <v>ICTVonline=20151417</v>
      </c>
    </row>
    <row r="1090" spans="1:13" x14ac:dyDescent="0.15">
      <c r="A1090" s="1" t="s">
        <v>1112</v>
      </c>
      <c r="B1090" s="1" t="s">
        <v>2132</v>
      </c>
      <c r="C1090" s="1" t="s">
        <v>2014</v>
      </c>
      <c r="D1090" s="1" t="s">
        <v>2013</v>
      </c>
      <c r="E1090" s="1" t="s">
        <v>948</v>
      </c>
      <c r="F1090" s="3">
        <v>0</v>
      </c>
      <c r="G1090" s="24" t="s">
        <v>7797</v>
      </c>
      <c r="H1090" s="24" t="s">
        <v>4719</v>
      </c>
      <c r="I1090" s="24" t="s">
        <v>3265</v>
      </c>
      <c r="J1090" s="24" t="s">
        <v>2920</v>
      </c>
      <c r="K1090" s="3">
        <v>25</v>
      </c>
      <c r="L1090" s="3" t="s">
        <v>6880</v>
      </c>
      <c r="M1090" s="3" t="str">
        <f>HYPERLINK("http://ictvonline.org/taxonomyHistory.asp?taxnode_id=20151418","ICTVonline=20151418")</f>
        <v>ICTVonline=20151418</v>
      </c>
    </row>
    <row r="1091" spans="1:13" x14ac:dyDescent="0.15">
      <c r="A1091" s="1" t="s">
        <v>1112</v>
      </c>
      <c r="B1091" s="1" t="s">
        <v>2132</v>
      </c>
      <c r="C1091" s="1" t="s">
        <v>2014</v>
      </c>
      <c r="D1091" s="1" t="s">
        <v>2013</v>
      </c>
      <c r="E1091" s="1" t="s">
        <v>949</v>
      </c>
      <c r="F1091" s="3">
        <v>0</v>
      </c>
      <c r="I1091" s="24" t="s">
        <v>3265</v>
      </c>
      <c r="J1091" s="24" t="s">
        <v>2920</v>
      </c>
      <c r="K1091" s="3">
        <v>25</v>
      </c>
      <c r="L1091" s="3" t="s">
        <v>6880</v>
      </c>
      <c r="M1091" s="3" t="str">
        <f>HYPERLINK("http://ictvonline.org/taxonomyHistory.asp?taxnode_id=20151419","ICTVonline=20151419")</f>
        <v>ICTVonline=20151419</v>
      </c>
    </row>
    <row r="1092" spans="1:13" x14ac:dyDescent="0.15">
      <c r="A1092" s="1" t="s">
        <v>1112</v>
      </c>
      <c r="B1092" s="1" t="s">
        <v>2132</v>
      </c>
      <c r="C1092" s="1" t="s">
        <v>2014</v>
      </c>
      <c r="D1092" s="1" t="s">
        <v>2013</v>
      </c>
      <c r="E1092" s="1" t="s">
        <v>597</v>
      </c>
      <c r="F1092" s="3">
        <v>0</v>
      </c>
      <c r="I1092" s="24" t="s">
        <v>3265</v>
      </c>
      <c r="J1092" s="24" t="s">
        <v>2920</v>
      </c>
      <c r="K1092" s="3">
        <v>25</v>
      </c>
      <c r="L1092" s="3" t="s">
        <v>6880</v>
      </c>
      <c r="M1092" s="3" t="str">
        <f>HYPERLINK("http://ictvonline.org/taxonomyHistory.asp?taxnode_id=20151420","ICTVonline=20151420")</f>
        <v>ICTVonline=20151420</v>
      </c>
    </row>
    <row r="1093" spans="1:13" x14ac:dyDescent="0.15">
      <c r="A1093" s="1" t="s">
        <v>1112</v>
      </c>
      <c r="B1093" s="1" t="s">
        <v>2132</v>
      </c>
      <c r="C1093" s="1" t="s">
        <v>2014</v>
      </c>
      <c r="D1093" s="1" t="s">
        <v>2013</v>
      </c>
      <c r="E1093" s="1" t="s">
        <v>598</v>
      </c>
      <c r="F1093" s="3">
        <v>0</v>
      </c>
      <c r="I1093" s="24" t="s">
        <v>3265</v>
      </c>
      <c r="J1093" s="24" t="s">
        <v>2920</v>
      </c>
      <c r="K1093" s="3">
        <v>25</v>
      </c>
      <c r="L1093" s="3" t="s">
        <v>6880</v>
      </c>
      <c r="M1093" s="3" t="str">
        <f>HYPERLINK("http://ictvonline.org/taxonomyHistory.asp?taxnode_id=20151421","ICTVonline=20151421")</f>
        <v>ICTVonline=20151421</v>
      </c>
    </row>
    <row r="1094" spans="1:13" x14ac:dyDescent="0.15">
      <c r="A1094" s="1" t="s">
        <v>1112</v>
      </c>
      <c r="B1094" s="1" t="s">
        <v>2132</v>
      </c>
      <c r="C1094" s="1" t="s">
        <v>2014</v>
      </c>
      <c r="D1094" s="1" t="s">
        <v>2013</v>
      </c>
      <c r="E1094" s="1" t="s">
        <v>599</v>
      </c>
      <c r="F1094" s="3">
        <v>0</v>
      </c>
      <c r="I1094" s="24" t="s">
        <v>3265</v>
      </c>
      <c r="J1094" s="24" t="s">
        <v>2920</v>
      </c>
      <c r="K1094" s="3">
        <v>25</v>
      </c>
      <c r="L1094" s="3" t="s">
        <v>6880</v>
      </c>
      <c r="M1094" s="3" t="str">
        <f>HYPERLINK("http://ictvonline.org/taxonomyHistory.asp?taxnode_id=20151422","ICTVonline=20151422")</f>
        <v>ICTVonline=20151422</v>
      </c>
    </row>
    <row r="1095" spans="1:13" x14ac:dyDescent="0.15">
      <c r="A1095" s="1" t="s">
        <v>1112</v>
      </c>
      <c r="B1095" s="1" t="s">
        <v>2132</v>
      </c>
      <c r="C1095" s="1" t="s">
        <v>2014</v>
      </c>
      <c r="D1095" s="1" t="s">
        <v>2013</v>
      </c>
      <c r="E1095" s="1" t="s">
        <v>600</v>
      </c>
      <c r="F1095" s="3">
        <v>0</v>
      </c>
      <c r="G1095" s="24" t="s">
        <v>7798</v>
      </c>
      <c r="H1095" s="24" t="s">
        <v>4720</v>
      </c>
      <c r="I1095" s="24" t="s">
        <v>3265</v>
      </c>
      <c r="J1095" s="24" t="s">
        <v>2920</v>
      </c>
      <c r="K1095" s="3">
        <v>25</v>
      </c>
      <c r="L1095" s="3" t="s">
        <v>6880</v>
      </c>
      <c r="M1095" s="3" t="str">
        <f>HYPERLINK("http://ictvonline.org/taxonomyHistory.asp?taxnode_id=20151423","ICTVonline=20151423")</f>
        <v>ICTVonline=20151423</v>
      </c>
    </row>
    <row r="1096" spans="1:13" x14ac:dyDescent="0.15">
      <c r="A1096" s="1" t="s">
        <v>1112</v>
      </c>
      <c r="B1096" s="1" t="s">
        <v>2132</v>
      </c>
      <c r="C1096" s="1" t="s">
        <v>2014</v>
      </c>
      <c r="D1096" s="1" t="s">
        <v>2013</v>
      </c>
      <c r="E1096" s="1" t="s">
        <v>601</v>
      </c>
      <c r="F1096" s="3">
        <v>0</v>
      </c>
      <c r="G1096" s="24" t="s">
        <v>7799</v>
      </c>
      <c r="H1096" s="24" t="s">
        <v>4721</v>
      </c>
      <c r="I1096" s="24" t="s">
        <v>3265</v>
      </c>
      <c r="J1096" s="24" t="s">
        <v>2920</v>
      </c>
      <c r="K1096" s="3">
        <v>25</v>
      </c>
      <c r="L1096" s="3" t="s">
        <v>6880</v>
      </c>
      <c r="M1096" s="3" t="str">
        <f>HYPERLINK("http://ictvonline.org/taxonomyHistory.asp?taxnode_id=20151424","ICTVonline=20151424")</f>
        <v>ICTVonline=20151424</v>
      </c>
    </row>
    <row r="1097" spans="1:13" x14ac:dyDescent="0.15">
      <c r="A1097" s="1" t="s">
        <v>1112</v>
      </c>
      <c r="B1097" s="1" t="s">
        <v>2132</v>
      </c>
      <c r="C1097" s="1" t="s">
        <v>2014</v>
      </c>
      <c r="D1097" s="1" t="s">
        <v>2013</v>
      </c>
      <c r="E1097" s="1" t="s">
        <v>2342</v>
      </c>
      <c r="F1097" s="3">
        <v>0</v>
      </c>
      <c r="G1097" s="24" t="s">
        <v>7800</v>
      </c>
      <c r="H1097" s="24" t="s">
        <v>4722</v>
      </c>
      <c r="I1097" s="24" t="s">
        <v>3265</v>
      </c>
      <c r="J1097" s="24" t="s">
        <v>2919</v>
      </c>
      <c r="K1097" s="3">
        <v>27</v>
      </c>
      <c r="L1097" s="3" t="s">
        <v>6883</v>
      </c>
      <c r="M1097" s="3" t="str">
        <f>HYPERLINK("http://ictvonline.org/taxonomyHistory.asp?taxnode_id=20151425","ICTVonline=20151425")</f>
        <v>ICTVonline=20151425</v>
      </c>
    </row>
    <row r="1098" spans="1:13" x14ac:dyDescent="0.15">
      <c r="A1098" s="1" t="s">
        <v>1112</v>
      </c>
      <c r="B1098" s="1" t="s">
        <v>2132</v>
      </c>
      <c r="C1098" s="1" t="s">
        <v>2014</v>
      </c>
      <c r="D1098" s="1" t="s">
        <v>2013</v>
      </c>
      <c r="E1098" s="1" t="s">
        <v>602</v>
      </c>
      <c r="F1098" s="3">
        <v>0</v>
      </c>
      <c r="I1098" s="24" t="s">
        <v>3265</v>
      </c>
      <c r="J1098" s="24" t="s">
        <v>2920</v>
      </c>
      <c r="K1098" s="3">
        <v>25</v>
      </c>
      <c r="L1098" s="3" t="s">
        <v>6880</v>
      </c>
      <c r="M1098" s="3" t="str">
        <f>HYPERLINK("http://ictvonline.org/taxonomyHistory.asp?taxnode_id=20151426","ICTVonline=20151426")</f>
        <v>ICTVonline=20151426</v>
      </c>
    </row>
    <row r="1099" spans="1:13" x14ac:dyDescent="0.15">
      <c r="A1099" s="1" t="s">
        <v>1112</v>
      </c>
      <c r="B1099" s="1" t="s">
        <v>2132</v>
      </c>
      <c r="C1099" s="1" t="s">
        <v>2014</v>
      </c>
      <c r="D1099" s="1" t="s">
        <v>2013</v>
      </c>
      <c r="E1099" s="1" t="s">
        <v>603</v>
      </c>
      <c r="F1099" s="3">
        <v>0</v>
      </c>
      <c r="I1099" s="24" t="s">
        <v>3265</v>
      </c>
      <c r="J1099" s="24" t="s">
        <v>2920</v>
      </c>
      <c r="K1099" s="3">
        <v>25</v>
      </c>
      <c r="L1099" s="3" t="s">
        <v>6880</v>
      </c>
      <c r="M1099" s="3" t="str">
        <f>HYPERLINK("http://ictvonline.org/taxonomyHistory.asp?taxnode_id=20151427","ICTVonline=20151427")</f>
        <v>ICTVonline=20151427</v>
      </c>
    </row>
    <row r="1100" spans="1:13" x14ac:dyDescent="0.15">
      <c r="A1100" s="1" t="s">
        <v>1112</v>
      </c>
      <c r="B1100" s="1" t="s">
        <v>2132</v>
      </c>
      <c r="C1100" s="1" t="s">
        <v>2014</v>
      </c>
      <c r="D1100" s="1" t="s">
        <v>2013</v>
      </c>
      <c r="E1100" s="1" t="s">
        <v>604</v>
      </c>
      <c r="F1100" s="3">
        <v>0</v>
      </c>
      <c r="I1100" s="24" t="s">
        <v>3265</v>
      </c>
      <c r="J1100" s="24" t="s">
        <v>2920</v>
      </c>
      <c r="K1100" s="3">
        <v>25</v>
      </c>
      <c r="L1100" s="3" t="s">
        <v>6880</v>
      </c>
      <c r="M1100" s="3" t="str">
        <f>HYPERLINK("http://ictvonline.org/taxonomyHistory.asp?taxnode_id=20151428","ICTVonline=20151428")</f>
        <v>ICTVonline=20151428</v>
      </c>
    </row>
    <row r="1101" spans="1:13" x14ac:dyDescent="0.15">
      <c r="A1101" s="1" t="s">
        <v>1112</v>
      </c>
      <c r="B1101" s="1" t="s">
        <v>2132</v>
      </c>
      <c r="C1101" s="1" t="s">
        <v>2014</v>
      </c>
      <c r="D1101" s="1" t="s">
        <v>2013</v>
      </c>
      <c r="E1101" s="1" t="s">
        <v>1843</v>
      </c>
      <c r="F1101" s="3">
        <v>0</v>
      </c>
      <c r="G1101" s="24" t="s">
        <v>7801</v>
      </c>
      <c r="H1101" s="24" t="s">
        <v>4723</v>
      </c>
      <c r="I1101" s="24" t="s">
        <v>3265</v>
      </c>
      <c r="J1101" s="24" t="s">
        <v>2920</v>
      </c>
      <c r="K1101" s="3">
        <v>25</v>
      </c>
      <c r="L1101" s="3" t="s">
        <v>6880</v>
      </c>
      <c r="M1101" s="3" t="str">
        <f>HYPERLINK("http://ictvonline.org/taxonomyHistory.asp?taxnode_id=20151429","ICTVonline=20151429")</f>
        <v>ICTVonline=20151429</v>
      </c>
    </row>
    <row r="1102" spans="1:13" x14ac:dyDescent="0.15">
      <c r="A1102" s="1" t="s">
        <v>1112</v>
      </c>
      <c r="B1102" s="1" t="s">
        <v>2132</v>
      </c>
      <c r="C1102" s="1" t="s">
        <v>2014</v>
      </c>
      <c r="D1102" s="1" t="s">
        <v>2013</v>
      </c>
      <c r="E1102" s="1" t="s">
        <v>1844</v>
      </c>
      <c r="F1102" s="3">
        <v>0</v>
      </c>
      <c r="I1102" s="24" t="s">
        <v>3265</v>
      </c>
      <c r="J1102" s="24" t="s">
        <v>2920</v>
      </c>
      <c r="K1102" s="3">
        <v>25</v>
      </c>
      <c r="L1102" s="3" t="s">
        <v>6880</v>
      </c>
      <c r="M1102" s="3" t="str">
        <f>HYPERLINK("http://ictvonline.org/taxonomyHistory.asp?taxnode_id=20151430","ICTVonline=20151430")</f>
        <v>ICTVonline=20151430</v>
      </c>
    </row>
    <row r="1103" spans="1:13" x14ac:dyDescent="0.15">
      <c r="A1103" s="1" t="s">
        <v>1112</v>
      </c>
      <c r="B1103" s="1" t="s">
        <v>2132</v>
      </c>
      <c r="C1103" s="1" t="s">
        <v>2014</v>
      </c>
      <c r="D1103" s="1" t="s">
        <v>2013</v>
      </c>
      <c r="E1103" s="1" t="s">
        <v>1845</v>
      </c>
      <c r="F1103" s="3">
        <v>0</v>
      </c>
      <c r="I1103" s="24" t="s">
        <v>3265</v>
      </c>
      <c r="J1103" s="24" t="s">
        <v>2920</v>
      </c>
      <c r="K1103" s="3">
        <v>25</v>
      </c>
      <c r="L1103" s="3" t="s">
        <v>6880</v>
      </c>
      <c r="M1103" s="3" t="str">
        <f>HYPERLINK("http://ictvonline.org/taxonomyHistory.asp?taxnode_id=20151431","ICTVonline=20151431")</f>
        <v>ICTVonline=20151431</v>
      </c>
    </row>
    <row r="1104" spans="1:13" x14ac:dyDescent="0.15">
      <c r="A1104" s="1" t="s">
        <v>1112</v>
      </c>
      <c r="B1104" s="1" t="s">
        <v>2132</v>
      </c>
      <c r="C1104" s="1" t="s">
        <v>2014</v>
      </c>
      <c r="D1104" s="1" t="s">
        <v>2013</v>
      </c>
      <c r="E1104" s="1" t="s">
        <v>1846</v>
      </c>
      <c r="F1104" s="3">
        <v>0</v>
      </c>
      <c r="I1104" s="24" t="s">
        <v>3265</v>
      </c>
      <c r="J1104" s="24" t="s">
        <v>2920</v>
      </c>
      <c r="K1104" s="3">
        <v>25</v>
      </c>
      <c r="L1104" s="3" t="s">
        <v>6880</v>
      </c>
      <c r="M1104" s="3" t="str">
        <f>HYPERLINK("http://ictvonline.org/taxonomyHistory.asp?taxnode_id=20151432","ICTVonline=20151432")</f>
        <v>ICTVonline=20151432</v>
      </c>
    </row>
    <row r="1105" spans="1:13" x14ac:dyDescent="0.15">
      <c r="A1105" s="1" t="s">
        <v>1112</v>
      </c>
      <c r="B1105" s="1" t="s">
        <v>2132</v>
      </c>
      <c r="C1105" s="1" t="s">
        <v>2014</v>
      </c>
      <c r="D1105" s="1" t="s">
        <v>2013</v>
      </c>
      <c r="E1105" s="1" t="s">
        <v>1847</v>
      </c>
      <c r="F1105" s="3">
        <v>0</v>
      </c>
      <c r="G1105" s="24" t="s">
        <v>7802</v>
      </c>
      <c r="H1105" s="24" t="s">
        <v>4724</v>
      </c>
      <c r="I1105" s="24" t="s">
        <v>3265</v>
      </c>
      <c r="J1105" s="24" t="s">
        <v>2920</v>
      </c>
      <c r="K1105" s="3">
        <v>25</v>
      </c>
      <c r="L1105" s="3" t="s">
        <v>6880</v>
      </c>
      <c r="M1105" s="3" t="str">
        <f>HYPERLINK("http://ictvonline.org/taxonomyHistory.asp?taxnode_id=20151433","ICTVonline=20151433")</f>
        <v>ICTVonline=20151433</v>
      </c>
    </row>
    <row r="1106" spans="1:13" x14ac:dyDescent="0.15">
      <c r="A1106" s="1" t="s">
        <v>1112</v>
      </c>
      <c r="B1106" s="1" t="s">
        <v>2132</v>
      </c>
      <c r="C1106" s="1" t="s">
        <v>2014</v>
      </c>
      <c r="D1106" s="1" t="s">
        <v>2013</v>
      </c>
      <c r="E1106" s="1" t="s">
        <v>1848</v>
      </c>
      <c r="F1106" s="3">
        <v>0</v>
      </c>
      <c r="G1106" s="24" t="s">
        <v>7803</v>
      </c>
      <c r="H1106" s="24" t="s">
        <v>4725</v>
      </c>
      <c r="I1106" s="24" t="s">
        <v>3265</v>
      </c>
      <c r="J1106" s="24" t="s">
        <v>2920</v>
      </c>
      <c r="K1106" s="3">
        <v>25</v>
      </c>
      <c r="L1106" s="3" t="s">
        <v>6880</v>
      </c>
      <c r="M1106" s="3" t="str">
        <f>HYPERLINK("http://ictvonline.org/taxonomyHistory.asp?taxnode_id=20151434","ICTVonline=20151434")</f>
        <v>ICTVonline=20151434</v>
      </c>
    </row>
    <row r="1107" spans="1:13" x14ac:dyDescent="0.15">
      <c r="A1107" s="1" t="s">
        <v>1112</v>
      </c>
      <c r="B1107" s="1" t="s">
        <v>2132</v>
      </c>
      <c r="C1107" s="1" t="s">
        <v>2014</v>
      </c>
      <c r="D1107" s="1" t="s">
        <v>2013</v>
      </c>
      <c r="E1107" s="1" t="s">
        <v>1849</v>
      </c>
      <c r="F1107" s="3">
        <v>0</v>
      </c>
      <c r="G1107" s="24" t="s">
        <v>7804</v>
      </c>
      <c r="H1107" s="24" t="s">
        <v>4726</v>
      </c>
      <c r="I1107" s="24" t="s">
        <v>3265</v>
      </c>
      <c r="J1107" s="24" t="s">
        <v>2920</v>
      </c>
      <c r="K1107" s="3">
        <v>25</v>
      </c>
      <c r="L1107" s="3" t="s">
        <v>6880</v>
      </c>
      <c r="M1107" s="3" t="str">
        <f>HYPERLINK("http://ictvonline.org/taxonomyHistory.asp?taxnode_id=20151435","ICTVonline=20151435")</f>
        <v>ICTVonline=20151435</v>
      </c>
    </row>
    <row r="1108" spans="1:13" x14ac:dyDescent="0.15">
      <c r="A1108" s="1" t="s">
        <v>1112</v>
      </c>
      <c r="B1108" s="1" t="s">
        <v>2132</v>
      </c>
      <c r="C1108" s="1" t="s">
        <v>2014</v>
      </c>
      <c r="D1108" s="1" t="s">
        <v>2013</v>
      </c>
      <c r="E1108" s="1" t="s">
        <v>1850</v>
      </c>
      <c r="F1108" s="3">
        <v>0</v>
      </c>
      <c r="G1108" s="24" t="s">
        <v>7805</v>
      </c>
      <c r="H1108" s="24" t="s">
        <v>4727</v>
      </c>
      <c r="I1108" s="24" t="s">
        <v>3265</v>
      </c>
      <c r="J1108" s="24" t="s">
        <v>2920</v>
      </c>
      <c r="K1108" s="3">
        <v>25</v>
      </c>
      <c r="L1108" s="3" t="s">
        <v>6880</v>
      </c>
      <c r="M1108" s="3" t="str">
        <f>HYPERLINK("http://ictvonline.org/taxonomyHistory.asp?taxnode_id=20151436","ICTVonline=20151436")</f>
        <v>ICTVonline=20151436</v>
      </c>
    </row>
    <row r="1109" spans="1:13" x14ac:dyDescent="0.15">
      <c r="A1109" s="1" t="s">
        <v>1112</v>
      </c>
      <c r="B1109" s="1" t="s">
        <v>2132</v>
      </c>
      <c r="C1109" s="1" t="s">
        <v>2014</v>
      </c>
      <c r="D1109" s="1" t="s">
        <v>2013</v>
      </c>
      <c r="E1109" s="1" t="s">
        <v>1851</v>
      </c>
      <c r="F1109" s="3">
        <v>0</v>
      </c>
      <c r="G1109" s="24" t="s">
        <v>7806</v>
      </c>
      <c r="H1109" s="24" t="s">
        <v>4728</v>
      </c>
      <c r="I1109" s="24" t="s">
        <v>3265</v>
      </c>
      <c r="J1109" s="24" t="s">
        <v>2920</v>
      </c>
      <c r="K1109" s="3">
        <v>25</v>
      </c>
      <c r="L1109" s="3" t="s">
        <v>6880</v>
      </c>
      <c r="M1109" s="3" t="str">
        <f>HYPERLINK("http://ictvonline.org/taxonomyHistory.asp?taxnode_id=20151437","ICTVonline=20151437")</f>
        <v>ICTVonline=20151437</v>
      </c>
    </row>
    <row r="1110" spans="1:13" x14ac:dyDescent="0.15">
      <c r="A1110" s="1" t="s">
        <v>1112</v>
      </c>
      <c r="B1110" s="1" t="s">
        <v>2132</v>
      </c>
      <c r="C1110" s="1" t="s">
        <v>2014</v>
      </c>
      <c r="D1110" s="1" t="s">
        <v>2013</v>
      </c>
      <c r="E1110" s="1" t="s">
        <v>1852</v>
      </c>
      <c r="F1110" s="3">
        <v>0</v>
      </c>
      <c r="G1110" s="24" t="s">
        <v>7807</v>
      </c>
      <c r="H1110" s="24" t="s">
        <v>4729</v>
      </c>
      <c r="I1110" s="24" t="s">
        <v>3265</v>
      </c>
      <c r="J1110" s="24" t="s">
        <v>2920</v>
      </c>
      <c r="K1110" s="3">
        <v>25</v>
      </c>
      <c r="L1110" s="3" t="s">
        <v>6880</v>
      </c>
      <c r="M1110" s="3" t="str">
        <f>HYPERLINK("http://ictvonline.org/taxonomyHistory.asp?taxnode_id=20151438","ICTVonline=20151438")</f>
        <v>ICTVonline=20151438</v>
      </c>
    </row>
    <row r="1111" spans="1:13" x14ac:dyDescent="0.15">
      <c r="A1111" s="1" t="s">
        <v>1112</v>
      </c>
      <c r="B1111" s="1" t="s">
        <v>2132</v>
      </c>
      <c r="C1111" s="1" t="s">
        <v>2014</v>
      </c>
      <c r="D1111" s="1" t="s">
        <v>2013</v>
      </c>
      <c r="E1111" s="1" t="s">
        <v>1853</v>
      </c>
      <c r="F1111" s="3">
        <v>0</v>
      </c>
      <c r="I1111" s="24" t="s">
        <v>3265</v>
      </c>
      <c r="J1111" s="24" t="s">
        <v>2920</v>
      </c>
      <c r="K1111" s="3">
        <v>25</v>
      </c>
      <c r="L1111" s="3" t="s">
        <v>6880</v>
      </c>
      <c r="M1111" s="3" t="str">
        <f>HYPERLINK("http://ictvonline.org/taxonomyHistory.asp?taxnode_id=20151439","ICTVonline=20151439")</f>
        <v>ICTVonline=20151439</v>
      </c>
    </row>
    <row r="1112" spans="1:13" x14ac:dyDescent="0.15">
      <c r="A1112" s="1" t="s">
        <v>1112</v>
      </c>
      <c r="B1112" s="1" t="s">
        <v>2132</v>
      </c>
      <c r="C1112" s="1" t="s">
        <v>2014</v>
      </c>
      <c r="D1112" s="1" t="s">
        <v>2013</v>
      </c>
      <c r="E1112" s="1" t="s">
        <v>1854</v>
      </c>
      <c r="F1112" s="3">
        <v>0</v>
      </c>
      <c r="I1112" s="24" t="s">
        <v>3265</v>
      </c>
      <c r="J1112" s="24" t="s">
        <v>2920</v>
      </c>
      <c r="K1112" s="3">
        <v>25</v>
      </c>
      <c r="L1112" s="3" t="s">
        <v>6880</v>
      </c>
      <c r="M1112" s="3" t="str">
        <f>HYPERLINK("http://ictvonline.org/taxonomyHistory.asp?taxnode_id=20151440","ICTVonline=20151440")</f>
        <v>ICTVonline=20151440</v>
      </c>
    </row>
    <row r="1113" spans="1:13" x14ac:dyDescent="0.15">
      <c r="A1113" s="1" t="s">
        <v>1112</v>
      </c>
      <c r="B1113" s="1" t="s">
        <v>2132</v>
      </c>
      <c r="C1113" s="1" t="s">
        <v>2014</v>
      </c>
      <c r="D1113" s="1" t="s">
        <v>2013</v>
      </c>
      <c r="E1113" s="1" t="s">
        <v>1855</v>
      </c>
      <c r="F1113" s="3">
        <v>0</v>
      </c>
      <c r="I1113" s="24" t="s">
        <v>3265</v>
      </c>
      <c r="J1113" s="24" t="s">
        <v>2920</v>
      </c>
      <c r="K1113" s="3">
        <v>25</v>
      </c>
      <c r="L1113" s="3" t="s">
        <v>6880</v>
      </c>
      <c r="M1113" s="3" t="str">
        <f>HYPERLINK("http://ictvonline.org/taxonomyHistory.asp?taxnode_id=20151441","ICTVonline=20151441")</f>
        <v>ICTVonline=20151441</v>
      </c>
    </row>
    <row r="1114" spans="1:13" x14ac:dyDescent="0.15">
      <c r="A1114" s="1" t="s">
        <v>1112</v>
      </c>
      <c r="B1114" s="1" t="s">
        <v>2132</v>
      </c>
      <c r="C1114" s="1" t="s">
        <v>2014</v>
      </c>
      <c r="D1114" s="1" t="s">
        <v>2013</v>
      </c>
      <c r="E1114" s="1" t="s">
        <v>6</v>
      </c>
      <c r="F1114" s="3">
        <v>0</v>
      </c>
      <c r="G1114" s="24" t="s">
        <v>7808</v>
      </c>
      <c r="H1114" s="24" t="s">
        <v>4730</v>
      </c>
      <c r="I1114" s="24" t="s">
        <v>3265</v>
      </c>
      <c r="J1114" s="24" t="s">
        <v>2919</v>
      </c>
      <c r="K1114" s="3">
        <v>26</v>
      </c>
      <c r="L1114" s="3" t="s">
        <v>6884</v>
      </c>
      <c r="M1114" s="3" t="str">
        <f>HYPERLINK("http://ictvonline.org/taxonomyHistory.asp?taxnode_id=20151442","ICTVonline=20151442")</f>
        <v>ICTVonline=20151442</v>
      </c>
    </row>
    <row r="1115" spans="1:13" x14ac:dyDescent="0.15">
      <c r="A1115" s="1" t="s">
        <v>1112</v>
      </c>
      <c r="B1115" s="1" t="s">
        <v>2132</v>
      </c>
      <c r="C1115" s="1" t="s">
        <v>2014</v>
      </c>
      <c r="D1115" s="1" t="s">
        <v>2013</v>
      </c>
      <c r="E1115" s="1" t="s">
        <v>4731</v>
      </c>
      <c r="F1115" s="3">
        <v>0</v>
      </c>
      <c r="G1115" s="24" t="s">
        <v>7479</v>
      </c>
      <c r="H1115" s="24" t="s">
        <v>4732</v>
      </c>
      <c r="I1115" s="24" t="s">
        <v>3265</v>
      </c>
      <c r="J1115" s="24" t="s">
        <v>2919</v>
      </c>
      <c r="K1115" s="3">
        <v>30</v>
      </c>
      <c r="L1115" s="3" t="s">
        <v>6882</v>
      </c>
      <c r="M1115" s="3" t="str">
        <f>HYPERLINK("http://ictvonline.org/taxonomyHistory.asp?taxnode_id=20151454","ICTVonline=20151454")</f>
        <v>ICTVonline=20151454</v>
      </c>
    </row>
    <row r="1116" spans="1:13" x14ac:dyDescent="0.15">
      <c r="A1116" s="1" t="s">
        <v>1112</v>
      </c>
      <c r="B1116" s="1" t="s">
        <v>2132</v>
      </c>
      <c r="C1116" s="1" t="s">
        <v>2014</v>
      </c>
      <c r="D1116" s="1" t="s">
        <v>2013</v>
      </c>
      <c r="E1116" s="1" t="s">
        <v>1856</v>
      </c>
      <c r="F1116" s="3">
        <v>0</v>
      </c>
      <c r="I1116" s="24" t="s">
        <v>3265</v>
      </c>
      <c r="J1116" s="24" t="s">
        <v>2920</v>
      </c>
      <c r="K1116" s="3">
        <v>25</v>
      </c>
      <c r="L1116" s="3" t="s">
        <v>6880</v>
      </c>
      <c r="M1116" s="3" t="str">
        <f>HYPERLINK("http://ictvonline.org/taxonomyHistory.asp?taxnode_id=20151443","ICTVonline=20151443")</f>
        <v>ICTVonline=20151443</v>
      </c>
    </row>
    <row r="1117" spans="1:13" x14ac:dyDescent="0.15">
      <c r="A1117" s="1" t="s">
        <v>1112</v>
      </c>
      <c r="B1117" s="1" t="s">
        <v>2132</v>
      </c>
      <c r="C1117" s="1" t="s">
        <v>2014</v>
      </c>
      <c r="D1117" s="1" t="s">
        <v>2013</v>
      </c>
      <c r="E1117" s="1" t="s">
        <v>1857</v>
      </c>
      <c r="F1117" s="3">
        <v>0</v>
      </c>
      <c r="I1117" s="24" t="s">
        <v>3265</v>
      </c>
      <c r="J1117" s="24" t="s">
        <v>2920</v>
      </c>
      <c r="K1117" s="3">
        <v>25</v>
      </c>
      <c r="L1117" s="3" t="s">
        <v>6880</v>
      </c>
      <c r="M1117" s="3" t="str">
        <f>HYPERLINK("http://ictvonline.org/taxonomyHistory.asp?taxnode_id=20151444","ICTVonline=20151444")</f>
        <v>ICTVonline=20151444</v>
      </c>
    </row>
    <row r="1118" spans="1:13" x14ac:dyDescent="0.15">
      <c r="A1118" s="1" t="s">
        <v>1112</v>
      </c>
      <c r="B1118" s="1" t="s">
        <v>2132</v>
      </c>
      <c r="C1118" s="1" t="s">
        <v>2014</v>
      </c>
      <c r="D1118" s="1" t="s">
        <v>2013</v>
      </c>
      <c r="E1118" s="1" t="s">
        <v>1495</v>
      </c>
      <c r="F1118" s="3">
        <v>0</v>
      </c>
      <c r="G1118" s="24" t="s">
        <v>4733</v>
      </c>
      <c r="H1118" s="24" t="s">
        <v>4734</v>
      </c>
      <c r="I1118" s="24" t="s">
        <v>3265</v>
      </c>
      <c r="J1118" s="24" t="s">
        <v>2920</v>
      </c>
      <c r="K1118" s="3">
        <v>25</v>
      </c>
      <c r="L1118" s="3" t="s">
        <v>6880</v>
      </c>
      <c r="M1118" s="3" t="str">
        <f>HYPERLINK("http://ictvonline.org/taxonomyHistory.asp?taxnode_id=20151445","ICTVonline=20151445")</f>
        <v>ICTVonline=20151445</v>
      </c>
    </row>
    <row r="1119" spans="1:13" x14ac:dyDescent="0.15">
      <c r="A1119" s="1" t="s">
        <v>1112</v>
      </c>
      <c r="B1119" s="1" t="s">
        <v>2132</v>
      </c>
      <c r="C1119" s="1" t="s">
        <v>2014</v>
      </c>
      <c r="D1119" s="1" t="s">
        <v>2013</v>
      </c>
      <c r="E1119" s="1" t="s">
        <v>1496</v>
      </c>
      <c r="F1119" s="3">
        <v>0</v>
      </c>
      <c r="G1119" s="24" t="s">
        <v>4735</v>
      </c>
      <c r="H1119" s="24" t="s">
        <v>4736</v>
      </c>
      <c r="I1119" s="24" t="s">
        <v>3265</v>
      </c>
      <c r="J1119" s="24" t="s">
        <v>2920</v>
      </c>
      <c r="K1119" s="3">
        <v>25</v>
      </c>
      <c r="L1119" s="3" t="s">
        <v>6880</v>
      </c>
      <c r="M1119" s="3" t="str">
        <f>HYPERLINK("http://ictvonline.org/taxonomyHistory.asp?taxnode_id=20151446","ICTVonline=20151446")</f>
        <v>ICTVonline=20151446</v>
      </c>
    </row>
    <row r="1120" spans="1:13" x14ac:dyDescent="0.15">
      <c r="A1120" s="1" t="s">
        <v>1112</v>
      </c>
      <c r="B1120" s="1" t="s">
        <v>2132</v>
      </c>
      <c r="C1120" s="1" t="s">
        <v>2014</v>
      </c>
      <c r="D1120" s="1" t="s">
        <v>2013</v>
      </c>
      <c r="E1120" s="1" t="s">
        <v>1497</v>
      </c>
      <c r="F1120" s="3">
        <v>0</v>
      </c>
      <c r="G1120" s="24" t="s">
        <v>7809</v>
      </c>
      <c r="H1120" s="24" t="s">
        <v>4737</v>
      </c>
      <c r="I1120" s="24" t="s">
        <v>3265</v>
      </c>
      <c r="J1120" s="24" t="s">
        <v>2920</v>
      </c>
      <c r="K1120" s="3">
        <v>25</v>
      </c>
      <c r="L1120" s="3" t="s">
        <v>6880</v>
      </c>
      <c r="M1120" s="3" t="str">
        <f>HYPERLINK("http://ictvonline.org/taxonomyHistory.asp?taxnode_id=20151447","ICTVonline=20151447")</f>
        <v>ICTVonline=20151447</v>
      </c>
    </row>
    <row r="1121" spans="1:13" x14ac:dyDescent="0.15">
      <c r="A1121" s="1" t="s">
        <v>1112</v>
      </c>
      <c r="B1121" s="1" t="s">
        <v>2132</v>
      </c>
      <c r="C1121" s="1" t="s">
        <v>2014</v>
      </c>
      <c r="D1121" s="1" t="s">
        <v>2013</v>
      </c>
      <c r="E1121" s="1" t="s">
        <v>1498</v>
      </c>
      <c r="F1121" s="3">
        <v>0</v>
      </c>
      <c r="I1121" s="24" t="s">
        <v>3265</v>
      </c>
      <c r="J1121" s="24" t="s">
        <v>2920</v>
      </c>
      <c r="K1121" s="3">
        <v>25</v>
      </c>
      <c r="L1121" s="3" t="s">
        <v>6880</v>
      </c>
      <c r="M1121" s="3" t="str">
        <f>HYPERLINK("http://ictvonline.org/taxonomyHistory.asp?taxnode_id=20151448","ICTVonline=20151448")</f>
        <v>ICTVonline=20151448</v>
      </c>
    </row>
    <row r="1122" spans="1:13" x14ac:dyDescent="0.15">
      <c r="A1122" s="1" t="s">
        <v>1112</v>
      </c>
      <c r="B1122" s="1" t="s">
        <v>2132</v>
      </c>
      <c r="C1122" s="1" t="s">
        <v>2014</v>
      </c>
      <c r="D1122" s="1" t="s">
        <v>2013</v>
      </c>
      <c r="E1122" s="1" t="s">
        <v>1499</v>
      </c>
      <c r="F1122" s="3">
        <v>0</v>
      </c>
      <c r="G1122" s="24" t="s">
        <v>7810</v>
      </c>
      <c r="H1122" s="24" t="s">
        <v>4738</v>
      </c>
      <c r="I1122" s="24" t="s">
        <v>3265</v>
      </c>
      <c r="J1122" s="24" t="s">
        <v>2920</v>
      </c>
      <c r="K1122" s="3">
        <v>25</v>
      </c>
      <c r="L1122" s="3" t="s">
        <v>6880</v>
      </c>
      <c r="M1122" s="3" t="str">
        <f>HYPERLINK("http://ictvonline.org/taxonomyHistory.asp?taxnode_id=20151449","ICTVonline=20151449")</f>
        <v>ICTVonline=20151449</v>
      </c>
    </row>
    <row r="1123" spans="1:13" x14ac:dyDescent="0.15">
      <c r="A1123" s="1" t="s">
        <v>1112</v>
      </c>
      <c r="B1123" s="1" t="s">
        <v>2132</v>
      </c>
      <c r="C1123" s="1" t="s">
        <v>2014</v>
      </c>
      <c r="D1123" s="1" t="s">
        <v>2013</v>
      </c>
      <c r="E1123" s="1" t="s">
        <v>1506</v>
      </c>
      <c r="F1123" s="3">
        <v>1</v>
      </c>
      <c r="G1123" s="24" t="s">
        <v>7811</v>
      </c>
      <c r="H1123" s="24" t="s">
        <v>4739</v>
      </c>
      <c r="I1123" s="24" t="s">
        <v>3265</v>
      </c>
      <c r="J1123" s="24" t="s">
        <v>2920</v>
      </c>
      <c r="K1123" s="3">
        <v>25</v>
      </c>
      <c r="L1123" s="3" t="s">
        <v>6880</v>
      </c>
      <c r="M1123" s="3" t="str">
        <f>HYPERLINK("http://ictvonline.org/taxonomyHistory.asp?taxnode_id=20151450","ICTVonline=20151450")</f>
        <v>ICTVonline=20151450</v>
      </c>
    </row>
    <row r="1124" spans="1:13" x14ac:dyDescent="0.15">
      <c r="A1124" s="1" t="s">
        <v>1112</v>
      </c>
      <c r="B1124" s="1" t="s">
        <v>2132</v>
      </c>
      <c r="C1124" s="1" t="s">
        <v>2014</v>
      </c>
      <c r="D1124" s="1" t="s">
        <v>2013</v>
      </c>
      <c r="E1124" s="1" t="s">
        <v>1507</v>
      </c>
      <c r="F1124" s="3">
        <v>0</v>
      </c>
      <c r="G1124" s="24" t="s">
        <v>7812</v>
      </c>
      <c r="H1124" s="24" t="s">
        <v>4740</v>
      </c>
      <c r="I1124" s="24" t="s">
        <v>3265</v>
      </c>
      <c r="J1124" s="24" t="s">
        <v>2920</v>
      </c>
      <c r="K1124" s="3">
        <v>25</v>
      </c>
      <c r="L1124" s="3" t="s">
        <v>6880</v>
      </c>
      <c r="M1124" s="3" t="str">
        <f>HYPERLINK("http://ictvonline.org/taxonomyHistory.asp?taxnode_id=20151451","ICTVonline=20151451")</f>
        <v>ICTVonline=20151451</v>
      </c>
    </row>
    <row r="1125" spans="1:13" x14ac:dyDescent="0.15">
      <c r="A1125" s="1" t="s">
        <v>1112</v>
      </c>
      <c r="B1125" s="1" t="s">
        <v>2132</v>
      </c>
      <c r="C1125" s="1" t="s">
        <v>2014</v>
      </c>
      <c r="D1125" s="1" t="s">
        <v>2013</v>
      </c>
      <c r="E1125" s="1" t="s">
        <v>1508</v>
      </c>
      <c r="F1125" s="3">
        <v>0</v>
      </c>
      <c r="G1125" s="24" t="s">
        <v>7813</v>
      </c>
      <c r="H1125" s="24" t="s">
        <v>4741</v>
      </c>
      <c r="I1125" s="24" t="s">
        <v>3265</v>
      </c>
      <c r="J1125" s="24" t="s">
        <v>2920</v>
      </c>
      <c r="K1125" s="3">
        <v>25</v>
      </c>
      <c r="L1125" s="3" t="s">
        <v>6880</v>
      </c>
      <c r="M1125" s="3" t="str">
        <f>HYPERLINK("http://ictvonline.org/taxonomyHistory.asp?taxnode_id=20151452","ICTVonline=20151452")</f>
        <v>ICTVonline=20151452</v>
      </c>
    </row>
    <row r="1126" spans="1:13" x14ac:dyDescent="0.15">
      <c r="A1126" s="1" t="s">
        <v>1112</v>
      </c>
      <c r="B1126" s="1" t="s">
        <v>2132</v>
      </c>
      <c r="D1126" s="1" t="s">
        <v>655</v>
      </c>
      <c r="E1126" s="1" t="s">
        <v>656</v>
      </c>
      <c r="F1126" s="3">
        <v>0</v>
      </c>
      <c r="G1126" s="24" t="s">
        <v>7814</v>
      </c>
      <c r="H1126" s="24" t="s">
        <v>4742</v>
      </c>
      <c r="I1126" s="24" t="s">
        <v>3265</v>
      </c>
      <c r="J1126" s="24" t="s">
        <v>2920</v>
      </c>
      <c r="K1126" s="3">
        <v>25</v>
      </c>
      <c r="L1126" s="3" t="s">
        <v>6885</v>
      </c>
      <c r="M1126" s="3" t="str">
        <f>HYPERLINK("http://ictvonline.org/taxonomyHistory.asp?taxnode_id=20151457","ICTVonline=20151457")</f>
        <v>ICTVonline=20151457</v>
      </c>
    </row>
    <row r="1127" spans="1:13" x14ac:dyDescent="0.15">
      <c r="A1127" s="1" t="s">
        <v>1112</v>
      </c>
      <c r="B1127" s="1" t="s">
        <v>2132</v>
      </c>
      <c r="D1127" s="1" t="s">
        <v>655</v>
      </c>
      <c r="E1127" s="1" t="s">
        <v>2476</v>
      </c>
      <c r="F1127" s="3">
        <v>0</v>
      </c>
      <c r="G1127" s="24" t="s">
        <v>7815</v>
      </c>
      <c r="H1127" s="24" t="s">
        <v>4743</v>
      </c>
      <c r="I1127" s="24" t="s">
        <v>3265</v>
      </c>
      <c r="J1127" s="24" t="s">
        <v>2919</v>
      </c>
      <c r="K1127" s="3">
        <v>28</v>
      </c>
      <c r="L1127" s="3" t="s">
        <v>6886</v>
      </c>
      <c r="M1127" s="3" t="str">
        <f>HYPERLINK("http://ictvonline.org/taxonomyHistory.asp?taxnode_id=20151458","ICTVonline=20151458")</f>
        <v>ICTVonline=20151458</v>
      </c>
    </row>
    <row r="1128" spans="1:13" x14ac:dyDescent="0.15">
      <c r="A1128" s="1" t="s">
        <v>1112</v>
      </c>
      <c r="B1128" s="1" t="s">
        <v>2132</v>
      </c>
      <c r="D1128" s="1" t="s">
        <v>655</v>
      </c>
      <c r="E1128" s="1" t="s">
        <v>657</v>
      </c>
      <c r="F1128" s="3">
        <v>1</v>
      </c>
      <c r="G1128" s="24" t="s">
        <v>7816</v>
      </c>
      <c r="H1128" s="24" t="s">
        <v>4744</v>
      </c>
      <c r="I1128" s="24" t="s">
        <v>3265</v>
      </c>
      <c r="J1128" s="24" t="s">
        <v>2920</v>
      </c>
      <c r="K1128" s="3">
        <v>25</v>
      </c>
      <c r="L1128" s="3" t="s">
        <v>6885</v>
      </c>
      <c r="M1128" s="3" t="str">
        <f>HYPERLINK("http://ictvonline.org/taxonomyHistory.asp?taxnode_id=20151459","ICTVonline=20151459")</f>
        <v>ICTVonline=20151459</v>
      </c>
    </row>
    <row r="1129" spans="1:13" x14ac:dyDescent="0.15">
      <c r="A1129" s="1" t="s">
        <v>1112</v>
      </c>
      <c r="B1129" s="1" t="s">
        <v>2132</v>
      </c>
      <c r="D1129" s="1" t="s">
        <v>655</v>
      </c>
      <c r="E1129" s="1" t="s">
        <v>658</v>
      </c>
      <c r="F1129" s="3">
        <v>0</v>
      </c>
      <c r="I1129" s="24" t="s">
        <v>3265</v>
      </c>
      <c r="J1129" s="24" t="s">
        <v>2920</v>
      </c>
      <c r="K1129" s="3">
        <v>25</v>
      </c>
      <c r="L1129" s="3" t="s">
        <v>6885</v>
      </c>
      <c r="M1129" s="3" t="str">
        <f>HYPERLINK("http://ictvonline.org/taxonomyHistory.asp?taxnode_id=20151460","ICTVonline=20151460")</f>
        <v>ICTVonline=20151460</v>
      </c>
    </row>
    <row r="1130" spans="1:13" x14ac:dyDescent="0.15">
      <c r="A1130" s="1" t="s">
        <v>1112</v>
      </c>
      <c r="B1130" s="1" t="s">
        <v>2132</v>
      </c>
      <c r="D1130" s="1" t="s">
        <v>1898</v>
      </c>
      <c r="E1130" s="1" t="s">
        <v>1899</v>
      </c>
      <c r="F1130" s="3">
        <v>1</v>
      </c>
      <c r="G1130" s="24" t="s">
        <v>7817</v>
      </c>
      <c r="H1130" s="24" t="s">
        <v>4745</v>
      </c>
      <c r="I1130" s="24" t="s">
        <v>3265</v>
      </c>
      <c r="J1130" s="24" t="s">
        <v>2920</v>
      </c>
      <c r="K1130" s="3">
        <v>25</v>
      </c>
      <c r="L1130" s="3" t="s">
        <v>6885</v>
      </c>
      <c r="M1130" s="3" t="str">
        <f>HYPERLINK("http://ictvonline.org/taxonomyHistory.asp?taxnode_id=20151462","ICTVonline=20151462")</f>
        <v>ICTVonline=20151462</v>
      </c>
    </row>
    <row r="1131" spans="1:13" x14ac:dyDescent="0.15">
      <c r="A1131" s="1" t="s">
        <v>1112</v>
      </c>
      <c r="B1131" s="1" t="s">
        <v>2132</v>
      </c>
      <c r="D1131" s="1" t="s">
        <v>651</v>
      </c>
      <c r="E1131" s="1" t="s">
        <v>2286</v>
      </c>
      <c r="F1131" s="3">
        <v>0</v>
      </c>
      <c r="G1131" s="24" t="s">
        <v>4746</v>
      </c>
      <c r="H1131" s="24" t="s">
        <v>4747</v>
      </c>
      <c r="I1131" s="24" t="s">
        <v>3265</v>
      </c>
      <c r="J1131" s="24" t="s">
        <v>2919</v>
      </c>
      <c r="K1131" s="3">
        <v>25</v>
      </c>
      <c r="L1131" s="3" t="s">
        <v>6887</v>
      </c>
      <c r="M1131" s="3" t="str">
        <f>HYPERLINK("http://ictvonline.org/taxonomyHistory.asp?taxnode_id=20151464","ICTVonline=20151464")</f>
        <v>ICTVonline=20151464</v>
      </c>
    </row>
    <row r="1132" spans="1:13" x14ac:dyDescent="0.15">
      <c r="A1132" s="1" t="s">
        <v>1112</v>
      </c>
      <c r="B1132" s="1" t="s">
        <v>2132</v>
      </c>
      <c r="D1132" s="1" t="s">
        <v>651</v>
      </c>
      <c r="E1132" s="1" t="s">
        <v>652</v>
      </c>
      <c r="F1132" s="3">
        <v>0</v>
      </c>
      <c r="I1132" s="24" t="s">
        <v>3265</v>
      </c>
      <c r="J1132" s="24" t="s">
        <v>2920</v>
      </c>
      <c r="K1132" s="3">
        <v>25</v>
      </c>
      <c r="L1132" s="3" t="s">
        <v>6885</v>
      </c>
      <c r="M1132" s="3" t="str">
        <f>HYPERLINK("http://ictvonline.org/taxonomyHistory.asp?taxnode_id=20151465","ICTVonline=20151465")</f>
        <v>ICTVonline=20151465</v>
      </c>
    </row>
    <row r="1133" spans="1:13" x14ac:dyDescent="0.15">
      <c r="A1133" s="1" t="s">
        <v>1112</v>
      </c>
      <c r="B1133" s="1" t="s">
        <v>2132</v>
      </c>
      <c r="D1133" s="1" t="s">
        <v>651</v>
      </c>
      <c r="E1133" s="1" t="s">
        <v>1601</v>
      </c>
      <c r="F1133" s="3">
        <v>1</v>
      </c>
      <c r="G1133" s="24" t="s">
        <v>4748</v>
      </c>
      <c r="H1133" s="24" t="s">
        <v>4749</v>
      </c>
      <c r="I1133" s="24" t="s">
        <v>3265</v>
      </c>
      <c r="J1133" s="24" t="s">
        <v>2920</v>
      </c>
      <c r="K1133" s="3">
        <v>25</v>
      </c>
      <c r="L1133" s="3" t="s">
        <v>6885</v>
      </c>
      <c r="M1133" s="3" t="str">
        <f>HYPERLINK("http://ictvonline.org/taxonomyHistory.asp?taxnode_id=20151466","ICTVonline=20151466")</f>
        <v>ICTVonline=20151466</v>
      </c>
    </row>
    <row r="1134" spans="1:13" x14ac:dyDescent="0.15">
      <c r="A1134" s="1" t="s">
        <v>1112</v>
      </c>
      <c r="B1134" s="1" t="s">
        <v>2132</v>
      </c>
      <c r="D1134" s="1" t="s">
        <v>2129</v>
      </c>
      <c r="E1134" s="1" t="s">
        <v>4750</v>
      </c>
      <c r="F1134" s="3">
        <v>0</v>
      </c>
      <c r="G1134" s="24" t="s">
        <v>7480</v>
      </c>
      <c r="H1134" s="24" t="s">
        <v>4751</v>
      </c>
      <c r="I1134" s="24" t="s">
        <v>3265</v>
      </c>
      <c r="J1134" s="24" t="s">
        <v>2919</v>
      </c>
      <c r="K1134" s="3">
        <v>30</v>
      </c>
      <c r="L1134" s="3" t="s">
        <v>6888</v>
      </c>
      <c r="M1134" s="3" t="str">
        <f>HYPERLINK("http://ictvonline.org/taxonomyHistory.asp?taxnode_id=20151471","ICTVonline=20151471")</f>
        <v>ICTVonline=20151471</v>
      </c>
    </row>
    <row r="1135" spans="1:13" x14ac:dyDescent="0.15">
      <c r="A1135" s="1" t="s">
        <v>1112</v>
      </c>
      <c r="B1135" s="1" t="s">
        <v>2132</v>
      </c>
      <c r="D1135" s="1" t="s">
        <v>2129</v>
      </c>
      <c r="E1135" s="1" t="s">
        <v>2818</v>
      </c>
      <c r="F1135" s="3">
        <v>0</v>
      </c>
      <c r="G1135" s="24" t="s">
        <v>7818</v>
      </c>
      <c r="H1135" s="24" t="s">
        <v>6705</v>
      </c>
      <c r="I1135" s="24" t="s">
        <v>3265</v>
      </c>
      <c r="J1135" s="24" t="s">
        <v>2919</v>
      </c>
      <c r="K1135" s="3">
        <v>29</v>
      </c>
      <c r="L1135" s="3" t="s">
        <v>6889</v>
      </c>
      <c r="M1135" s="3" t="str">
        <f>HYPERLINK("http://ictvonline.org/taxonomyHistory.asp?taxnode_id=20151468","ICTVonline=20151468")</f>
        <v>ICTVonline=20151468</v>
      </c>
    </row>
    <row r="1136" spans="1:13" x14ac:dyDescent="0.15">
      <c r="A1136" s="1" t="s">
        <v>1112</v>
      </c>
      <c r="B1136" s="1" t="s">
        <v>2132</v>
      </c>
      <c r="D1136" s="1" t="s">
        <v>2129</v>
      </c>
      <c r="E1136" s="1" t="s">
        <v>4752</v>
      </c>
      <c r="F1136" s="3">
        <v>0</v>
      </c>
      <c r="G1136" s="24" t="s">
        <v>7481</v>
      </c>
      <c r="H1136" s="24" t="s">
        <v>4753</v>
      </c>
      <c r="I1136" s="24" t="s">
        <v>3265</v>
      </c>
      <c r="J1136" s="24" t="s">
        <v>2919</v>
      </c>
      <c r="K1136" s="3">
        <v>30</v>
      </c>
      <c r="L1136" s="3" t="s">
        <v>6888</v>
      </c>
      <c r="M1136" s="3" t="str">
        <f>HYPERLINK("http://ictvonline.org/taxonomyHistory.asp?taxnode_id=20151472","ICTVonline=20151472")</f>
        <v>ICTVonline=20151472</v>
      </c>
    </row>
    <row r="1137" spans="1:13" x14ac:dyDescent="0.15">
      <c r="A1137" s="1" t="s">
        <v>1112</v>
      </c>
      <c r="B1137" s="1" t="s">
        <v>2132</v>
      </c>
      <c r="D1137" s="1" t="s">
        <v>2129</v>
      </c>
      <c r="E1137" s="1" t="s">
        <v>2131</v>
      </c>
      <c r="F1137" s="3">
        <v>0</v>
      </c>
      <c r="G1137" s="24" t="s">
        <v>7819</v>
      </c>
      <c r="H1137" s="24" t="s">
        <v>4754</v>
      </c>
      <c r="I1137" s="24" t="s">
        <v>3265</v>
      </c>
      <c r="J1137" s="24" t="s">
        <v>2919</v>
      </c>
      <c r="K1137" s="3">
        <v>25</v>
      </c>
      <c r="L1137" s="3" t="s">
        <v>6890</v>
      </c>
      <c r="M1137" s="3" t="str">
        <f>HYPERLINK("http://ictvonline.org/taxonomyHistory.asp?taxnode_id=20151469","ICTVonline=20151469")</f>
        <v>ICTVonline=20151469</v>
      </c>
    </row>
    <row r="1138" spans="1:13" x14ac:dyDescent="0.15">
      <c r="A1138" s="1" t="s">
        <v>1112</v>
      </c>
      <c r="B1138" s="1" t="s">
        <v>2132</v>
      </c>
      <c r="D1138" s="1" t="s">
        <v>2129</v>
      </c>
      <c r="E1138" s="1" t="s">
        <v>2130</v>
      </c>
      <c r="F1138" s="3">
        <v>1</v>
      </c>
      <c r="G1138" s="24" t="s">
        <v>7820</v>
      </c>
      <c r="H1138" s="24" t="s">
        <v>4755</v>
      </c>
      <c r="I1138" s="24" t="s">
        <v>3265</v>
      </c>
      <c r="J1138" s="24" t="s">
        <v>2921</v>
      </c>
      <c r="K1138" s="3">
        <v>25</v>
      </c>
      <c r="L1138" s="3" t="s">
        <v>6890</v>
      </c>
      <c r="M1138" s="3" t="str">
        <f>HYPERLINK("http://ictvonline.org/taxonomyHistory.asp?taxnode_id=20151470","ICTVonline=20151470")</f>
        <v>ICTVonline=20151470</v>
      </c>
    </row>
    <row r="1139" spans="1:13" x14ac:dyDescent="0.15">
      <c r="A1139" s="1" t="s">
        <v>1112</v>
      </c>
      <c r="B1139" s="1" t="s">
        <v>2132</v>
      </c>
      <c r="D1139" s="1" t="s">
        <v>934</v>
      </c>
      <c r="E1139" s="1" t="s">
        <v>2287</v>
      </c>
      <c r="F1139" s="3">
        <v>0</v>
      </c>
      <c r="G1139" s="24" t="s">
        <v>7821</v>
      </c>
      <c r="H1139" s="24" t="s">
        <v>4756</v>
      </c>
      <c r="I1139" s="24" t="s">
        <v>3265</v>
      </c>
      <c r="J1139" s="24" t="s">
        <v>2919</v>
      </c>
      <c r="K1139" s="3">
        <v>25</v>
      </c>
      <c r="L1139" s="3" t="s">
        <v>6887</v>
      </c>
      <c r="M1139" s="3" t="str">
        <f>HYPERLINK("http://ictvonline.org/taxonomyHistory.asp?taxnode_id=20151474","ICTVonline=20151474")</f>
        <v>ICTVonline=20151474</v>
      </c>
    </row>
    <row r="1140" spans="1:13" x14ac:dyDescent="0.15">
      <c r="A1140" s="1" t="s">
        <v>1112</v>
      </c>
      <c r="B1140" s="1" t="s">
        <v>2132</v>
      </c>
      <c r="D1140" s="1" t="s">
        <v>934</v>
      </c>
      <c r="E1140" s="1" t="s">
        <v>1900</v>
      </c>
      <c r="F1140" s="3">
        <v>0</v>
      </c>
      <c r="G1140" s="24" t="s">
        <v>7822</v>
      </c>
      <c r="H1140" s="24" t="s">
        <v>7482</v>
      </c>
      <c r="I1140" s="24" t="s">
        <v>3265</v>
      </c>
      <c r="J1140" s="24" t="s">
        <v>2920</v>
      </c>
      <c r="K1140" s="3">
        <v>25</v>
      </c>
      <c r="L1140" s="3" t="s">
        <v>6887</v>
      </c>
      <c r="M1140" s="3" t="str">
        <f>HYPERLINK("http://ictvonline.org/taxonomyHistory.asp?taxnode_id=20151475","ICTVonline=20151475")</f>
        <v>ICTVonline=20151475</v>
      </c>
    </row>
    <row r="1141" spans="1:13" x14ac:dyDescent="0.15">
      <c r="A1141" s="1" t="s">
        <v>1112</v>
      </c>
      <c r="B1141" s="1" t="s">
        <v>2132</v>
      </c>
      <c r="D1141" s="1" t="s">
        <v>934</v>
      </c>
      <c r="E1141" s="1" t="s">
        <v>1901</v>
      </c>
      <c r="F1141" s="3">
        <v>0</v>
      </c>
      <c r="G1141" s="24" t="s">
        <v>7823</v>
      </c>
      <c r="H1141" s="24" t="s">
        <v>4757</v>
      </c>
      <c r="I1141" s="24" t="s">
        <v>3265</v>
      </c>
      <c r="J1141" s="24" t="s">
        <v>2920</v>
      </c>
      <c r="K1141" s="3">
        <v>25</v>
      </c>
      <c r="L1141" s="3" t="s">
        <v>6887</v>
      </c>
      <c r="M1141" s="3" t="str">
        <f>HYPERLINK("http://ictvonline.org/taxonomyHistory.asp?taxnode_id=20151476","ICTVonline=20151476")</f>
        <v>ICTVonline=20151476</v>
      </c>
    </row>
    <row r="1142" spans="1:13" x14ac:dyDescent="0.15">
      <c r="A1142" s="1" t="s">
        <v>1112</v>
      </c>
      <c r="B1142" s="1" t="s">
        <v>2132</v>
      </c>
      <c r="D1142" s="1" t="s">
        <v>2010</v>
      </c>
      <c r="E1142" s="1" t="s">
        <v>653</v>
      </c>
      <c r="F1142" s="3">
        <v>0</v>
      </c>
      <c r="I1142" s="24" t="s">
        <v>3265</v>
      </c>
      <c r="J1142" s="24" t="s">
        <v>2920</v>
      </c>
      <c r="K1142" s="3">
        <v>25</v>
      </c>
      <c r="L1142" s="3" t="s">
        <v>6885</v>
      </c>
      <c r="M1142" s="3" t="str">
        <f>HYPERLINK("http://ictvonline.org/taxonomyHistory.asp?taxnode_id=20151478","ICTVonline=20151478")</f>
        <v>ICTVonline=20151478</v>
      </c>
    </row>
    <row r="1143" spans="1:13" x14ac:dyDescent="0.15">
      <c r="A1143" s="1" t="s">
        <v>1112</v>
      </c>
      <c r="B1143" s="1" t="s">
        <v>2132</v>
      </c>
      <c r="D1143" s="1" t="s">
        <v>2010</v>
      </c>
      <c r="E1143" s="1" t="s">
        <v>654</v>
      </c>
      <c r="F1143" s="3">
        <v>0</v>
      </c>
      <c r="G1143" s="24" t="s">
        <v>4758</v>
      </c>
      <c r="H1143" s="24" t="s">
        <v>4759</v>
      </c>
      <c r="I1143" s="24" t="s">
        <v>3265</v>
      </c>
      <c r="J1143" s="24" t="s">
        <v>2920</v>
      </c>
      <c r="K1143" s="3">
        <v>25</v>
      </c>
      <c r="L1143" s="3" t="s">
        <v>6885</v>
      </c>
      <c r="M1143" s="3" t="str">
        <f>HYPERLINK("http://ictvonline.org/taxonomyHistory.asp?taxnode_id=20151479","ICTVonline=20151479")</f>
        <v>ICTVonline=20151479</v>
      </c>
    </row>
    <row r="1144" spans="1:13" x14ac:dyDescent="0.15">
      <c r="A1144" s="1" t="s">
        <v>1112</v>
      </c>
      <c r="B1144" s="1" t="s">
        <v>2132</v>
      </c>
      <c r="D1144" s="1" t="s">
        <v>2010</v>
      </c>
      <c r="E1144" s="1" t="s">
        <v>1602</v>
      </c>
      <c r="F1144" s="3">
        <v>1</v>
      </c>
      <c r="G1144" s="24" t="s">
        <v>4760</v>
      </c>
      <c r="H1144" s="24" t="s">
        <v>4761</v>
      </c>
      <c r="I1144" s="24" t="s">
        <v>3265</v>
      </c>
      <c r="J1144" s="24" t="s">
        <v>2920</v>
      </c>
      <c r="K1144" s="3">
        <v>25</v>
      </c>
      <c r="L1144" s="3" t="s">
        <v>6885</v>
      </c>
      <c r="M1144" s="3" t="str">
        <f>HYPERLINK("http://ictvonline.org/taxonomyHistory.asp?taxnode_id=20151480","ICTVonline=20151480")</f>
        <v>ICTVonline=20151480</v>
      </c>
    </row>
    <row r="1145" spans="1:13" x14ac:dyDescent="0.15">
      <c r="A1145" s="1" t="s">
        <v>1112</v>
      </c>
      <c r="B1145" s="1" t="s">
        <v>934</v>
      </c>
      <c r="D1145" s="1" t="s">
        <v>7</v>
      </c>
      <c r="E1145" s="1" t="s">
        <v>6891</v>
      </c>
      <c r="F1145" s="3">
        <v>0</v>
      </c>
      <c r="G1145" s="24" t="s">
        <v>4762</v>
      </c>
      <c r="H1145" s="24" t="s">
        <v>4763</v>
      </c>
      <c r="I1145" s="24" t="s">
        <v>3265</v>
      </c>
      <c r="J1145" s="24" t="s">
        <v>2919</v>
      </c>
      <c r="K1145" s="3">
        <v>26</v>
      </c>
      <c r="L1145" s="3" t="s">
        <v>6892</v>
      </c>
      <c r="M1145" s="3" t="str">
        <f>HYPERLINK("http://ictvonline.org/taxonomyHistory.asp?taxnode_id=20151484","ICTVonline=20151484")</f>
        <v>ICTVonline=20151484</v>
      </c>
    </row>
    <row r="1146" spans="1:13" x14ac:dyDescent="0.15">
      <c r="A1146" s="1" t="s">
        <v>1112</v>
      </c>
      <c r="B1146" s="1" t="s">
        <v>934</v>
      </c>
      <c r="D1146" s="1" t="s">
        <v>7</v>
      </c>
      <c r="E1146" s="1" t="s">
        <v>8</v>
      </c>
      <c r="F1146" s="3">
        <v>0</v>
      </c>
      <c r="G1146" s="24" t="s">
        <v>4764</v>
      </c>
      <c r="H1146" s="24" t="s">
        <v>4765</v>
      </c>
      <c r="I1146" s="24" t="s">
        <v>3265</v>
      </c>
      <c r="J1146" s="24" t="s">
        <v>2919</v>
      </c>
      <c r="K1146" s="3">
        <v>26</v>
      </c>
      <c r="L1146" s="3" t="s">
        <v>6892</v>
      </c>
      <c r="M1146" s="3" t="str">
        <f>HYPERLINK("http://ictvonline.org/taxonomyHistory.asp?taxnode_id=20151485","ICTVonline=20151485")</f>
        <v>ICTVonline=20151485</v>
      </c>
    </row>
    <row r="1147" spans="1:13" x14ac:dyDescent="0.15">
      <c r="A1147" s="1" t="s">
        <v>1112</v>
      </c>
      <c r="B1147" s="1" t="s">
        <v>934</v>
      </c>
      <c r="D1147" s="1" t="s">
        <v>7</v>
      </c>
      <c r="E1147" s="1" t="s">
        <v>9</v>
      </c>
      <c r="F1147" s="3">
        <v>1</v>
      </c>
      <c r="G1147" s="24" t="s">
        <v>4766</v>
      </c>
      <c r="H1147" s="24" t="s">
        <v>4767</v>
      </c>
      <c r="I1147" s="24" t="s">
        <v>3265</v>
      </c>
      <c r="J1147" s="24" t="s">
        <v>2921</v>
      </c>
      <c r="K1147" s="3">
        <v>26</v>
      </c>
      <c r="L1147" s="3" t="s">
        <v>6892</v>
      </c>
      <c r="M1147" s="3" t="str">
        <f>HYPERLINK("http://ictvonline.org/taxonomyHistory.asp?taxnode_id=20151486","ICTVonline=20151486")</f>
        <v>ICTVonline=20151486</v>
      </c>
    </row>
    <row r="1148" spans="1:13" x14ac:dyDescent="0.15">
      <c r="A1148" s="1" t="s">
        <v>1112</v>
      </c>
      <c r="B1148" s="1" t="s">
        <v>934</v>
      </c>
      <c r="D1148" s="1" t="s">
        <v>10</v>
      </c>
      <c r="E1148" s="1" t="s">
        <v>11</v>
      </c>
      <c r="F1148" s="3">
        <v>1</v>
      </c>
      <c r="G1148" s="24" t="s">
        <v>4768</v>
      </c>
      <c r="H1148" s="24" t="s">
        <v>4769</v>
      </c>
      <c r="I1148" s="24" t="s">
        <v>3265</v>
      </c>
      <c r="J1148" s="24" t="s">
        <v>2921</v>
      </c>
      <c r="K1148" s="3">
        <v>26</v>
      </c>
      <c r="L1148" s="3" t="s">
        <v>6893</v>
      </c>
      <c r="M1148" s="3" t="str">
        <f>HYPERLINK("http://ictvonline.org/taxonomyHistory.asp?taxnode_id=20151488","ICTVonline=20151488")</f>
        <v>ICTVonline=20151488</v>
      </c>
    </row>
    <row r="1149" spans="1:13" x14ac:dyDescent="0.15">
      <c r="A1149" s="1" t="s">
        <v>1211</v>
      </c>
      <c r="B1149" s="1" t="s">
        <v>306</v>
      </c>
      <c r="D1149" s="1" t="s">
        <v>423</v>
      </c>
      <c r="E1149" s="1" t="s">
        <v>424</v>
      </c>
      <c r="F1149" s="3">
        <v>0</v>
      </c>
      <c r="I1149" s="24" t="s">
        <v>3265</v>
      </c>
      <c r="J1149" s="24" t="s">
        <v>2920</v>
      </c>
      <c r="K1149" s="3">
        <v>25</v>
      </c>
      <c r="L1149" s="3" t="s">
        <v>6894</v>
      </c>
      <c r="M1149" s="3" t="str">
        <f>HYPERLINK("http://ictvonline.org/taxonomyHistory.asp?taxnode_id=20151493","ICTVonline=20151493")</f>
        <v>ICTVonline=20151493</v>
      </c>
    </row>
    <row r="1150" spans="1:13" x14ac:dyDescent="0.15">
      <c r="A1150" s="1" t="s">
        <v>1211</v>
      </c>
      <c r="B1150" s="1" t="s">
        <v>306</v>
      </c>
      <c r="D1150" s="1" t="s">
        <v>423</v>
      </c>
      <c r="E1150" s="1" t="s">
        <v>1597</v>
      </c>
      <c r="F1150" s="3">
        <v>0</v>
      </c>
      <c r="G1150" s="24" t="s">
        <v>4770</v>
      </c>
      <c r="H1150" s="24" t="s">
        <v>4771</v>
      </c>
      <c r="I1150" s="24" t="s">
        <v>3265</v>
      </c>
      <c r="J1150" s="24" t="s">
        <v>2920</v>
      </c>
      <c r="K1150" s="3">
        <v>25</v>
      </c>
      <c r="L1150" s="3" t="s">
        <v>6894</v>
      </c>
      <c r="M1150" s="3" t="str">
        <f>HYPERLINK("http://ictvonline.org/taxonomyHistory.asp?taxnode_id=20151494","ICTVonline=20151494")</f>
        <v>ICTVonline=20151494</v>
      </c>
    </row>
    <row r="1151" spans="1:13" x14ac:dyDescent="0.15">
      <c r="A1151" s="1" t="s">
        <v>1211</v>
      </c>
      <c r="B1151" s="1" t="s">
        <v>306</v>
      </c>
      <c r="D1151" s="1" t="s">
        <v>423</v>
      </c>
      <c r="E1151" s="1" t="s">
        <v>1598</v>
      </c>
      <c r="F1151" s="3">
        <v>0</v>
      </c>
      <c r="G1151" s="24" t="s">
        <v>4772</v>
      </c>
      <c r="H1151" s="24" t="s">
        <v>4773</v>
      </c>
      <c r="I1151" s="24" t="s">
        <v>3265</v>
      </c>
      <c r="J1151" s="24" t="s">
        <v>2920</v>
      </c>
      <c r="K1151" s="3">
        <v>25</v>
      </c>
      <c r="L1151" s="3" t="s">
        <v>6894</v>
      </c>
      <c r="M1151" s="3" t="str">
        <f>HYPERLINK("http://ictvonline.org/taxonomyHistory.asp?taxnode_id=20151495","ICTVonline=20151495")</f>
        <v>ICTVonline=20151495</v>
      </c>
    </row>
    <row r="1152" spans="1:13" x14ac:dyDescent="0.15">
      <c r="A1152" s="1" t="s">
        <v>1211</v>
      </c>
      <c r="B1152" s="1" t="s">
        <v>306</v>
      </c>
      <c r="D1152" s="1" t="s">
        <v>423</v>
      </c>
      <c r="E1152" s="1" t="s">
        <v>1599</v>
      </c>
      <c r="F1152" s="3">
        <v>0</v>
      </c>
      <c r="G1152" s="24" t="s">
        <v>4774</v>
      </c>
      <c r="H1152" s="24" t="s">
        <v>4771</v>
      </c>
      <c r="I1152" s="24" t="s">
        <v>3265</v>
      </c>
      <c r="J1152" s="24" t="s">
        <v>2920</v>
      </c>
      <c r="K1152" s="3">
        <v>25</v>
      </c>
      <c r="L1152" s="3" t="s">
        <v>6894</v>
      </c>
      <c r="M1152" s="3" t="str">
        <f>HYPERLINK("http://ictvonline.org/taxonomyHistory.asp?taxnode_id=20151496","ICTVonline=20151496")</f>
        <v>ICTVonline=20151496</v>
      </c>
    </row>
    <row r="1153" spans="1:13" x14ac:dyDescent="0.15">
      <c r="A1153" s="1" t="s">
        <v>1211</v>
      </c>
      <c r="B1153" s="1" t="s">
        <v>306</v>
      </c>
      <c r="D1153" s="1" t="s">
        <v>423</v>
      </c>
      <c r="E1153" s="1" t="s">
        <v>426</v>
      </c>
      <c r="F1153" s="3">
        <v>0</v>
      </c>
      <c r="G1153" s="24" t="s">
        <v>4775</v>
      </c>
      <c r="H1153" s="24" t="s">
        <v>4776</v>
      </c>
      <c r="I1153" s="24" t="s">
        <v>3265</v>
      </c>
      <c r="J1153" s="24" t="s">
        <v>2920</v>
      </c>
      <c r="K1153" s="3">
        <v>25</v>
      </c>
      <c r="L1153" s="3" t="s">
        <v>6894</v>
      </c>
      <c r="M1153" s="3" t="str">
        <f>HYPERLINK("http://ictvonline.org/taxonomyHistory.asp?taxnode_id=20151497","ICTVonline=20151497")</f>
        <v>ICTVonline=20151497</v>
      </c>
    </row>
    <row r="1154" spans="1:13" x14ac:dyDescent="0.15">
      <c r="A1154" s="1" t="s">
        <v>1211</v>
      </c>
      <c r="B1154" s="1" t="s">
        <v>306</v>
      </c>
      <c r="D1154" s="1" t="s">
        <v>423</v>
      </c>
      <c r="E1154" s="1" t="s">
        <v>427</v>
      </c>
      <c r="F1154" s="3">
        <v>0</v>
      </c>
      <c r="G1154" s="24" t="s">
        <v>4777</v>
      </c>
      <c r="H1154" s="24" t="s">
        <v>4778</v>
      </c>
      <c r="I1154" s="24" t="s">
        <v>3265</v>
      </c>
      <c r="J1154" s="24" t="s">
        <v>2920</v>
      </c>
      <c r="K1154" s="3">
        <v>25</v>
      </c>
      <c r="L1154" s="3" t="s">
        <v>6894</v>
      </c>
      <c r="M1154" s="3" t="str">
        <f>HYPERLINK("http://ictvonline.org/taxonomyHistory.asp?taxnode_id=20151498","ICTVonline=20151498")</f>
        <v>ICTVonline=20151498</v>
      </c>
    </row>
    <row r="1155" spans="1:13" x14ac:dyDescent="0.15">
      <c r="A1155" s="1" t="s">
        <v>1211</v>
      </c>
      <c r="B1155" s="1" t="s">
        <v>306</v>
      </c>
      <c r="D1155" s="1" t="s">
        <v>423</v>
      </c>
      <c r="E1155" s="1" t="s">
        <v>428</v>
      </c>
      <c r="F1155" s="3">
        <v>0</v>
      </c>
      <c r="G1155" s="24" t="s">
        <v>4779</v>
      </c>
      <c r="H1155" s="24" t="s">
        <v>4780</v>
      </c>
      <c r="I1155" s="24" t="s">
        <v>3265</v>
      </c>
      <c r="J1155" s="24" t="s">
        <v>2920</v>
      </c>
      <c r="K1155" s="3">
        <v>25</v>
      </c>
      <c r="L1155" s="3" t="s">
        <v>6894</v>
      </c>
      <c r="M1155" s="3" t="str">
        <f>HYPERLINK("http://ictvonline.org/taxonomyHistory.asp?taxnode_id=20151499","ICTVonline=20151499")</f>
        <v>ICTVonline=20151499</v>
      </c>
    </row>
    <row r="1156" spans="1:13" x14ac:dyDescent="0.15">
      <c r="A1156" s="1" t="s">
        <v>1211</v>
      </c>
      <c r="B1156" s="1" t="s">
        <v>306</v>
      </c>
      <c r="D1156" s="1" t="s">
        <v>423</v>
      </c>
      <c r="E1156" s="1" t="s">
        <v>429</v>
      </c>
      <c r="F1156" s="3">
        <v>1</v>
      </c>
      <c r="G1156" s="24" t="s">
        <v>4781</v>
      </c>
      <c r="H1156" s="24" t="s">
        <v>4782</v>
      </c>
      <c r="I1156" s="24" t="s">
        <v>3265</v>
      </c>
      <c r="J1156" s="24" t="s">
        <v>2920</v>
      </c>
      <c r="K1156" s="3">
        <v>25</v>
      </c>
      <c r="L1156" s="3" t="s">
        <v>6894</v>
      </c>
      <c r="M1156" s="3" t="str">
        <f>HYPERLINK("http://ictvonline.org/taxonomyHistory.asp?taxnode_id=20151500","ICTVonline=20151500")</f>
        <v>ICTVonline=20151500</v>
      </c>
    </row>
    <row r="1157" spans="1:13" x14ac:dyDescent="0.15">
      <c r="A1157" s="1" t="s">
        <v>1211</v>
      </c>
      <c r="B1157" s="1" t="s">
        <v>306</v>
      </c>
      <c r="D1157" s="1" t="s">
        <v>733</v>
      </c>
      <c r="E1157" s="1" t="s">
        <v>1210</v>
      </c>
      <c r="F1157" s="3">
        <v>1</v>
      </c>
      <c r="G1157" s="24" t="s">
        <v>4783</v>
      </c>
      <c r="H1157" s="24" t="s">
        <v>4784</v>
      </c>
      <c r="I1157" s="24" t="s">
        <v>3265</v>
      </c>
      <c r="J1157" s="24" t="s">
        <v>2921</v>
      </c>
      <c r="K1157" s="3">
        <v>25</v>
      </c>
      <c r="L1157" s="3" t="s">
        <v>6895</v>
      </c>
      <c r="M1157" s="3" t="str">
        <f>HYPERLINK("http://ictvonline.org/taxonomyHistory.asp?taxnode_id=20151502","ICTVonline=20151502")</f>
        <v>ICTVonline=20151502</v>
      </c>
    </row>
    <row r="1158" spans="1:13" x14ac:dyDescent="0.15">
      <c r="A1158" s="1" t="s">
        <v>1211</v>
      </c>
      <c r="B1158" s="1" t="s">
        <v>306</v>
      </c>
      <c r="D1158" s="1" t="s">
        <v>2263</v>
      </c>
      <c r="E1158" s="1" t="s">
        <v>2264</v>
      </c>
      <c r="F1158" s="3">
        <v>1</v>
      </c>
      <c r="G1158" s="24" t="s">
        <v>4785</v>
      </c>
      <c r="H1158" s="24" t="s">
        <v>4786</v>
      </c>
      <c r="I1158" s="24" t="s">
        <v>3265</v>
      </c>
      <c r="J1158" s="24" t="s">
        <v>2921</v>
      </c>
      <c r="K1158" s="3">
        <v>25</v>
      </c>
      <c r="L1158" s="3" t="s">
        <v>6896</v>
      </c>
      <c r="M1158" s="3" t="str">
        <f>HYPERLINK("http://ictvonline.org/taxonomyHistory.asp?taxnode_id=20151504","ICTVonline=20151504")</f>
        <v>ICTVonline=20151504</v>
      </c>
    </row>
    <row r="1159" spans="1:13" x14ac:dyDescent="0.15">
      <c r="A1159" s="1" t="s">
        <v>1211</v>
      </c>
      <c r="B1159" s="1" t="s">
        <v>306</v>
      </c>
      <c r="D1159" s="1" t="s">
        <v>355</v>
      </c>
      <c r="E1159" s="1" t="s">
        <v>2477</v>
      </c>
      <c r="F1159" s="3">
        <v>0</v>
      </c>
      <c r="G1159" s="24" t="s">
        <v>4787</v>
      </c>
      <c r="H1159" s="24" t="s">
        <v>4788</v>
      </c>
      <c r="I1159" s="24" t="s">
        <v>3265</v>
      </c>
      <c r="J1159" s="24" t="s">
        <v>2919</v>
      </c>
      <c r="K1159" s="3">
        <v>28</v>
      </c>
      <c r="L1159" s="3" t="s">
        <v>6897</v>
      </c>
      <c r="M1159" s="3" t="str">
        <f>HYPERLINK("http://ictvonline.org/taxonomyHistory.asp?taxnode_id=20151506","ICTVonline=20151506")</f>
        <v>ICTVonline=20151506</v>
      </c>
    </row>
    <row r="1160" spans="1:13" x14ac:dyDescent="0.15">
      <c r="A1160" s="1" t="s">
        <v>1211</v>
      </c>
      <c r="B1160" s="1" t="s">
        <v>306</v>
      </c>
      <c r="D1160" s="1" t="s">
        <v>355</v>
      </c>
      <c r="E1160" s="1" t="s">
        <v>1264</v>
      </c>
      <c r="F1160" s="3">
        <v>1</v>
      </c>
      <c r="G1160" s="24" t="s">
        <v>4789</v>
      </c>
      <c r="H1160" s="24" t="s">
        <v>4790</v>
      </c>
      <c r="I1160" s="24" t="s">
        <v>3265</v>
      </c>
      <c r="J1160" s="24" t="s">
        <v>2920</v>
      </c>
      <c r="K1160" s="3">
        <v>25</v>
      </c>
      <c r="L1160" s="3" t="s">
        <v>6894</v>
      </c>
      <c r="M1160" s="3" t="str">
        <f>HYPERLINK("http://ictvonline.org/taxonomyHistory.asp?taxnode_id=20151507","ICTVonline=20151507")</f>
        <v>ICTVonline=20151507</v>
      </c>
    </row>
    <row r="1161" spans="1:13" x14ac:dyDescent="0.15">
      <c r="A1161" s="1" t="s">
        <v>1211</v>
      </c>
      <c r="B1161" s="1" t="s">
        <v>306</v>
      </c>
      <c r="D1161" s="1" t="s">
        <v>4791</v>
      </c>
      <c r="E1161" s="1" t="s">
        <v>4792</v>
      </c>
      <c r="F1161" s="3">
        <v>1</v>
      </c>
      <c r="G1161" s="24" t="s">
        <v>7483</v>
      </c>
      <c r="H1161" s="24" t="s">
        <v>4793</v>
      </c>
      <c r="I1161" s="24" t="s">
        <v>3265</v>
      </c>
      <c r="J1161" s="24" t="s">
        <v>2919</v>
      </c>
      <c r="K1161" s="3">
        <v>30</v>
      </c>
      <c r="L1161" s="3" t="s">
        <v>6898</v>
      </c>
      <c r="M1161" s="3" t="str">
        <f>HYPERLINK("http://ictvonline.org/taxonomyHistory.asp?taxnode_id=20151552","ICTVonline=20151552")</f>
        <v>ICTVonline=20151552</v>
      </c>
    </row>
    <row r="1162" spans="1:13" x14ac:dyDescent="0.15">
      <c r="A1162" s="1" t="s">
        <v>1211</v>
      </c>
      <c r="B1162" s="1" t="s">
        <v>306</v>
      </c>
      <c r="D1162" s="1" t="s">
        <v>1265</v>
      </c>
      <c r="E1162" s="1" t="s">
        <v>2343</v>
      </c>
      <c r="F1162" s="3">
        <v>0</v>
      </c>
      <c r="G1162" s="24" t="s">
        <v>4794</v>
      </c>
      <c r="H1162" s="24" t="s">
        <v>4795</v>
      </c>
      <c r="I1162" s="24" t="s">
        <v>3265</v>
      </c>
      <c r="J1162" s="24" t="s">
        <v>2919</v>
      </c>
      <c r="K1162" s="3">
        <v>27</v>
      </c>
      <c r="L1162" s="3" t="s">
        <v>6899</v>
      </c>
      <c r="M1162" s="3" t="str">
        <f>HYPERLINK("http://ictvonline.org/taxonomyHistory.asp?taxnode_id=20151509","ICTVonline=20151509")</f>
        <v>ICTVonline=20151509</v>
      </c>
    </row>
    <row r="1163" spans="1:13" x14ac:dyDescent="0.15">
      <c r="A1163" s="1" t="s">
        <v>1211</v>
      </c>
      <c r="B1163" s="1" t="s">
        <v>306</v>
      </c>
      <c r="D1163" s="1" t="s">
        <v>1265</v>
      </c>
      <c r="E1163" s="1" t="s">
        <v>233</v>
      </c>
      <c r="F1163" s="3">
        <v>0</v>
      </c>
      <c r="G1163" s="24" t="s">
        <v>4796</v>
      </c>
      <c r="H1163" s="24" t="s">
        <v>4797</v>
      </c>
      <c r="I1163" s="24" t="s">
        <v>3265</v>
      </c>
      <c r="J1163" s="24" t="s">
        <v>2920</v>
      </c>
      <c r="K1163" s="3">
        <v>25</v>
      </c>
      <c r="L1163" s="3" t="s">
        <v>6894</v>
      </c>
      <c r="M1163" s="3" t="str">
        <f>HYPERLINK("http://ictvonline.org/taxonomyHistory.asp?taxnode_id=20151510","ICTVonline=20151510")</f>
        <v>ICTVonline=20151510</v>
      </c>
    </row>
    <row r="1164" spans="1:13" x14ac:dyDescent="0.15">
      <c r="A1164" s="1" t="s">
        <v>1211</v>
      </c>
      <c r="B1164" s="1" t="s">
        <v>306</v>
      </c>
      <c r="D1164" s="1" t="s">
        <v>1265</v>
      </c>
      <c r="E1164" s="1" t="s">
        <v>234</v>
      </c>
      <c r="F1164" s="3">
        <v>0</v>
      </c>
      <c r="G1164" s="24" t="s">
        <v>4798</v>
      </c>
      <c r="H1164" s="24" t="s">
        <v>4799</v>
      </c>
      <c r="I1164" s="24" t="s">
        <v>3265</v>
      </c>
      <c r="J1164" s="24" t="s">
        <v>2920</v>
      </c>
      <c r="K1164" s="3">
        <v>25</v>
      </c>
      <c r="L1164" s="3" t="s">
        <v>6894</v>
      </c>
      <c r="M1164" s="3" t="str">
        <f>HYPERLINK("http://ictvonline.org/taxonomyHistory.asp?taxnode_id=20151511","ICTVonline=20151511")</f>
        <v>ICTVonline=20151511</v>
      </c>
    </row>
    <row r="1165" spans="1:13" x14ac:dyDescent="0.15">
      <c r="A1165" s="1" t="s">
        <v>1211</v>
      </c>
      <c r="B1165" s="1" t="s">
        <v>306</v>
      </c>
      <c r="D1165" s="1" t="s">
        <v>1265</v>
      </c>
      <c r="E1165" s="1" t="s">
        <v>235</v>
      </c>
      <c r="F1165" s="3">
        <v>0</v>
      </c>
      <c r="G1165" s="24" t="s">
        <v>4800</v>
      </c>
      <c r="H1165" s="24" t="s">
        <v>4801</v>
      </c>
      <c r="I1165" s="24" t="s">
        <v>3265</v>
      </c>
      <c r="J1165" s="24" t="s">
        <v>2920</v>
      </c>
      <c r="K1165" s="3">
        <v>25</v>
      </c>
      <c r="L1165" s="3" t="s">
        <v>6894</v>
      </c>
      <c r="M1165" s="3" t="str">
        <f>HYPERLINK("http://ictvonline.org/taxonomyHistory.asp?taxnode_id=20151512","ICTVonline=20151512")</f>
        <v>ICTVonline=20151512</v>
      </c>
    </row>
    <row r="1166" spans="1:13" x14ac:dyDescent="0.15">
      <c r="A1166" s="1" t="s">
        <v>1211</v>
      </c>
      <c r="B1166" s="1" t="s">
        <v>306</v>
      </c>
      <c r="D1166" s="1" t="s">
        <v>1265</v>
      </c>
      <c r="E1166" s="1" t="s">
        <v>236</v>
      </c>
      <c r="F1166" s="3">
        <v>0</v>
      </c>
      <c r="G1166" s="24" t="s">
        <v>4802</v>
      </c>
      <c r="H1166" s="24" t="s">
        <v>4803</v>
      </c>
      <c r="I1166" s="24" t="s">
        <v>3265</v>
      </c>
      <c r="J1166" s="24" t="s">
        <v>2920</v>
      </c>
      <c r="K1166" s="3">
        <v>25</v>
      </c>
      <c r="L1166" s="3" t="s">
        <v>6894</v>
      </c>
      <c r="M1166" s="3" t="str">
        <f>HYPERLINK("http://ictvonline.org/taxonomyHistory.asp?taxnode_id=20151513","ICTVonline=20151513")</f>
        <v>ICTVonline=20151513</v>
      </c>
    </row>
    <row r="1167" spans="1:13" x14ac:dyDescent="0.15">
      <c r="A1167" s="1" t="s">
        <v>1211</v>
      </c>
      <c r="B1167" s="1" t="s">
        <v>306</v>
      </c>
      <c r="D1167" s="1" t="s">
        <v>1265</v>
      </c>
      <c r="E1167" s="1" t="s">
        <v>237</v>
      </c>
      <c r="F1167" s="3">
        <v>0</v>
      </c>
      <c r="G1167" s="24" t="s">
        <v>4804</v>
      </c>
      <c r="H1167" s="24" t="s">
        <v>4805</v>
      </c>
      <c r="I1167" s="24" t="s">
        <v>3265</v>
      </c>
      <c r="J1167" s="24" t="s">
        <v>2920</v>
      </c>
      <c r="K1167" s="3">
        <v>25</v>
      </c>
      <c r="L1167" s="3" t="s">
        <v>6894</v>
      </c>
      <c r="M1167" s="3" t="str">
        <f>HYPERLINK("http://ictvonline.org/taxonomyHistory.asp?taxnode_id=20151514","ICTVonline=20151514")</f>
        <v>ICTVonline=20151514</v>
      </c>
    </row>
    <row r="1168" spans="1:13" x14ac:dyDescent="0.15">
      <c r="A1168" s="1" t="s">
        <v>1211</v>
      </c>
      <c r="B1168" s="1" t="s">
        <v>306</v>
      </c>
      <c r="D1168" s="1" t="s">
        <v>1265</v>
      </c>
      <c r="E1168" s="1" t="s">
        <v>238</v>
      </c>
      <c r="F1168" s="3">
        <v>0</v>
      </c>
      <c r="G1168" s="24" t="s">
        <v>4806</v>
      </c>
      <c r="H1168" s="24" t="s">
        <v>4807</v>
      </c>
      <c r="I1168" s="24" t="s">
        <v>3265</v>
      </c>
      <c r="J1168" s="24" t="s">
        <v>2920</v>
      </c>
      <c r="K1168" s="3">
        <v>25</v>
      </c>
      <c r="L1168" s="3" t="s">
        <v>6894</v>
      </c>
      <c r="M1168" s="3" t="str">
        <f>HYPERLINK("http://ictvonline.org/taxonomyHistory.asp?taxnode_id=20151515","ICTVonline=20151515")</f>
        <v>ICTVonline=20151515</v>
      </c>
    </row>
    <row r="1169" spans="1:13" x14ac:dyDescent="0.15">
      <c r="A1169" s="1" t="s">
        <v>1211</v>
      </c>
      <c r="B1169" s="1" t="s">
        <v>306</v>
      </c>
      <c r="D1169" s="1" t="s">
        <v>1265</v>
      </c>
      <c r="E1169" s="1" t="s">
        <v>239</v>
      </c>
      <c r="F1169" s="3">
        <v>0</v>
      </c>
      <c r="I1169" s="24" t="s">
        <v>3265</v>
      </c>
      <c r="J1169" s="24" t="s">
        <v>2920</v>
      </c>
      <c r="K1169" s="3">
        <v>25</v>
      </c>
      <c r="L1169" s="3" t="s">
        <v>6894</v>
      </c>
      <c r="M1169" s="3" t="str">
        <f>HYPERLINK("http://ictvonline.org/taxonomyHistory.asp?taxnode_id=20151516","ICTVonline=20151516")</f>
        <v>ICTVonline=20151516</v>
      </c>
    </row>
    <row r="1170" spans="1:13" x14ac:dyDescent="0.15">
      <c r="A1170" s="1" t="s">
        <v>1211</v>
      </c>
      <c r="B1170" s="1" t="s">
        <v>306</v>
      </c>
      <c r="D1170" s="1" t="s">
        <v>1265</v>
      </c>
      <c r="E1170" s="1" t="s">
        <v>240</v>
      </c>
      <c r="F1170" s="3">
        <v>0</v>
      </c>
      <c r="G1170" s="24" t="s">
        <v>4808</v>
      </c>
      <c r="H1170" s="24" t="s">
        <v>4809</v>
      </c>
      <c r="I1170" s="24" t="s">
        <v>3265</v>
      </c>
      <c r="J1170" s="24" t="s">
        <v>2920</v>
      </c>
      <c r="K1170" s="3">
        <v>25</v>
      </c>
      <c r="L1170" s="3" t="s">
        <v>6894</v>
      </c>
      <c r="M1170" s="3" t="str">
        <f>HYPERLINK("http://ictvonline.org/taxonomyHistory.asp?taxnode_id=20151517","ICTVonline=20151517")</f>
        <v>ICTVonline=20151517</v>
      </c>
    </row>
    <row r="1171" spans="1:13" x14ac:dyDescent="0.15">
      <c r="A1171" s="1" t="s">
        <v>1211</v>
      </c>
      <c r="B1171" s="1" t="s">
        <v>306</v>
      </c>
      <c r="D1171" s="1" t="s">
        <v>1265</v>
      </c>
      <c r="E1171" s="1" t="s">
        <v>241</v>
      </c>
      <c r="F1171" s="3">
        <v>0</v>
      </c>
      <c r="G1171" s="24" t="s">
        <v>4810</v>
      </c>
      <c r="H1171" s="24" t="s">
        <v>4811</v>
      </c>
      <c r="I1171" s="24" t="s">
        <v>3265</v>
      </c>
      <c r="J1171" s="24" t="s">
        <v>2920</v>
      </c>
      <c r="K1171" s="3">
        <v>25</v>
      </c>
      <c r="L1171" s="3" t="s">
        <v>6894</v>
      </c>
      <c r="M1171" s="3" t="str">
        <f>HYPERLINK("http://ictvonline.org/taxonomyHistory.asp?taxnode_id=20151519","ICTVonline=20151519")</f>
        <v>ICTVonline=20151519</v>
      </c>
    </row>
    <row r="1172" spans="1:13" x14ac:dyDescent="0.15">
      <c r="A1172" s="1" t="s">
        <v>1211</v>
      </c>
      <c r="B1172" s="1" t="s">
        <v>306</v>
      </c>
      <c r="D1172" s="1" t="s">
        <v>1265</v>
      </c>
      <c r="E1172" s="1" t="s">
        <v>242</v>
      </c>
      <c r="F1172" s="3">
        <v>0</v>
      </c>
      <c r="G1172" s="24" t="s">
        <v>4812</v>
      </c>
      <c r="H1172" s="24" t="s">
        <v>4813</v>
      </c>
      <c r="I1172" s="24" t="s">
        <v>3265</v>
      </c>
      <c r="J1172" s="24" t="s">
        <v>2920</v>
      </c>
      <c r="K1172" s="3">
        <v>25</v>
      </c>
      <c r="L1172" s="3" t="s">
        <v>6894</v>
      </c>
      <c r="M1172" s="3" t="str">
        <f>HYPERLINK("http://ictvonline.org/taxonomyHistory.asp?taxnode_id=20151521","ICTVonline=20151521")</f>
        <v>ICTVonline=20151521</v>
      </c>
    </row>
    <row r="1173" spans="1:13" x14ac:dyDescent="0.15">
      <c r="A1173" s="1" t="s">
        <v>1211</v>
      </c>
      <c r="B1173" s="1" t="s">
        <v>306</v>
      </c>
      <c r="D1173" s="1" t="s">
        <v>1265</v>
      </c>
      <c r="E1173" s="1" t="s">
        <v>1540</v>
      </c>
      <c r="F1173" s="3">
        <v>0</v>
      </c>
      <c r="G1173" s="24" t="s">
        <v>4814</v>
      </c>
      <c r="H1173" s="24" t="s">
        <v>4815</v>
      </c>
      <c r="I1173" s="24" t="s">
        <v>3265</v>
      </c>
      <c r="J1173" s="24" t="s">
        <v>2920</v>
      </c>
      <c r="K1173" s="3">
        <v>25</v>
      </c>
      <c r="L1173" s="3" t="s">
        <v>6894</v>
      </c>
      <c r="M1173" s="3" t="str">
        <f>HYPERLINK("http://ictvonline.org/taxonomyHistory.asp?taxnode_id=20151522","ICTVonline=20151522")</f>
        <v>ICTVonline=20151522</v>
      </c>
    </row>
    <row r="1174" spans="1:13" x14ac:dyDescent="0.15">
      <c r="A1174" s="1" t="s">
        <v>1211</v>
      </c>
      <c r="B1174" s="1" t="s">
        <v>306</v>
      </c>
      <c r="D1174" s="1" t="s">
        <v>1265</v>
      </c>
      <c r="E1174" s="1" t="s">
        <v>1541</v>
      </c>
      <c r="F1174" s="3">
        <v>0</v>
      </c>
      <c r="G1174" s="24" t="s">
        <v>4816</v>
      </c>
      <c r="H1174" s="24" t="s">
        <v>4817</v>
      </c>
      <c r="I1174" s="24" t="s">
        <v>3265</v>
      </c>
      <c r="J1174" s="24" t="s">
        <v>2920</v>
      </c>
      <c r="K1174" s="3">
        <v>25</v>
      </c>
      <c r="L1174" s="3" t="s">
        <v>6894</v>
      </c>
      <c r="M1174" s="3" t="str">
        <f>HYPERLINK("http://ictvonline.org/taxonomyHistory.asp?taxnode_id=20151523","ICTVonline=20151523")</f>
        <v>ICTVonline=20151523</v>
      </c>
    </row>
    <row r="1175" spans="1:13" x14ac:dyDescent="0.15">
      <c r="A1175" s="1" t="s">
        <v>1211</v>
      </c>
      <c r="B1175" s="1" t="s">
        <v>306</v>
      </c>
      <c r="D1175" s="1" t="s">
        <v>1265</v>
      </c>
      <c r="E1175" s="1" t="s">
        <v>2344</v>
      </c>
      <c r="F1175" s="3">
        <v>0</v>
      </c>
      <c r="I1175" s="24" t="s">
        <v>3265</v>
      </c>
      <c r="J1175" s="24" t="s">
        <v>2919</v>
      </c>
      <c r="K1175" s="3">
        <v>27</v>
      </c>
      <c r="L1175" s="3" t="s">
        <v>6899</v>
      </c>
      <c r="M1175" s="3" t="str">
        <f>HYPERLINK("http://ictvonline.org/taxonomyHistory.asp?taxnode_id=20151524","ICTVonline=20151524")</f>
        <v>ICTVonline=20151524</v>
      </c>
    </row>
    <row r="1176" spans="1:13" x14ac:dyDescent="0.15">
      <c r="A1176" s="1" t="s">
        <v>1211</v>
      </c>
      <c r="B1176" s="1" t="s">
        <v>306</v>
      </c>
      <c r="D1176" s="1" t="s">
        <v>1265</v>
      </c>
      <c r="E1176" s="1" t="s">
        <v>2157</v>
      </c>
      <c r="F1176" s="3">
        <v>0</v>
      </c>
      <c r="G1176" s="24" t="s">
        <v>4818</v>
      </c>
      <c r="H1176" s="24" t="s">
        <v>4819</v>
      </c>
      <c r="I1176" s="24" t="s">
        <v>3265</v>
      </c>
      <c r="J1176" s="24" t="s">
        <v>2919</v>
      </c>
      <c r="K1176" s="3">
        <v>25</v>
      </c>
      <c r="L1176" s="3" t="s">
        <v>6900</v>
      </c>
      <c r="M1176" s="3" t="str">
        <f>HYPERLINK("http://ictvonline.org/taxonomyHistory.asp?taxnode_id=20151525","ICTVonline=20151525")</f>
        <v>ICTVonline=20151525</v>
      </c>
    </row>
    <row r="1177" spans="1:13" x14ac:dyDescent="0.15">
      <c r="A1177" s="1" t="s">
        <v>1211</v>
      </c>
      <c r="B1177" s="1" t="s">
        <v>306</v>
      </c>
      <c r="D1177" s="1" t="s">
        <v>1265</v>
      </c>
      <c r="E1177" s="1" t="s">
        <v>469</v>
      </c>
      <c r="F1177" s="3">
        <v>0</v>
      </c>
      <c r="G1177" s="24" t="s">
        <v>4820</v>
      </c>
      <c r="H1177" s="24" t="s">
        <v>4795</v>
      </c>
      <c r="I1177" s="24" t="s">
        <v>3265</v>
      </c>
      <c r="J1177" s="24" t="s">
        <v>2920</v>
      </c>
      <c r="K1177" s="3">
        <v>25</v>
      </c>
      <c r="L1177" s="3" t="s">
        <v>6894</v>
      </c>
      <c r="M1177" s="3" t="str">
        <f>HYPERLINK("http://ictvonline.org/taxonomyHistory.asp?taxnode_id=20151526","ICTVonline=20151526")</f>
        <v>ICTVonline=20151526</v>
      </c>
    </row>
    <row r="1178" spans="1:13" x14ac:dyDescent="0.15">
      <c r="A1178" s="1" t="s">
        <v>1211</v>
      </c>
      <c r="B1178" s="1" t="s">
        <v>306</v>
      </c>
      <c r="D1178" s="1" t="s">
        <v>1265</v>
      </c>
      <c r="E1178" s="1" t="s">
        <v>2260</v>
      </c>
      <c r="F1178" s="3">
        <v>0</v>
      </c>
      <c r="G1178" s="24" t="s">
        <v>4821</v>
      </c>
      <c r="H1178" s="24" t="s">
        <v>4822</v>
      </c>
      <c r="I1178" s="24" t="s">
        <v>3265</v>
      </c>
      <c r="J1178" s="24" t="s">
        <v>2919</v>
      </c>
      <c r="K1178" s="3">
        <v>25</v>
      </c>
      <c r="L1178" s="3" t="s">
        <v>6901</v>
      </c>
      <c r="M1178" s="3" t="str">
        <f>HYPERLINK("http://ictvonline.org/taxonomyHistory.asp?taxnode_id=20151527","ICTVonline=20151527")</f>
        <v>ICTVonline=20151527</v>
      </c>
    </row>
    <row r="1179" spans="1:13" x14ac:dyDescent="0.15">
      <c r="A1179" s="1" t="s">
        <v>1211</v>
      </c>
      <c r="B1179" s="1" t="s">
        <v>306</v>
      </c>
      <c r="D1179" s="1" t="s">
        <v>1265</v>
      </c>
      <c r="E1179" s="1" t="s">
        <v>470</v>
      </c>
      <c r="F1179" s="3">
        <v>0</v>
      </c>
      <c r="G1179" s="24" t="s">
        <v>4823</v>
      </c>
      <c r="H1179" s="24" t="s">
        <v>4824</v>
      </c>
      <c r="I1179" s="24" t="s">
        <v>3265</v>
      </c>
      <c r="J1179" s="24" t="s">
        <v>2920</v>
      </c>
      <c r="K1179" s="3">
        <v>25</v>
      </c>
      <c r="L1179" s="3" t="s">
        <v>6894</v>
      </c>
      <c r="M1179" s="3" t="str">
        <f>HYPERLINK("http://ictvonline.org/taxonomyHistory.asp?taxnode_id=20151528","ICTVonline=20151528")</f>
        <v>ICTVonline=20151528</v>
      </c>
    </row>
    <row r="1180" spans="1:13" x14ac:dyDescent="0.15">
      <c r="A1180" s="1" t="s">
        <v>1211</v>
      </c>
      <c r="B1180" s="1" t="s">
        <v>306</v>
      </c>
      <c r="D1180" s="1" t="s">
        <v>1265</v>
      </c>
      <c r="E1180" s="1" t="s">
        <v>471</v>
      </c>
      <c r="F1180" s="3">
        <v>0</v>
      </c>
      <c r="G1180" s="24" t="s">
        <v>4825</v>
      </c>
      <c r="H1180" s="24" t="s">
        <v>4826</v>
      </c>
      <c r="I1180" s="24" t="s">
        <v>3265</v>
      </c>
      <c r="J1180" s="24" t="s">
        <v>2920</v>
      </c>
      <c r="K1180" s="3">
        <v>25</v>
      </c>
      <c r="L1180" s="3" t="s">
        <v>6894</v>
      </c>
      <c r="M1180" s="3" t="str">
        <f>HYPERLINK("http://ictvonline.org/taxonomyHistory.asp?taxnode_id=20151529","ICTVonline=20151529")</f>
        <v>ICTVonline=20151529</v>
      </c>
    </row>
    <row r="1181" spans="1:13" x14ac:dyDescent="0.15">
      <c r="A1181" s="1" t="s">
        <v>1211</v>
      </c>
      <c r="B1181" s="1" t="s">
        <v>306</v>
      </c>
      <c r="D1181" s="1" t="s">
        <v>1265</v>
      </c>
      <c r="E1181" s="1" t="s">
        <v>472</v>
      </c>
      <c r="F1181" s="3">
        <v>0</v>
      </c>
      <c r="G1181" s="24" t="s">
        <v>4827</v>
      </c>
      <c r="H1181" s="24" t="s">
        <v>4828</v>
      </c>
      <c r="I1181" s="24" t="s">
        <v>3265</v>
      </c>
      <c r="J1181" s="24" t="s">
        <v>2920</v>
      </c>
      <c r="K1181" s="3">
        <v>25</v>
      </c>
      <c r="L1181" s="3" t="s">
        <v>6894</v>
      </c>
      <c r="M1181" s="3" t="str">
        <f>HYPERLINK("http://ictvonline.org/taxonomyHistory.asp?taxnode_id=20151530","ICTVonline=20151530")</f>
        <v>ICTVonline=20151530</v>
      </c>
    </row>
    <row r="1182" spans="1:13" x14ac:dyDescent="0.15">
      <c r="A1182" s="1" t="s">
        <v>1211</v>
      </c>
      <c r="B1182" s="1" t="s">
        <v>306</v>
      </c>
      <c r="D1182" s="1" t="s">
        <v>1265</v>
      </c>
      <c r="E1182" s="1" t="s">
        <v>473</v>
      </c>
      <c r="F1182" s="3">
        <v>0</v>
      </c>
      <c r="G1182" s="24" t="s">
        <v>4829</v>
      </c>
      <c r="H1182" s="24" t="s">
        <v>4830</v>
      </c>
      <c r="I1182" s="24" t="s">
        <v>3265</v>
      </c>
      <c r="J1182" s="24" t="s">
        <v>2920</v>
      </c>
      <c r="K1182" s="3">
        <v>25</v>
      </c>
      <c r="L1182" s="3" t="s">
        <v>6894</v>
      </c>
      <c r="M1182" s="3" t="str">
        <f>HYPERLINK("http://ictvonline.org/taxonomyHistory.asp?taxnode_id=20151531","ICTVonline=20151531")</f>
        <v>ICTVonline=20151531</v>
      </c>
    </row>
    <row r="1183" spans="1:13" x14ac:dyDescent="0.15">
      <c r="A1183" s="1" t="s">
        <v>1211</v>
      </c>
      <c r="B1183" s="1" t="s">
        <v>306</v>
      </c>
      <c r="D1183" s="1" t="s">
        <v>1265</v>
      </c>
      <c r="E1183" s="1" t="s">
        <v>474</v>
      </c>
      <c r="F1183" s="3">
        <v>0</v>
      </c>
      <c r="G1183" s="24" t="s">
        <v>4831</v>
      </c>
      <c r="H1183" s="24" t="s">
        <v>4809</v>
      </c>
      <c r="I1183" s="24" t="s">
        <v>3265</v>
      </c>
      <c r="J1183" s="24" t="s">
        <v>2920</v>
      </c>
      <c r="K1183" s="3">
        <v>25</v>
      </c>
      <c r="L1183" s="3" t="s">
        <v>6894</v>
      </c>
      <c r="M1183" s="3" t="str">
        <f>HYPERLINK("http://ictvonline.org/taxonomyHistory.asp?taxnode_id=20151532","ICTVonline=20151532")</f>
        <v>ICTVonline=20151532</v>
      </c>
    </row>
    <row r="1184" spans="1:13" x14ac:dyDescent="0.15">
      <c r="A1184" s="1" t="s">
        <v>1211</v>
      </c>
      <c r="B1184" s="1" t="s">
        <v>306</v>
      </c>
      <c r="D1184" s="1" t="s">
        <v>1265</v>
      </c>
      <c r="E1184" s="1" t="s">
        <v>1533</v>
      </c>
      <c r="F1184" s="3">
        <v>0</v>
      </c>
      <c r="G1184" s="24" t="s">
        <v>4832</v>
      </c>
      <c r="H1184" s="24" t="s">
        <v>4833</v>
      </c>
      <c r="I1184" s="24" t="s">
        <v>3265</v>
      </c>
      <c r="J1184" s="24" t="s">
        <v>2920</v>
      </c>
      <c r="K1184" s="3">
        <v>25</v>
      </c>
      <c r="L1184" s="3" t="s">
        <v>6894</v>
      </c>
      <c r="M1184" s="3" t="str">
        <f>HYPERLINK("http://ictvonline.org/taxonomyHistory.asp?taxnode_id=20151533","ICTVonline=20151533")</f>
        <v>ICTVonline=20151533</v>
      </c>
    </row>
    <row r="1185" spans="1:13" x14ac:dyDescent="0.15">
      <c r="A1185" s="1" t="s">
        <v>1211</v>
      </c>
      <c r="B1185" s="1" t="s">
        <v>306</v>
      </c>
      <c r="D1185" s="1" t="s">
        <v>1265</v>
      </c>
      <c r="E1185" s="1" t="s">
        <v>2261</v>
      </c>
      <c r="F1185" s="3">
        <v>0</v>
      </c>
      <c r="G1185" s="24" t="s">
        <v>4834</v>
      </c>
      <c r="H1185" s="24" t="s">
        <v>4797</v>
      </c>
      <c r="I1185" s="24" t="s">
        <v>3265</v>
      </c>
      <c r="J1185" s="24" t="s">
        <v>2919</v>
      </c>
      <c r="K1185" s="3">
        <v>25</v>
      </c>
      <c r="L1185" s="3" t="s">
        <v>6901</v>
      </c>
      <c r="M1185" s="3" t="str">
        <f>HYPERLINK("http://ictvonline.org/taxonomyHistory.asp?taxnode_id=20151534","ICTVonline=20151534")</f>
        <v>ICTVonline=20151534</v>
      </c>
    </row>
    <row r="1186" spans="1:13" x14ac:dyDescent="0.15">
      <c r="A1186" s="1" t="s">
        <v>1211</v>
      </c>
      <c r="B1186" s="1" t="s">
        <v>306</v>
      </c>
      <c r="D1186" s="1" t="s">
        <v>1265</v>
      </c>
      <c r="E1186" s="1" t="s">
        <v>1534</v>
      </c>
      <c r="F1186" s="3">
        <v>0</v>
      </c>
      <c r="G1186" s="24" t="s">
        <v>4835</v>
      </c>
      <c r="H1186" s="24" t="s">
        <v>4836</v>
      </c>
      <c r="I1186" s="24" t="s">
        <v>3265</v>
      </c>
      <c r="J1186" s="24" t="s">
        <v>2920</v>
      </c>
      <c r="K1186" s="3">
        <v>25</v>
      </c>
      <c r="L1186" s="3" t="s">
        <v>6894</v>
      </c>
      <c r="M1186" s="3" t="str">
        <f>HYPERLINK("http://ictvonline.org/taxonomyHistory.asp?taxnode_id=20151535","ICTVonline=20151535")</f>
        <v>ICTVonline=20151535</v>
      </c>
    </row>
    <row r="1187" spans="1:13" x14ac:dyDescent="0.15">
      <c r="A1187" s="1" t="s">
        <v>1211</v>
      </c>
      <c r="B1187" s="1" t="s">
        <v>306</v>
      </c>
      <c r="D1187" s="1" t="s">
        <v>1265</v>
      </c>
      <c r="E1187" s="1" t="s">
        <v>1535</v>
      </c>
      <c r="F1187" s="3">
        <v>0</v>
      </c>
      <c r="I1187" s="24" t="s">
        <v>3265</v>
      </c>
      <c r="J1187" s="24" t="s">
        <v>2920</v>
      </c>
      <c r="K1187" s="3">
        <v>25</v>
      </c>
      <c r="L1187" s="3" t="s">
        <v>6894</v>
      </c>
      <c r="M1187" s="3" t="str">
        <f>HYPERLINK("http://ictvonline.org/taxonomyHistory.asp?taxnode_id=20151537","ICTVonline=20151537")</f>
        <v>ICTVonline=20151537</v>
      </c>
    </row>
    <row r="1188" spans="1:13" x14ac:dyDescent="0.15">
      <c r="A1188" s="1" t="s">
        <v>1211</v>
      </c>
      <c r="B1188" s="1" t="s">
        <v>306</v>
      </c>
      <c r="D1188" s="1" t="s">
        <v>1265</v>
      </c>
      <c r="E1188" s="1" t="s">
        <v>1536</v>
      </c>
      <c r="F1188" s="3">
        <v>0</v>
      </c>
      <c r="G1188" s="24" t="s">
        <v>4837</v>
      </c>
      <c r="H1188" s="24" t="s">
        <v>4838</v>
      </c>
      <c r="I1188" s="24" t="s">
        <v>3265</v>
      </c>
      <c r="J1188" s="24" t="s">
        <v>2920</v>
      </c>
      <c r="K1188" s="3">
        <v>25</v>
      </c>
      <c r="L1188" s="3" t="s">
        <v>6894</v>
      </c>
      <c r="M1188" s="3" t="str">
        <f>HYPERLINK("http://ictvonline.org/taxonomyHistory.asp?taxnode_id=20151538","ICTVonline=20151538")</f>
        <v>ICTVonline=20151538</v>
      </c>
    </row>
    <row r="1189" spans="1:13" x14ac:dyDescent="0.15">
      <c r="A1189" s="1" t="s">
        <v>1211</v>
      </c>
      <c r="B1189" s="1" t="s">
        <v>306</v>
      </c>
      <c r="D1189" s="1" t="s">
        <v>1265</v>
      </c>
      <c r="E1189" s="1" t="s">
        <v>1537</v>
      </c>
      <c r="F1189" s="3">
        <v>1</v>
      </c>
      <c r="G1189" s="24" t="s">
        <v>4839</v>
      </c>
      <c r="H1189" s="24" t="s">
        <v>4840</v>
      </c>
      <c r="I1189" s="24" t="s">
        <v>3265</v>
      </c>
      <c r="J1189" s="24" t="s">
        <v>2920</v>
      </c>
      <c r="K1189" s="3">
        <v>25</v>
      </c>
      <c r="L1189" s="3" t="s">
        <v>6894</v>
      </c>
      <c r="M1189" s="3" t="str">
        <f>HYPERLINK("http://ictvonline.org/taxonomyHistory.asp?taxnode_id=20151539","ICTVonline=20151539")</f>
        <v>ICTVonline=20151539</v>
      </c>
    </row>
    <row r="1190" spans="1:13" x14ac:dyDescent="0.15">
      <c r="A1190" s="1" t="s">
        <v>1211</v>
      </c>
      <c r="B1190" s="1" t="s">
        <v>306</v>
      </c>
      <c r="D1190" s="1" t="s">
        <v>1265</v>
      </c>
      <c r="E1190" s="1" t="s">
        <v>1538</v>
      </c>
      <c r="F1190" s="3">
        <v>0</v>
      </c>
      <c r="G1190" s="24" t="s">
        <v>4841</v>
      </c>
      <c r="H1190" s="24" t="s">
        <v>4842</v>
      </c>
      <c r="I1190" s="24" t="s">
        <v>3265</v>
      </c>
      <c r="J1190" s="24" t="s">
        <v>2920</v>
      </c>
      <c r="K1190" s="3">
        <v>25</v>
      </c>
      <c r="L1190" s="3" t="s">
        <v>6894</v>
      </c>
      <c r="M1190" s="3" t="str">
        <f>HYPERLINK("http://ictvonline.org/taxonomyHistory.asp?taxnode_id=20151540","ICTVonline=20151540")</f>
        <v>ICTVonline=20151540</v>
      </c>
    </row>
    <row r="1191" spans="1:13" x14ac:dyDescent="0.15">
      <c r="A1191" s="1" t="s">
        <v>1211</v>
      </c>
      <c r="B1191" s="1" t="s">
        <v>306</v>
      </c>
      <c r="D1191" s="1" t="s">
        <v>1265</v>
      </c>
      <c r="E1191" s="1" t="s">
        <v>1545</v>
      </c>
      <c r="F1191" s="3">
        <v>0</v>
      </c>
      <c r="G1191" s="24" t="s">
        <v>4843</v>
      </c>
      <c r="H1191" s="24" t="s">
        <v>4844</v>
      </c>
      <c r="I1191" s="24" t="s">
        <v>3265</v>
      </c>
      <c r="J1191" s="24" t="s">
        <v>2920</v>
      </c>
      <c r="K1191" s="3">
        <v>25</v>
      </c>
      <c r="L1191" s="3" t="s">
        <v>6894</v>
      </c>
      <c r="M1191" s="3" t="str">
        <f>HYPERLINK("http://ictvonline.org/taxonomyHistory.asp?taxnode_id=20151541","ICTVonline=20151541")</f>
        <v>ICTVonline=20151541</v>
      </c>
    </row>
    <row r="1192" spans="1:13" x14ac:dyDescent="0.15">
      <c r="A1192" s="1" t="s">
        <v>1211</v>
      </c>
      <c r="B1192" s="1" t="s">
        <v>306</v>
      </c>
      <c r="D1192" s="1" t="s">
        <v>1265</v>
      </c>
      <c r="E1192" s="1" t="s">
        <v>1546</v>
      </c>
      <c r="F1192" s="3">
        <v>0</v>
      </c>
      <c r="G1192" s="24" t="s">
        <v>4845</v>
      </c>
      <c r="H1192" s="24" t="s">
        <v>4846</v>
      </c>
      <c r="I1192" s="24" t="s">
        <v>3265</v>
      </c>
      <c r="J1192" s="24" t="s">
        <v>2920</v>
      </c>
      <c r="K1192" s="3">
        <v>25</v>
      </c>
      <c r="L1192" s="3" t="s">
        <v>6894</v>
      </c>
      <c r="M1192" s="3" t="str">
        <f>HYPERLINK("http://ictvonline.org/taxonomyHistory.asp?taxnode_id=20151542","ICTVonline=20151542")</f>
        <v>ICTVonline=20151542</v>
      </c>
    </row>
    <row r="1193" spans="1:13" x14ac:dyDescent="0.15">
      <c r="A1193" s="1" t="s">
        <v>1211</v>
      </c>
      <c r="B1193" s="1" t="s">
        <v>306</v>
      </c>
      <c r="D1193" s="1" t="s">
        <v>1265</v>
      </c>
      <c r="E1193" s="1" t="s">
        <v>1542</v>
      </c>
      <c r="F1193" s="3">
        <v>0</v>
      </c>
      <c r="G1193" s="24" t="s">
        <v>4847</v>
      </c>
      <c r="H1193" s="24" t="s">
        <v>4828</v>
      </c>
      <c r="I1193" s="24" t="s">
        <v>3265</v>
      </c>
      <c r="J1193" s="24" t="s">
        <v>2920</v>
      </c>
      <c r="K1193" s="3">
        <v>25</v>
      </c>
      <c r="L1193" s="3" t="s">
        <v>6894</v>
      </c>
      <c r="M1193" s="3" t="str">
        <f>HYPERLINK("http://ictvonline.org/taxonomyHistory.asp?taxnode_id=20151543","ICTVonline=20151543")</f>
        <v>ICTVonline=20151543</v>
      </c>
    </row>
    <row r="1194" spans="1:13" x14ac:dyDescent="0.15">
      <c r="A1194" s="1" t="s">
        <v>1211</v>
      </c>
      <c r="B1194" s="1" t="s">
        <v>306</v>
      </c>
      <c r="D1194" s="1" t="s">
        <v>1265</v>
      </c>
      <c r="E1194" s="1" t="s">
        <v>1543</v>
      </c>
      <c r="F1194" s="3">
        <v>0</v>
      </c>
      <c r="G1194" s="24" t="s">
        <v>4848</v>
      </c>
      <c r="H1194" s="24" t="s">
        <v>4849</v>
      </c>
      <c r="I1194" s="24" t="s">
        <v>3265</v>
      </c>
      <c r="J1194" s="24" t="s">
        <v>2920</v>
      </c>
      <c r="K1194" s="3">
        <v>25</v>
      </c>
      <c r="L1194" s="3" t="s">
        <v>6894</v>
      </c>
      <c r="M1194" s="3" t="str">
        <f>HYPERLINK("http://ictvonline.org/taxonomyHistory.asp?taxnode_id=20151544","ICTVonline=20151544")</f>
        <v>ICTVonline=20151544</v>
      </c>
    </row>
    <row r="1195" spans="1:13" x14ac:dyDescent="0.15">
      <c r="A1195" s="1" t="s">
        <v>1211</v>
      </c>
      <c r="B1195" s="1" t="s">
        <v>306</v>
      </c>
      <c r="D1195" s="1" t="s">
        <v>1265</v>
      </c>
      <c r="E1195" s="1" t="s">
        <v>4850</v>
      </c>
      <c r="F1195" s="3">
        <v>0</v>
      </c>
      <c r="G1195" s="24" t="s">
        <v>7484</v>
      </c>
      <c r="H1195" s="24" t="s">
        <v>4851</v>
      </c>
      <c r="I1195" s="24" t="s">
        <v>3265</v>
      </c>
      <c r="J1195" s="24" t="s">
        <v>2919</v>
      </c>
      <c r="K1195" s="3">
        <v>30</v>
      </c>
      <c r="L1195" s="3" t="s">
        <v>6902</v>
      </c>
      <c r="M1195" s="3" t="str">
        <f>HYPERLINK("http://ictvonline.org/taxonomyHistory.asp?taxnode_id=20151546","ICTVonline=20151546")</f>
        <v>ICTVonline=20151546</v>
      </c>
    </row>
    <row r="1196" spans="1:13" x14ac:dyDescent="0.15">
      <c r="A1196" s="1" t="s">
        <v>1211</v>
      </c>
      <c r="B1196" s="1" t="s">
        <v>306</v>
      </c>
      <c r="D1196" s="1" t="s">
        <v>1265</v>
      </c>
      <c r="E1196" s="1" t="s">
        <v>1544</v>
      </c>
      <c r="F1196" s="3">
        <v>0</v>
      </c>
      <c r="G1196" s="24" t="s">
        <v>4852</v>
      </c>
      <c r="H1196" s="24" t="s">
        <v>4853</v>
      </c>
      <c r="I1196" s="24" t="s">
        <v>3265</v>
      </c>
      <c r="J1196" s="24" t="s">
        <v>2920</v>
      </c>
      <c r="K1196" s="3">
        <v>25</v>
      </c>
      <c r="L1196" s="3" t="s">
        <v>6894</v>
      </c>
      <c r="M1196" s="3" t="str">
        <f>HYPERLINK("http://ictvonline.org/taxonomyHistory.asp?taxnode_id=20151545","ICTVonline=20151545")</f>
        <v>ICTVonline=20151545</v>
      </c>
    </row>
    <row r="1197" spans="1:13" x14ac:dyDescent="0.15">
      <c r="A1197" s="1" t="s">
        <v>1211</v>
      </c>
      <c r="B1197" s="1" t="s">
        <v>306</v>
      </c>
      <c r="D1197" s="1" t="s">
        <v>1804</v>
      </c>
      <c r="E1197" s="1" t="s">
        <v>1603</v>
      </c>
      <c r="F1197" s="3">
        <v>1</v>
      </c>
      <c r="G1197" s="24" t="s">
        <v>4854</v>
      </c>
      <c r="H1197" s="24" t="s">
        <v>4855</v>
      </c>
      <c r="I1197" s="24" t="s">
        <v>3265</v>
      </c>
      <c r="J1197" s="24" t="s">
        <v>2921</v>
      </c>
      <c r="K1197" s="3">
        <v>25</v>
      </c>
      <c r="L1197" s="3" t="s">
        <v>6903</v>
      </c>
      <c r="M1197" s="3" t="str">
        <f>HYPERLINK("http://ictvonline.org/taxonomyHistory.asp?taxnode_id=20151548","ICTVonline=20151548")</f>
        <v>ICTVonline=20151548</v>
      </c>
    </row>
    <row r="1198" spans="1:13" x14ac:dyDescent="0.15">
      <c r="A1198" s="1" t="s">
        <v>1211</v>
      </c>
      <c r="B1198" s="1" t="s">
        <v>306</v>
      </c>
      <c r="D1198" s="1" t="s">
        <v>934</v>
      </c>
      <c r="E1198" s="1" t="s">
        <v>2345</v>
      </c>
      <c r="F1198" s="3">
        <v>0</v>
      </c>
      <c r="G1198" s="24" t="s">
        <v>4856</v>
      </c>
      <c r="H1198" s="24" t="s">
        <v>4857</v>
      </c>
      <c r="I1198" s="24" t="s">
        <v>3265</v>
      </c>
      <c r="J1198" s="24" t="s">
        <v>2919</v>
      </c>
      <c r="K1198" s="3">
        <v>27</v>
      </c>
      <c r="L1198" s="3" t="s">
        <v>6899</v>
      </c>
      <c r="M1198" s="3" t="str">
        <f>HYPERLINK("http://ictvonline.org/taxonomyHistory.asp?taxnode_id=20151550","ICTVonline=20151550")</f>
        <v>ICTVonline=20151550</v>
      </c>
    </row>
    <row r="1199" spans="1:13" x14ac:dyDescent="0.15">
      <c r="A1199" s="1" t="s">
        <v>1211</v>
      </c>
      <c r="B1199" s="1" t="s">
        <v>1212</v>
      </c>
      <c r="C1199" s="1" t="s">
        <v>4858</v>
      </c>
      <c r="D1199" s="1" t="s">
        <v>433</v>
      </c>
      <c r="E1199" s="1" t="s">
        <v>434</v>
      </c>
      <c r="F1199" s="3">
        <v>0</v>
      </c>
      <c r="G1199" s="24" t="s">
        <v>4859</v>
      </c>
      <c r="H1199" s="24" t="s">
        <v>4860</v>
      </c>
      <c r="I1199" s="24" t="s">
        <v>3265</v>
      </c>
      <c r="J1199" s="24" t="s">
        <v>2920</v>
      </c>
      <c r="K1199" s="3">
        <v>30</v>
      </c>
      <c r="L1199" s="3" t="s">
        <v>6904</v>
      </c>
      <c r="M1199" s="3" t="str">
        <f>HYPERLINK("http://ictvonline.org/taxonomyHistory.asp?taxnode_id=20151559","ICTVonline=20151559")</f>
        <v>ICTVonline=20151559</v>
      </c>
    </row>
    <row r="1200" spans="1:13" x14ac:dyDescent="0.15">
      <c r="A1200" s="1" t="s">
        <v>1211</v>
      </c>
      <c r="B1200" s="1" t="s">
        <v>1212</v>
      </c>
      <c r="C1200" s="1" t="s">
        <v>4858</v>
      </c>
      <c r="D1200" s="1" t="s">
        <v>433</v>
      </c>
      <c r="E1200" s="1" t="s">
        <v>435</v>
      </c>
      <c r="F1200" s="3">
        <v>0</v>
      </c>
      <c r="G1200" s="24" t="s">
        <v>4861</v>
      </c>
      <c r="H1200" s="24" t="s">
        <v>4862</v>
      </c>
      <c r="I1200" s="24" t="s">
        <v>3265</v>
      </c>
      <c r="J1200" s="24" t="s">
        <v>2920</v>
      </c>
      <c r="K1200" s="3">
        <v>30</v>
      </c>
      <c r="L1200" s="3" t="s">
        <v>6904</v>
      </c>
      <c r="M1200" s="3" t="str">
        <f>HYPERLINK("http://ictvonline.org/taxonomyHistory.asp?taxnode_id=20151560","ICTVonline=20151560")</f>
        <v>ICTVonline=20151560</v>
      </c>
    </row>
    <row r="1201" spans="1:13" x14ac:dyDescent="0.15">
      <c r="A1201" s="1" t="s">
        <v>1211</v>
      </c>
      <c r="B1201" s="1" t="s">
        <v>1212</v>
      </c>
      <c r="C1201" s="1" t="s">
        <v>4858</v>
      </c>
      <c r="D1201" s="1" t="s">
        <v>433</v>
      </c>
      <c r="E1201" s="1" t="s">
        <v>436</v>
      </c>
      <c r="F1201" s="3">
        <v>0</v>
      </c>
      <c r="G1201" s="24" t="s">
        <v>4863</v>
      </c>
      <c r="H1201" s="24" t="s">
        <v>4864</v>
      </c>
      <c r="I1201" s="24" t="s">
        <v>3265</v>
      </c>
      <c r="J1201" s="24" t="s">
        <v>2920</v>
      </c>
      <c r="K1201" s="3">
        <v>30</v>
      </c>
      <c r="L1201" s="3" t="s">
        <v>6904</v>
      </c>
      <c r="M1201" s="3" t="str">
        <f>HYPERLINK("http://ictvonline.org/taxonomyHistory.asp?taxnode_id=20151561","ICTVonline=20151561")</f>
        <v>ICTVonline=20151561</v>
      </c>
    </row>
    <row r="1202" spans="1:13" x14ac:dyDescent="0.15">
      <c r="A1202" s="1" t="s">
        <v>1211</v>
      </c>
      <c r="B1202" s="1" t="s">
        <v>1212</v>
      </c>
      <c r="C1202" s="1" t="s">
        <v>4858</v>
      </c>
      <c r="D1202" s="1" t="s">
        <v>433</v>
      </c>
      <c r="E1202" s="1" t="s">
        <v>2346</v>
      </c>
      <c r="F1202" s="3">
        <v>0</v>
      </c>
      <c r="I1202" s="24" t="s">
        <v>3265</v>
      </c>
      <c r="J1202" s="24" t="s">
        <v>2920</v>
      </c>
      <c r="K1202" s="3">
        <v>30</v>
      </c>
      <c r="L1202" s="3" t="s">
        <v>6904</v>
      </c>
      <c r="M1202" s="3" t="str">
        <f>HYPERLINK("http://ictvonline.org/taxonomyHistory.asp?taxnode_id=20151562","ICTVonline=20151562")</f>
        <v>ICTVonline=20151562</v>
      </c>
    </row>
    <row r="1203" spans="1:13" x14ac:dyDescent="0.15">
      <c r="A1203" s="1" t="s">
        <v>1211</v>
      </c>
      <c r="B1203" s="1" t="s">
        <v>1212</v>
      </c>
      <c r="C1203" s="1" t="s">
        <v>4858</v>
      </c>
      <c r="D1203" s="1" t="s">
        <v>433</v>
      </c>
      <c r="E1203" s="1" t="s">
        <v>437</v>
      </c>
      <c r="F1203" s="3">
        <v>0</v>
      </c>
      <c r="I1203" s="24" t="s">
        <v>3265</v>
      </c>
      <c r="J1203" s="24" t="s">
        <v>2920</v>
      </c>
      <c r="K1203" s="3">
        <v>30</v>
      </c>
      <c r="L1203" s="3" t="s">
        <v>6904</v>
      </c>
      <c r="M1203" s="3" t="str">
        <f>HYPERLINK("http://ictvonline.org/taxonomyHistory.asp?taxnode_id=20151563","ICTVonline=20151563")</f>
        <v>ICTVonline=20151563</v>
      </c>
    </row>
    <row r="1204" spans="1:13" x14ac:dyDescent="0.15">
      <c r="A1204" s="1" t="s">
        <v>1211</v>
      </c>
      <c r="B1204" s="1" t="s">
        <v>1212</v>
      </c>
      <c r="C1204" s="1" t="s">
        <v>4858</v>
      </c>
      <c r="D1204" s="1" t="s">
        <v>433</v>
      </c>
      <c r="E1204" s="1" t="s">
        <v>438</v>
      </c>
      <c r="F1204" s="3">
        <v>0</v>
      </c>
      <c r="I1204" s="24" t="s">
        <v>3265</v>
      </c>
      <c r="J1204" s="24" t="s">
        <v>2920</v>
      </c>
      <c r="K1204" s="3">
        <v>30</v>
      </c>
      <c r="L1204" s="3" t="s">
        <v>6904</v>
      </c>
      <c r="M1204" s="3" t="str">
        <f>HYPERLINK("http://ictvonline.org/taxonomyHistory.asp?taxnode_id=20151564","ICTVonline=20151564")</f>
        <v>ICTVonline=20151564</v>
      </c>
    </row>
    <row r="1205" spans="1:13" x14ac:dyDescent="0.15">
      <c r="A1205" s="1" t="s">
        <v>1211</v>
      </c>
      <c r="B1205" s="1" t="s">
        <v>1212</v>
      </c>
      <c r="C1205" s="1" t="s">
        <v>4858</v>
      </c>
      <c r="D1205" s="1" t="s">
        <v>433</v>
      </c>
      <c r="E1205" s="1" t="s">
        <v>303</v>
      </c>
      <c r="F1205" s="3">
        <v>1</v>
      </c>
      <c r="I1205" s="24" t="s">
        <v>3265</v>
      </c>
      <c r="J1205" s="24" t="s">
        <v>2920</v>
      </c>
      <c r="K1205" s="3">
        <v>30</v>
      </c>
      <c r="L1205" s="3" t="s">
        <v>6904</v>
      </c>
      <c r="M1205" s="3" t="str">
        <f>HYPERLINK("http://ictvonline.org/taxonomyHistory.asp?taxnode_id=20151565","ICTVonline=20151565")</f>
        <v>ICTVonline=20151565</v>
      </c>
    </row>
    <row r="1206" spans="1:13" x14ac:dyDescent="0.15">
      <c r="A1206" s="1" t="s">
        <v>1211</v>
      </c>
      <c r="B1206" s="1" t="s">
        <v>1212</v>
      </c>
      <c r="C1206" s="1" t="s">
        <v>4858</v>
      </c>
      <c r="D1206" s="1" t="s">
        <v>433</v>
      </c>
      <c r="E1206" s="1" t="s">
        <v>2170</v>
      </c>
      <c r="F1206" s="3">
        <v>0</v>
      </c>
      <c r="G1206" s="24" t="s">
        <v>4865</v>
      </c>
      <c r="H1206" s="24" t="s">
        <v>4866</v>
      </c>
      <c r="I1206" s="24" t="s">
        <v>3265</v>
      </c>
      <c r="J1206" s="24" t="s">
        <v>2920</v>
      </c>
      <c r="K1206" s="3">
        <v>30</v>
      </c>
      <c r="L1206" s="3" t="s">
        <v>6904</v>
      </c>
      <c r="M1206" s="3" t="str">
        <f>HYPERLINK("http://ictvonline.org/taxonomyHistory.asp?taxnode_id=20151566","ICTVonline=20151566")</f>
        <v>ICTVonline=20151566</v>
      </c>
    </row>
    <row r="1207" spans="1:13" x14ac:dyDescent="0.15">
      <c r="A1207" s="1" t="s">
        <v>1211</v>
      </c>
      <c r="B1207" s="1" t="s">
        <v>1212</v>
      </c>
      <c r="C1207" s="1" t="s">
        <v>4858</v>
      </c>
      <c r="D1207" s="1" t="s">
        <v>433</v>
      </c>
      <c r="E1207" s="1" t="s">
        <v>2171</v>
      </c>
      <c r="F1207" s="3">
        <v>0</v>
      </c>
      <c r="I1207" s="24" t="s">
        <v>3265</v>
      </c>
      <c r="J1207" s="24" t="s">
        <v>2920</v>
      </c>
      <c r="K1207" s="3">
        <v>30</v>
      </c>
      <c r="L1207" s="3" t="s">
        <v>6904</v>
      </c>
      <c r="M1207" s="3" t="str">
        <f>HYPERLINK("http://ictvonline.org/taxonomyHistory.asp?taxnode_id=20151567","ICTVonline=20151567")</f>
        <v>ICTVonline=20151567</v>
      </c>
    </row>
    <row r="1208" spans="1:13" x14ac:dyDescent="0.15">
      <c r="A1208" s="1" t="s">
        <v>1211</v>
      </c>
      <c r="B1208" s="1" t="s">
        <v>1212</v>
      </c>
      <c r="C1208" s="1" t="s">
        <v>4858</v>
      </c>
      <c r="D1208" s="1" t="s">
        <v>433</v>
      </c>
      <c r="E1208" s="1" t="s">
        <v>2258</v>
      </c>
      <c r="F1208" s="3">
        <v>0</v>
      </c>
      <c r="G1208" s="24" t="s">
        <v>4867</v>
      </c>
      <c r="H1208" s="24" t="s">
        <v>4744</v>
      </c>
      <c r="I1208" s="24" t="s">
        <v>3265</v>
      </c>
      <c r="J1208" s="24" t="s">
        <v>2920</v>
      </c>
      <c r="K1208" s="3">
        <v>30</v>
      </c>
      <c r="L1208" s="3" t="s">
        <v>6904</v>
      </c>
      <c r="M1208" s="3" t="str">
        <f>HYPERLINK("http://ictvonline.org/taxonomyHistory.asp?taxnode_id=20151568","ICTVonline=20151568")</f>
        <v>ICTVonline=20151568</v>
      </c>
    </row>
    <row r="1209" spans="1:13" x14ac:dyDescent="0.15">
      <c r="A1209" s="1" t="s">
        <v>1211</v>
      </c>
      <c r="B1209" s="1" t="s">
        <v>1212</v>
      </c>
      <c r="C1209" s="1" t="s">
        <v>4858</v>
      </c>
      <c r="D1209" s="1" t="s">
        <v>433</v>
      </c>
      <c r="E1209" s="1" t="s">
        <v>2073</v>
      </c>
      <c r="F1209" s="3">
        <v>0</v>
      </c>
      <c r="G1209" s="24" t="s">
        <v>4868</v>
      </c>
      <c r="H1209" s="24" t="s">
        <v>4869</v>
      </c>
      <c r="I1209" s="24" t="s">
        <v>3265</v>
      </c>
      <c r="J1209" s="24" t="s">
        <v>2920</v>
      </c>
      <c r="K1209" s="3">
        <v>30</v>
      </c>
      <c r="L1209" s="3" t="s">
        <v>6904</v>
      </c>
      <c r="M1209" s="3" t="str">
        <f>HYPERLINK("http://ictvonline.org/taxonomyHistory.asp?taxnode_id=20151569","ICTVonline=20151569")</f>
        <v>ICTVonline=20151569</v>
      </c>
    </row>
    <row r="1210" spans="1:13" x14ac:dyDescent="0.15">
      <c r="A1210" s="1" t="s">
        <v>1211</v>
      </c>
      <c r="B1210" s="1" t="s">
        <v>1212</v>
      </c>
      <c r="C1210" s="1" t="s">
        <v>4858</v>
      </c>
      <c r="D1210" s="1" t="s">
        <v>433</v>
      </c>
      <c r="E1210" s="1" t="s">
        <v>2347</v>
      </c>
      <c r="F1210" s="3">
        <v>0</v>
      </c>
      <c r="I1210" s="24" t="s">
        <v>3265</v>
      </c>
      <c r="J1210" s="24" t="s">
        <v>2920</v>
      </c>
      <c r="K1210" s="3">
        <v>30</v>
      </c>
      <c r="L1210" s="3" t="s">
        <v>6904</v>
      </c>
      <c r="M1210" s="3" t="str">
        <f>HYPERLINK("http://ictvonline.org/taxonomyHistory.asp?taxnode_id=20151570","ICTVonline=20151570")</f>
        <v>ICTVonline=20151570</v>
      </c>
    </row>
    <row r="1211" spans="1:13" x14ac:dyDescent="0.15">
      <c r="A1211" s="1" t="s">
        <v>1211</v>
      </c>
      <c r="B1211" s="1" t="s">
        <v>1212</v>
      </c>
      <c r="C1211" s="1" t="s">
        <v>4858</v>
      </c>
      <c r="D1211" s="1" t="s">
        <v>433</v>
      </c>
      <c r="E1211" s="1" t="s">
        <v>2074</v>
      </c>
      <c r="F1211" s="3">
        <v>0</v>
      </c>
      <c r="G1211" s="24" t="s">
        <v>4870</v>
      </c>
      <c r="H1211" s="24" t="s">
        <v>4871</v>
      </c>
      <c r="I1211" s="24" t="s">
        <v>3265</v>
      </c>
      <c r="J1211" s="24" t="s">
        <v>2920</v>
      </c>
      <c r="K1211" s="3">
        <v>30</v>
      </c>
      <c r="L1211" s="3" t="s">
        <v>6904</v>
      </c>
      <c r="M1211" s="3" t="str">
        <f>HYPERLINK("http://ictvonline.org/taxonomyHistory.asp?taxnode_id=20151572","ICTVonline=20151572")</f>
        <v>ICTVonline=20151572</v>
      </c>
    </row>
    <row r="1212" spans="1:13" x14ac:dyDescent="0.15">
      <c r="A1212" s="1" t="s">
        <v>1211</v>
      </c>
      <c r="B1212" s="1" t="s">
        <v>1212</v>
      </c>
      <c r="C1212" s="1" t="s">
        <v>4858</v>
      </c>
      <c r="D1212" s="1" t="s">
        <v>433</v>
      </c>
      <c r="E1212" s="1" t="s">
        <v>4872</v>
      </c>
      <c r="F1212" s="3">
        <v>0</v>
      </c>
      <c r="G1212" s="24" t="s">
        <v>7485</v>
      </c>
      <c r="H1212" s="24" t="s">
        <v>4873</v>
      </c>
      <c r="I1212" s="24" t="s">
        <v>3265</v>
      </c>
      <c r="J1212" s="24" t="s">
        <v>2919</v>
      </c>
      <c r="K1212" s="3">
        <v>30</v>
      </c>
      <c r="L1212" s="3" t="s">
        <v>6904</v>
      </c>
      <c r="M1212" s="3" t="str">
        <f>HYPERLINK("http://ictvonline.org/taxonomyHistory.asp?taxnode_id=20151660","ICTVonline=20151660")</f>
        <v>ICTVonline=20151660</v>
      </c>
    </row>
    <row r="1213" spans="1:13" x14ac:dyDescent="0.15">
      <c r="A1213" s="1" t="s">
        <v>1211</v>
      </c>
      <c r="B1213" s="1" t="s">
        <v>1212</v>
      </c>
      <c r="C1213" s="1" t="s">
        <v>4858</v>
      </c>
      <c r="D1213" s="1" t="s">
        <v>433</v>
      </c>
      <c r="E1213" s="1" t="s">
        <v>1718</v>
      </c>
      <c r="F1213" s="3">
        <v>0</v>
      </c>
      <c r="G1213" s="24" t="s">
        <v>4874</v>
      </c>
      <c r="H1213" s="24" t="s">
        <v>4875</v>
      </c>
      <c r="I1213" s="24" t="s">
        <v>3265</v>
      </c>
      <c r="J1213" s="24" t="s">
        <v>2920</v>
      </c>
      <c r="K1213" s="3">
        <v>30</v>
      </c>
      <c r="L1213" s="3" t="s">
        <v>6904</v>
      </c>
      <c r="M1213" s="3" t="str">
        <f>HYPERLINK("http://ictvonline.org/taxonomyHistory.asp?taxnode_id=20151574","ICTVonline=20151574")</f>
        <v>ICTVonline=20151574</v>
      </c>
    </row>
    <row r="1214" spans="1:13" x14ac:dyDescent="0.15">
      <c r="A1214" s="1" t="s">
        <v>1211</v>
      </c>
      <c r="B1214" s="1" t="s">
        <v>1212</v>
      </c>
      <c r="C1214" s="1" t="s">
        <v>4858</v>
      </c>
      <c r="D1214" s="1" t="s">
        <v>433</v>
      </c>
      <c r="E1214" s="1" t="s">
        <v>1719</v>
      </c>
      <c r="F1214" s="3">
        <v>0</v>
      </c>
      <c r="I1214" s="24" t="s">
        <v>3265</v>
      </c>
      <c r="J1214" s="24" t="s">
        <v>2920</v>
      </c>
      <c r="K1214" s="3">
        <v>30</v>
      </c>
      <c r="L1214" s="3" t="s">
        <v>6904</v>
      </c>
      <c r="M1214" s="3" t="str">
        <f>HYPERLINK("http://ictvonline.org/taxonomyHistory.asp?taxnode_id=20151575","ICTVonline=20151575")</f>
        <v>ICTVonline=20151575</v>
      </c>
    </row>
    <row r="1215" spans="1:13" x14ac:dyDescent="0.15">
      <c r="A1215" s="1" t="s">
        <v>1211</v>
      </c>
      <c r="B1215" s="1" t="s">
        <v>1212</v>
      </c>
      <c r="C1215" s="1" t="s">
        <v>4858</v>
      </c>
      <c r="D1215" s="1" t="s">
        <v>433</v>
      </c>
      <c r="E1215" s="1" t="s">
        <v>2348</v>
      </c>
      <c r="F1215" s="3">
        <v>0</v>
      </c>
      <c r="I1215" s="24" t="s">
        <v>3265</v>
      </c>
      <c r="J1215" s="24" t="s">
        <v>2920</v>
      </c>
      <c r="K1215" s="3">
        <v>30</v>
      </c>
      <c r="L1215" s="3" t="s">
        <v>6904</v>
      </c>
      <c r="M1215" s="3" t="str">
        <f>HYPERLINK("http://ictvonline.org/taxonomyHistory.asp?taxnode_id=20151576","ICTVonline=20151576")</f>
        <v>ICTVonline=20151576</v>
      </c>
    </row>
    <row r="1216" spans="1:13" x14ac:dyDescent="0.15">
      <c r="A1216" s="1" t="s">
        <v>1211</v>
      </c>
      <c r="B1216" s="1" t="s">
        <v>1212</v>
      </c>
      <c r="C1216" s="1" t="s">
        <v>4858</v>
      </c>
      <c r="D1216" s="1" t="s">
        <v>433</v>
      </c>
      <c r="E1216" s="1" t="s">
        <v>2009</v>
      </c>
      <c r="F1216" s="3">
        <v>0</v>
      </c>
      <c r="G1216" s="24" t="s">
        <v>4876</v>
      </c>
      <c r="H1216" s="24" t="s">
        <v>4877</v>
      </c>
      <c r="I1216" s="24" t="s">
        <v>3265</v>
      </c>
      <c r="J1216" s="24" t="s">
        <v>2920</v>
      </c>
      <c r="K1216" s="3">
        <v>30</v>
      </c>
      <c r="L1216" s="3" t="s">
        <v>6904</v>
      </c>
      <c r="M1216" s="3" t="str">
        <f>HYPERLINK("http://ictvonline.org/taxonomyHistory.asp?taxnode_id=20151577","ICTVonline=20151577")</f>
        <v>ICTVonline=20151577</v>
      </c>
    </row>
    <row r="1217" spans="1:13" x14ac:dyDescent="0.15">
      <c r="A1217" s="1" t="s">
        <v>1211</v>
      </c>
      <c r="B1217" s="1" t="s">
        <v>1212</v>
      </c>
      <c r="C1217" s="1" t="s">
        <v>4858</v>
      </c>
      <c r="D1217" s="1" t="s">
        <v>433</v>
      </c>
      <c r="E1217" s="1" t="s">
        <v>2349</v>
      </c>
      <c r="F1217" s="3">
        <v>0</v>
      </c>
      <c r="G1217" s="24" t="s">
        <v>4878</v>
      </c>
      <c r="H1217" s="24" t="s">
        <v>4805</v>
      </c>
      <c r="I1217" s="24" t="s">
        <v>3265</v>
      </c>
      <c r="J1217" s="24" t="s">
        <v>2920</v>
      </c>
      <c r="K1217" s="3">
        <v>30</v>
      </c>
      <c r="L1217" s="3" t="s">
        <v>6904</v>
      </c>
      <c r="M1217" s="3" t="str">
        <f>HYPERLINK("http://ictvonline.org/taxonomyHistory.asp?taxnode_id=20151578","ICTVonline=20151578")</f>
        <v>ICTVonline=20151578</v>
      </c>
    </row>
    <row r="1218" spans="1:13" x14ac:dyDescent="0.15">
      <c r="A1218" s="1" t="s">
        <v>1211</v>
      </c>
      <c r="B1218" s="1" t="s">
        <v>1212</v>
      </c>
      <c r="C1218" s="1" t="s">
        <v>4858</v>
      </c>
      <c r="D1218" s="1" t="s">
        <v>433</v>
      </c>
      <c r="E1218" s="1" t="s">
        <v>1720</v>
      </c>
      <c r="F1218" s="3">
        <v>0</v>
      </c>
      <c r="G1218" s="24" t="s">
        <v>4879</v>
      </c>
      <c r="H1218" s="24" t="s">
        <v>4797</v>
      </c>
      <c r="I1218" s="24" t="s">
        <v>3265</v>
      </c>
      <c r="J1218" s="24" t="s">
        <v>2920</v>
      </c>
      <c r="K1218" s="3">
        <v>30</v>
      </c>
      <c r="L1218" s="3" t="s">
        <v>6904</v>
      </c>
      <c r="M1218" s="3" t="str">
        <f>HYPERLINK("http://ictvonline.org/taxonomyHistory.asp?taxnode_id=20151580","ICTVonline=20151580")</f>
        <v>ICTVonline=20151580</v>
      </c>
    </row>
    <row r="1219" spans="1:13" x14ac:dyDescent="0.15">
      <c r="A1219" s="1" t="s">
        <v>1211</v>
      </c>
      <c r="B1219" s="1" t="s">
        <v>1212</v>
      </c>
      <c r="C1219" s="1" t="s">
        <v>4858</v>
      </c>
      <c r="D1219" s="1" t="s">
        <v>433</v>
      </c>
      <c r="E1219" s="1" t="s">
        <v>1721</v>
      </c>
      <c r="F1219" s="3">
        <v>0</v>
      </c>
      <c r="G1219" s="24" t="s">
        <v>4880</v>
      </c>
      <c r="H1219" s="24" t="s">
        <v>4881</v>
      </c>
      <c r="I1219" s="24" t="s">
        <v>3265</v>
      </c>
      <c r="J1219" s="24" t="s">
        <v>2920</v>
      </c>
      <c r="K1219" s="3">
        <v>30</v>
      </c>
      <c r="L1219" s="3" t="s">
        <v>6904</v>
      </c>
      <c r="M1219" s="3" t="str">
        <f>HYPERLINK("http://ictvonline.org/taxonomyHistory.asp?taxnode_id=20151581","ICTVonline=20151581")</f>
        <v>ICTVonline=20151581</v>
      </c>
    </row>
    <row r="1220" spans="1:13" x14ac:dyDescent="0.15">
      <c r="A1220" s="1" t="s">
        <v>1211</v>
      </c>
      <c r="B1220" s="1" t="s">
        <v>1212</v>
      </c>
      <c r="C1220" s="1" t="s">
        <v>4858</v>
      </c>
      <c r="D1220" s="1" t="s">
        <v>433</v>
      </c>
      <c r="E1220" s="1" t="s">
        <v>2350</v>
      </c>
      <c r="F1220" s="3">
        <v>0</v>
      </c>
      <c r="G1220" s="24" t="s">
        <v>4882</v>
      </c>
      <c r="H1220" s="24" t="s">
        <v>4883</v>
      </c>
      <c r="I1220" s="24" t="s">
        <v>3265</v>
      </c>
      <c r="J1220" s="24" t="s">
        <v>2920</v>
      </c>
      <c r="K1220" s="3">
        <v>30</v>
      </c>
      <c r="L1220" s="3" t="s">
        <v>6904</v>
      </c>
      <c r="M1220" s="3" t="str">
        <f>HYPERLINK("http://ictvonline.org/taxonomyHistory.asp?taxnode_id=20151582","ICTVonline=20151582")</f>
        <v>ICTVonline=20151582</v>
      </c>
    </row>
    <row r="1221" spans="1:13" x14ac:dyDescent="0.15">
      <c r="A1221" s="1" t="s">
        <v>1211</v>
      </c>
      <c r="B1221" s="1" t="s">
        <v>1212</v>
      </c>
      <c r="C1221" s="1" t="s">
        <v>4858</v>
      </c>
      <c r="D1221" s="1" t="s">
        <v>433</v>
      </c>
      <c r="E1221" s="1" t="s">
        <v>6706</v>
      </c>
      <c r="F1221" s="3">
        <v>0</v>
      </c>
      <c r="I1221" s="24" t="s">
        <v>3265</v>
      </c>
      <c r="J1221" s="24" t="s">
        <v>2920</v>
      </c>
      <c r="K1221" s="3">
        <v>30</v>
      </c>
      <c r="L1221" s="3" t="s">
        <v>6904</v>
      </c>
      <c r="M1221" s="3" t="str">
        <f>HYPERLINK("http://ictvonline.org/taxonomyHistory.asp?taxnode_id=20151584","ICTVonline=20151584")</f>
        <v>ICTVonline=20151584</v>
      </c>
    </row>
    <row r="1222" spans="1:13" x14ac:dyDescent="0.15">
      <c r="A1222" s="1" t="s">
        <v>1211</v>
      </c>
      <c r="B1222" s="1" t="s">
        <v>1212</v>
      </c>
      <c r="C1222" s="1" t="s">
        <v>4858</v>
      </c>
      <c r="D1222" s="1" t="s">
        <v>433</v>
      </c>
      <c r="E1222" s="1" t="s">
        <v>2259</v>
      </c>
      <c r="F1222" s="3">
        <v>0</v>
      </c>
      <c r="G1222" s="24" t="s">
        <v>4884</v>
      </c>
      <c r="H1222" s="24" t="s">
        <v>4744</v>
      </c>
      <c r="I1222" s="24" t="s">
        <v>3265</v>
      </c>
      <c r="J1222" s="24" t="s">
        <v>2920</v>
      </c>
      <c r="K1222" s="3">
        <v>30</v>
      </c>
      <c r="L1222" s="3" t="s">
        <v>6904</v>
      </c>
      <c r="M1222" s="3" t="str">
        <f>HYPERLINK("http://ictvonline.org/taxonomyHistory.asp?taxnode_id=20151585","ICTVonline=20151585")</f>
        <v>ICTVonline=20151585</v>
      </c>
    </row>
    <row r="1223" spans="1:13" x14ac:dyDescent="0.15">
      <c r="A1223" s="1" t="s">
        <v>1211</v>
      </c>
      <c r="B1223" s="1" t="s">
        <v>1212</v>
      </c>
      <c r="C1223" s="1" t="s">
        <v>4858</v>
      </c>
      <c r="D1223" s="1" t="s">
        <v>433</v>
      </c>
      <c r="E1223" s="1" t="s">
        <v>2172</v>
      </c>
      <c r="F1223" s="3">
        <v>0</v>
      </c>
      <c r="G1223" s="24" t="s">
        <v>4885</v>
      </c>
      <c r="H1223" s="24" t="s">
        <v>4886</v>
      </c>
      <c r="I1223" s="24" t="s">
        <v>3265</v>
      </c>
      <c r="J1223" s="24" t="s">
        <v>2920</v>
      </c>
      <c r="K1223" s="3">
        <v>30</v>
      </c>
      <c r="L1223" s="3" t="s">
        <v>6904</v>
      </c>
      <c r="M1223" s="3" t="str">
        <f>HYPERLINK("http://ictvonline.org/taxonomyHistory.asp?taxnode_id=20151587","ICTVonline=20151587")</f>
        <v>ICTVonline=20151587</v>
      </c>
    </row>
    <row r="1224" spans="1:13" x14ac:dyDescent="0.15">
      <c r="A1224" s="1" t="s">
        <v>1211</v>
      </c>
      <c r="B1224" s="1" t="s">
        <v>1212</v>
      </c>
      <c r="C1224" s="1" t="s">
        <v>4858</v>
      </c>
      <c r="D1224" s="1" t="s">
        <v>433</v>
      </c>
      <c r="E1224" s="1" t="s">
        <v>2173</v>
      </c>
      <c r="F1224" s="3">
        <v>0</v>
      </c>
      <c r="I1224" s="24" t="s">
        <v>3265</v>
      </c>
      <c r="J1224" s="24" t="s">
        <v>2920</v>
      </c>
      <c r="K1224" s="3">
        <v>30</v>
      </c>
      <c r="L1224" s="3" t="s">
        <v>6904</v>
      </c>
      <c r="M1224" s="3" t="str">
        <f>HYPERLINK("http://ictvonline.org/taxonomyHistory.asp?taxnode_id=20151588","ICTVonline=20151588")</f>
        <v>ICTVonline=20151588</v>
      </c>
    </row>
    <row r="1225" spans="1:13" x14ac:dyDescent="0.15">
      <c r="A1225" s="1" t="s">
        <v>1211</v>
      </c>
      <c r="B1225" s="1" t="s">
        <v>1212</v>
      </c>
      <c r="C1225" s="1" t="s">
        <v>4858</v>
      </c>
      <c r="D1225" s="1" t="s">
        <v>433</v>
      </c>
      <c r="E1225" s="1" t="s">
        <v>2351</v>
      </c>
      <c r="F1225" s="3">
        <v>0</v>
      </c>
      <c r="G1225" s="24" t="s">
        <v>4887</v>
      </c>
      <c r="H1225" s="24" t="s">
        <v>4744</v>
      </c>
      <c r="I1225" s="24" t="s">
        <v>3265</v>
      </c>
      <c r="J1225" s="24" t="s">
        <v>2920</v>
      </c>
      <c r="K1225" s="3">
        <v>30</v>
      </c>
      <c r="L1225" s="3" t="s">
        <v>6904</v>
      </c>
      <c r="M1225" s="3" t="str">
        <f>HYPERLINK("http://ictvonline.org/taxonomyHistory.asp?taxnode_id=20151589","ICTVonline=20151589")</f>
        <v>ICTVonline=20151589</v>
      </c>
    </row>
    <row r="1226" spans="1:13" x14ac:dyDescent="0.15">
      <c r="A1226" s="1" t="s">
        <v>1211</v>
      </c>
      <c r="B1226" s="1" t="s">
        <v>1212</v>
      </c>
      <c r="C1226" s="1" t="s">
        <v>4858</v>
      </c>
      <c r="D1226" s="1" t="s">
        <v>433</v>
      </c>
      <c r="E1226" s="1" t="s">
        <v>2075</v>
      </c>
      <c r="F1226" s="3">
        <v>0</v>
      </c>
      <c r="G1226" s="24" t="s">
        <v>4888</v>
      </c>
      <c r="H1226" s="24" t="s">
        <v>4889</v>
      </c>
      <c r="I1226" s="24" t="s">
        <v>3265</v>
      </c>
      <c r="J1226" s="24" t="s">
        <v>2920</v>
      </c>
      <c r="K1226" s="3">
        <v>30</v>
      </c>
      <c r="L1226" s="3" t="s">
        <v>6904</v>
      </c>
      <c r="M1226" s="3" t="str">
        <f>HYPERLINK("http://ictvonline.org/taxonomyHistory.asp?taxnode_id=20151592","ICTVonline=20151592")</f>
        <v>ICTVonline=20151592</v>
      </c>
    </row>
    <row r="1227" spans="1:13" x14ac:dyDescent="0.15">
      <c r="A1227" s="1" t="s">
        <v>1211</v>
      </c>
      <c r="B1227" s="1" t="s">
        <v>1212</v>
      </c>
      <c r="C1227" s="1" t="s">
        <v>4858</v>
      </c>
      <c r="D1227" s="1" t="s">
        <v>433</v>
      </c>
      <c r="E1227" s="1" t="s">
        <v>2076</v>
      </c>
      <c r="F1227" s="3">
        <v>0</v>
      </c>
      <c r="G1227" s="24" t="s">
        <v>4890</v>
      </c>
      <c r="H1227" s="24" t="s">
        <v>4891</v>
      </c>
      <c r="I1227" s="24" t="s">
        <v>3265</v>
      </c>
      <c r="J1227" s="24" t="s">
        <v>2920</v>
      </c>
      <c r="K1227" s="3">
        <v>30</v>
      </c>
      <c r="L1227" s="3" t="s">
        <v>6904</v>
      </c>
      <c r="M1227" s="3" t="str">
        <f>HYPERLINK("http://ictvonline.org/taxonomyHistory.asp?taxnode_id=20151593","ICTVonline=20151593")</f>
        <v>ICTVonline=20151593</v>
      </c>
    </row>
    <row r="1228" spans="1:13" x14ac:dyDescent="0.15">
      <c r="A1228" s="1" t="s">
        <v>1211</v>
      </c>
      <c r="B1228" s="1" t="s">
        <v>1212</v>
      </c>
      <c r="C1228" s="1" t="s">
        <v>4858</v>
      </c>
      <c r="D1228" s="1" t="s">
        <v>433</v>
      </c>
      <c r="E1228" s="1" t="s">
        <v>2077</v>
      </c>
      <c r="F1228" s="3">
        <v>0</v>
      </c>
      <c r="G1228" s="24" t="s">
        <v>4892</v>
      </c>
      <c r="H1228" s="24" t="s">
        <v>4893</v>
      </c>
      <c r="I1228" s="24" t="s">
        <v>3265</v>
      </c>
      <c r="J1228" s="24" t="s">
        <v>2920</v>
      </c>
      <c r="K1228" s="3">
        <v>30</v>
      </c>
      <c r="L1228" s="3" t="s">
        <v>6904</v>
      </c>
      <c r="M1228" s="3" t="str">
        <f>HYPERLINK("http://ictvonline.org/taxonomyHistory.asp?taxnode_id=20151594","ICTVonline=20151594")</f>
        <v>ICTVonline=20151594</v>
      </c>
    </row>
    <row r="1229" spans="1:13" x14ac:dyDescent="0.15">
      <c r="A1229" s="1" t="s">
        <v>1211</v>
      </c>
      <c r="B1229" s="1" t="s">
        <v>1212</v>
      </c>
      <c r="C1229" s="1" t="s">
        <v>4858</v>
      </c>
      <c r="D1229" s="1" t="s">
        <v>433</v>
      </c>
      <c r="E1229" s="1" t="s">
        <v>2078</v>
      </c>
      <c r="F1229" s="3">
        <v>0</v>
      </c>
      <c r="G1229" s="24" t="s">
        <v>4894</v>
      </c>
      <c r="H1229" s="24" t="s">
        <v>4895</v>
      </c>
      <c r="I1229" s="24" t="s">
        <v>3265</v>
      </c>
      <c r="J1229" s="24" t="s">
        <v>2920</v>
      </c>
      <c r="K1229" s="3">
        <v>30</v>
      </c>
      <c r="L1229" s="3" t="s">
        <v>6904</v>
      </c>
      <c r="M1229" s="3" t="str">
        <f>HYPERLINK("http://ictvonline.org/taxonomyHistory.asp?taxnode_id=20151595","ICTVonline=20151595")</f>
        <v>ICTVonline=20151595</v>
      </c>
    </row>
    <row r="1230" spans="1:13" x14ac:dyDescent="0.15">
      <c r="A1230" s="1" t="s">
        <v>1211</v>
      </c>
      <c r="B1230" s="1" t="s">
        <v>1212</v>
      </c>
      <c r="C1230" s="1" t="s">
        <v>4858</v>
      </c>
      <c r="D1230" s="1" t="s">
        <v>433</v>
      </c>
      <c r="E1230" s="1" t="s">
        <v>2352</v>
      </c>
      <c r="F1230" s="3">
        <v>0</v>
      </c>
      <c r="G1230" s="24" t="s">
        <v>4896</v>
      </c>
      <c r="H1230" s="24" t="s">
        <v>4897</v>
      </c>
      <c r="I1230" s="24" t="s">
        <v>3265</v>
      </c>
      <c r="J1230" s="24" t="s">
        <v>2920</v>
      </c>
      <c r="K1230" s="3">
        <v>30</v>
      </c>
      <c r="L1230" s="3" t="s">
        <v>6904</v>
      </c>
      <c r="M1230" s="3" t="str">
        <f>HYPERLINK("http://ictvonline.org/taxonomyHistory.asp?taxnode_id=20151596","ICTVonline=20151596")</f>
        <v>ICTVonline=20151596</v>
      </c>
    </row>
    <row r="1231" spans="1:13" x14ac:dyDescent="0.15">
      <c r="A1231" s="1" t="s">
        <v>1211</v>
      </c>
      <c r="B1231" s="1" t="s">
        <v>1212</v>
      </c>
      <c r="C1231" s="1" t="s">
        <v>4858</v>
      </c>
      <c r="D1231" s="1" t="s">
        <v>433</v>
      </c>
      <c r="E1231" s="1" t="s">
        <v>2353</v>
      </c>
      <c r="F1231" s="3">
        <v>0</v>
      </c>
      <c r="I1231" s="24" t="s">
        <v>3265</v>
      </c>
      <c r="J1231" s="24" t="s">
        <v>2920</v>
      </c>
      <c r="K1231" s="3">
        <v>30</v>
      </c>
      <c r="L1231" s="3" t="s">
        <v>6904</v>
      </c>
      <c r="M1231" s="3" t="str">
        <f>HYPERLINK("http://ictvonline.org/taxonomyHistory.asp?taxnode_id=20151597","ICTVonline=20151597")</f>
        <v>ICTVonline=20151597</v>
      </c>
    </row>
    <row r="1232" spans="1:13" x14ac:dyDescent="0.15">
      <c r="A1232" s="1" t="s">
        <v>1211</v>
      </c>
      <c r="B1232" s="1" t="s">
        <v>1212</v>
      </c>
      <c r="C1232" s="1" t="s">
        <v>4858</v>
      </c>
      <c r="D1232" s="1" t="s">
        <v>433</v>
      </c>
      <c r="E1232" s="1" t="s">
        <v>2354</v>
      </c>
      <c r="F1232" s="3">
        <v>0</v>
      </c>
      <c r="G1232" s="24" t="s">
        <v>4898</v>
      </c>
      <c r="H1232" s="24" t="s">
        <v>4899</v>
      </c>
      <c r="I1232" s="24" t="s">
        <v>3265</v>
      </c>
      <c r="J1232" s="24" t="s">
        <v>2920</v>
      </c>
      <c r="K1232" s="3">
        <v>30</v>
      </c>
      <c r="L1232" s="3" t="s">
        <v>6904</v>
      </c>
      <c r="M1232" s="3" t="str">
        <f>HYPERLINK("http://ictvonline.org/taxonomyHistory.asp?taxnode_id=20151598","ICTVonline=20151598")</f>
        <v>ICTVonline=20151598</v>
      </c>
    </row>
    <row r="1233" spans="1:13" x14ac:dyDescent="0.15">
      <c r="A1233" s="1" t="s">
        <v>1211</v>
      </c>
      <c r="B1233" s="1" t="s">
        <v>1212</v>
      </c>
      <c r="C1233" s="1" t="s">
        <v>4858</v>
      </c>
      <c r="D1233" s="1" t="s">
        <v>433</v>
      </c>
      <c r="E1233" s="1" t="s">
        <v>2079</v>
      </c>
      <c r="F1233" s="3">
        <v>0</v>
      </c>
      <c r="G1233" s="24" t="s">
        <v>4900</v>
      </c>
      <c r="H1233" s="24" t="s">
        <v>4901</v>
      </c>
      <c r="I1233" s="24" t="s">
        <v>3265</v>
      </c>
      <c r="J1233" s="24" t="s">
        <v>2920</v>
      </c>
      <c r="K1233" s="3">
        <v>30</v>
      </c>
      <c r="L1233" s="3" t="s">
        <v>6904</v>
      </c>
      <c r="M1233" s="3" t="str">
        <f>HYPERLINK("http://ictvonline.org/taxonomyHistory.asp?taxnode_id=20151599","ICTVonline=20151599")</f>
        <v>ICTVonline=20151599</v>
      </c>
    </row>
    <row r="1234" spans="1:13" x14ac:dyDescent="0.15">
      <c r="A1234" s="1" t="s">
        <v>1211</v>
      </c>
      <c r="B1234" s="1" t="s">
        <v>1212</v>
      </c>
      <c r="C1234" s="1" t="s">
        <v>4858</v>
      </c>
      <c r="D1234" s="1" t="s">
        <v>433</v>
      </c>
      <c r="E1234" s="1" t="s">
        <v>2080</v>
      </c>
      <c r="F1234" s="3">
        <v>0</v>
      </c>
      <c r="G1234" s="24" t="s">
        <v>4902</v>
      </c>
      <c r="H1234" s="24" t="s">
        <v>4903</v>
      </c>
      <c r="I1234" s="24" t="s">
        <v>3265</v>
      </c>
      <c r="J1234" s="24" t="s">
        <v>2920</v>
      </c>
      <c r="K1234" s="3">
        <v>30</v>
      </c>
      <c r="L1234" s="3" t="s">
        <v>6904</v>
      </c>
      <c r="M1234" s="3" t="str">
        <f>HYPERLINK("http://ictvonline.org/taxonomyHistory.asp?taxnode_id=20151600","ICTVonline=20151600")</f>
        <v>ICTVonline=20151600</v>
      </c>
    </row>
    <row r="1235" spans="1:13" x14ac:dyDescent="0.15">
      <c r="A1235" s="1" t="s">
        <v>1211</v>
      </c>
      <c r="B1235" s="1" t="s">
        <v>1212</v>
      </c>
      <c r="C1235" s="1" t="s">
        <v>4858</v>
      </c>
      <c r="D1235" s="1" t="s">
        <v>433</v>
      </c>
      <c r="E1235" s="1" t="s">
        <v>4904</v>
      </c>
      <c r="F1235" s="3">
        <v>0</v>
      </c>
      <c r="G1235" s="24" t="s">
        <v>7486</v>
      </c>
      <c r="H1235" s="24" t="s">
        <v>4905</v>
      </c>
      <c r="I1235" s="24" t="s">
        <v>3265</v>
      </c>
      <c r="J1235" s="24" t="s">
        <v>2919</v>
      </c>
      <c r="K1235" s="3">
        <v>30</v>
      </c>
      <c r="L1235" s="3" t="s">
        <v>6904</v>
      </c>
      <c r="M1235" s="3" t="str">
        <f>HYPERLINK("http://ictvonline.org/taxonomyHistory.asp?taxnode_id=20151661","ICTVonline=20151661")</f>
        <v>ICTVonline=20151661</v>
      </c>
    </row>
    <row r="1236" spans="1:13" x14ac:dyDescent="0.15">
      <c r="A1236" s="1" t="s">
        <v>1211</v>
      </c>
      <c r="B1236" s="1" t="s">
        <v>1212</v>
      </c>
      <c r="C1236" s="1" t="s">
        <v>4858</v>
      </c>
      <c r="D1236" s="1" t="s">
        <v>433</v>
      </c>
      <c r="E1236" s="1" t="s">
        <v>2081</v>
      </c>
      <c r="F1236" s="3">
        <v>0</v>
      </c>
      <c r="G1236" s="24" t="s">
        <v>4906</v>
      </c>
      <c r="H1236" s="24" t="s">
        <v>4907</v>
      </c>
      <c r="I1236" s="24" t="s">
        <v>3265</v>
      </c>
      <c r="J1236" s="24" t="s">
        <v>2920</v>
      </c>
      <c r="K1236" s="3">
        <v>30</v>
      </c>
      <c r="L1236" s="3" t="s">
        <v>6904</v>
      </c>
      <c r="M1236" s="3" t="str">
        <f>HYPERLINK("http://ictvonline.org/taxonomyHistory.asp?taxnode_id=20151601","ICTVonline=20151601")</f>
        <v>ICTVonline=20151601</v>
      </c>
    </row>
    <row r="1237" spans="1:13" x14ac:dyDescent="0.15">
      <c r="A1237" s="1" t="s">
        <v>1211</v>
      </c>
      <c r="B1237" s="1" t="s">
        <v>1212</v>
      </c>
      <c r="C1237" s="1" t="s">
        <v>4858</v>
      </c>
      <c r="D1237" s="1" t="s">
        <v>433</v>
      </c>
      <c r="E1237" s="1" t="s">
        <v>2082</v>
      </c>
      <c r="F1237" s="3">
        <v>0</v>
      </c>
      <c r="G1237" s="24" t="s">
        <v>4908</v>
      </c>
      <c r="H1237" s="24" t="s">
        <v>4909</v>
      </c>
      <c r="I1237" s="24" t="s">
        <v>3265</v>
      </c>
      <c r="J1237" s="24" t="s">
        <v>2920</v>
      </c>
      <c r="K1237" s="3">
        <v>30</v>
      </c>
      <c r="L1237" s="3" t="s">
        <v>6904</v>
      </c>
      <c r="M1237" s="3" t="str">
        <f>HYPERLINK("http://ictvonline.org/taxonomyHistory.asp?taxnode_id=20151602","ICTVonline=20151602")</f>
        <v>ICTVonline=20151602</v>
      </c>
    </row>
    <row r="1238" spans="1:13" x14ac:dyDescent="0.15">
      <c r="A1238" s="1" t="s">
        <v>1211</v>
      </c>
      <c r="B1238" s="1" t="s">
        <v>1212</v>
      </c>
      <c r="C1238" s="1" t="s">
        <v>4858</v>
      </c>
      <c r="D1238" s="1" t="s">
        <v>433</v>
      </c>
      <c r="E1238" s="1" t="s">
        <v>2083</v>
      </c>
      <c r="F1238" s="3">
        <v>0</v>
      </c>
      <c r="G1238" s="24" t="s">
        <v>4910</v>
      </c>
      <c r="H1238" s="24" t="s">
        <v>4911</v>
      </c>
      <c r="I1238" s="24" t="s">
        <v>3265</v>
      </c>
      <c r="J1238" s="24" t="s">
        <v>2920</v>
      </c>
      <c r="K1238" s="3">
        <v>30</v>
      </c>
      <c r="L1238" s="3" t="s">
        <v>6904</v>
      </c>
      <c r="M1238" s="3" t="str">
        <f>HYPERLINK("http://ictvonline.org/taxonomyHistory.asp?taxnode_id=20151603","ICTVonline=20151603")</f>
        <v>ICTVonline=20151603</v>
      </c>
    </row>
    <row r="1239" spans="1:13" x14ac:dyDescent="0.15">
      <c r="A1239" s="1" t="s">
        <v>1211</v>
      </c>
      <c r="B1239" s="1" t="s">
        <v>1212</v>
      </c>
      <c r="C1239" s="1" t="s">
        <v>4858</v>
      </c>
      <c r="D1239" s="1" t="s">
        <v>433</v>
      </c>
      <c r="E1239" s="1" t="s">
        <v>2084</v>
      </c>
      <c r="F1239" s="3">
        <v>0</v>
      </c>
      <c r="G1239" s="24" t="s">
        <v>4912</v>
      </c>
      <c r="H1239" s="24" t="s">
        <v>4913</v>
      </c>
      <c r="I1239" s="24" t="s">
        <v>3265</v>
      </c>
      <c r="J1239" s="24" t="s">
        <v>2920</v>
      </c>
      <c r="K1239" s="3">
        <v>30</v>
      </c>
      <c r="L1239" s="3" t="s">
        <v>6904</v>
      </c>
      <c r="M1239" s="3" t="str">
        <f>HYPERLINK("http://ictvonline.org/taxonomyHistory.asp?taxnode_id=20151604","ICTVonline=20151604")</f>
        <v>ICTVonline=20151604</v>
      </c>
    </row>
    <row r="1240" spans="1:13" x14ac:dyDescent="0.15">
      <c r="A1240" s="1" t="s">
        <v>1211</v>
      </c>
      <c r="B1240" s="1" t="s">
        <v>1212</v>
      </c>
      <c r="C1240" s="1" t="s">
        <v>4858</v>
      </c>
      <c r="D1240" s="1" t="s">
        <v>433</v>
      </c>
      <c r="E1240" s="1" t="s">
        <v>2085</v>
      </c>
      <c r="F1240" s="3">
        <v>0</v>
      </c>
      <c r="G1240" s="24" t="s">
        <v>4914</v>
      </c>
      <c r="H1240" s="24" t="s">
        <v>4915</v>
      </c>
      <c r="I1240" s="24" t="s">
        <v>3265</v>
      </c>
      <c r="J1240" s="24" t="s">
        <v>2920</v>
      </c>
      <c r="K1240" s="3">
        <v>30</v>
      </c>
      <c r="L1240" s="3" t="s">
        <v>6904</v>
      </c>
      <c r="M1240" s="3" t="str">
        <f>HYPERLINK("http://ictvonline.org/taxonomyHistory.asp?taxnode_id=20151605","ICTVonline=20151605")</f>
        <v>ICTVonline=20151605</v>
      </c>
    </row>
    <row r="1241" spans="1:13" x14ac:dyDescent="0.15">
      <c r="A1241" s="1" t="s">
        <v>1211</v>
      </c>
      <c r="B1241" s="1" t="s">
        <v>1212</v>
      </c>
      <c r="C1241" s="1" t="s">
        <v>4858</v>
      </c>
      <c r="D1241" s="1" t="s">
        <v>433</v>
      </c>
      <c r="E1241" s="1" t="s">
        <v>2086</v>
      </c>
      <c r="F1241" s="3">
        <v>0</v>
      </c>
      <c r="I1241" s="24" t="s">
        <v>3265</v>
      </c>
      <c r="J1241" s="24" t="s">
        <v>2920</v>
      </c>
      <c r="K1241" s="3">
        <v>30</v>
      </c>
      <c r="L1241" s="3" t="s">
        <v>6904</v>
      </c>
      <c r="M1241" s="3" t="str">
        <f>HYPERLINK("http://ictvonline.org/taxonomyHistory.asp?taxnode_id=20151606","ICTVonline=20151606")</f>
        <v>ICTVonline=20151606</v>
      </c>
    </row>
    <row r="1242" spans="1:13" x14ac:dyDescent="0.15">
      <c r="A1242" s="1" t="s">
        <v>1211</v>
      </c>
      <c r="B1242" s="1" t="s">
        <v>1212</v>
      </c>
      <c r="C1242" s="1" t="s">
        <v>4858</v>
      </c>
      <c r="D1242" s="1" t="s">
        <v>433</v>
      </c>
      <c r="E1242" s="1" t="s">
        <v>221</v>
      </c>
      <c r="F1242" s="3">
        <v>0</v>
      </c>
      <c r="I1242" s="24" t="s">
        <v>3265</v>
      </c>
      <c r="J1242" s="24" t="s">
        <v>2920</v>
      </c>
      <c r="K1242" s="3">
        <v>30</v>
      </c>
      <c r="L1242" s="3" t="s">
        <v>6904</v>
      </c>
      <c r="M1242" s="3" t="str">
        <f>HYPERLINK("http://ictvonline.org/taxonomyHistory.asp?taxnode_id=20151607","ICTVonline=20151607")</f>
        <v>ICTVonline=20151607</v>
      </c>
    </row>
    <row r="1243" spans="1:13" x14ac:dyDescent="0.15">
      <c r="A1243" s="1" t="s">
        <v>1211</v>
      </c>
      <c r="B1243" s="1" t="s">
        <v>1212</v>
      </c>
      <c r="C1243" s="1" t="s">
        <v>4858</v>
      </c>
      <c r="D1243" s="1" t="s">
        <v>433</v>
      </c>
      <c r="E1243" s="1" t="s">
        <v>2355</v>
      </c>
      <c r="F1243" s="3">
        <v>0</v>
      </c>
      <c r="G1243" s="24" t="s">
        <v>4916</v>
      </c>
      <c r="H1243" s="24" t="s">
        <v>4917</v>
      </c>
      <c r="I1243" s="24" t="s">
        <v>3265</v>
      </c>
      <c r="J1243" s="24" t="s">
        <v>2920</v>
      </c>
      <c r="K1243" s="3">
        <v>30</v>
      </c>
      <c r="L1243" s="3" t="s">
        <v>6904</v>
      </c>
      <c r="M1243" s="3" t="str">
        <f>HYPERLINK("http://ictvonline.org/taxonomyHistory.asp?taxnode_id=20151608","ICTVonline=20151608")</f>
        <v>ICTVonline=20151608</v>
      </c>
    </row>
    <row r="1244" spans="1:13" x14ac:dyDescent="0.15">
      <c r="A1244" s="1" t="s">
        <v>1211</v>
      </c>
      <c r="B1244" s="1" t="s">
        <v>1212</v>
      </c>
      <c r="C1244" s="1" t="s">
        <v>4858</v>
      </c>
      <c r="D1244" s="1" t="s">
        <v>433</v>
      </c>
      <c r="E1244" s="4" t="s">
        <v>222</v>
      </c>
      <c r="F1244" s="3">
        <v>0</v>
      </c>
      <c r="G1244" s="25" t="s">
        <v>4918</v>
      </c>
      <c r="H1244" s="25" t="s">
        <v>4919</v>
      </c>
      <c r="I1244" s="25" t="s">
        <v>3265</v>
      </c>
      <c r="J1244" s="25" t="s">
        <v>2920</v>
      </c>
      <c r="K1244" s="3">
        <v>30</v>
      </c>
      <c r="L1244" s="3" t="s">
        <v>6904</v>
      </c>
      <c r="M1244" s="3" t="str">
        <f>HYPERLINK("http://ictvonline.org/taxonomyHistory.asp?taxnode_id=20151609","ICTVonline=20151609")</f>
        <v>ICTVonline=20151609</v>
      </c>
    </row>
    <row r="1245" spans="1:13" x14ac:dyDescent="0.15">
      <c r="A1245" s="1" t="s">
        <v>1211</v>
      </c>
      <c r="B1245" s="1" t="s">
        <v>1212</v>
      </c>
      <c r="C1245" s="1" t="s">
        <v>4858</v>
      </c>
      <c r="D1245" s="1" t="s">
        <v>433</v>
      </c>
      <c r="E1245" s="1" t="s">
        <v>223</v>
      </c>
      <c r="F1245" s="3">
        <v>0</v>
      </c>
      <c r="I1245" s="24" t="s">
        <v>3265</v>
      </c>
      <c r="J1245" s="24" t="s">
        <v>2920</v>
      </c>
      <c r="K1245" s="3">
        <v>30</v>
      </c>
      <c r="L1245" s="3" t="s">
        <v>6904</v>
      </c>
      <c r="M1245" s="3" t="str">
        <f>HYPERLINK("http://ictvonline.org/taxonomyHistory.asp?taxnode_id=20151610","ICTVonline=20151610")</f>
        <v>ICTVonline=20151610</v>
      </c>
    </row>
    <row r="1246" spans="1:13" x14ac:dyDescent="0.15">
      <c r="A1246" s="1" t="s">
        <v>1211</v>
      </c>
      <c r="B1246" s="1" t="s">
        <v>1212</v>
      </c>
      <c r="C1246" s="1" t="s">
        <v>4858</v>
      </c>
      <c r="D1246" s="1" t="s">
        <v>226</v>
      </c>
      <c r="E1246" s="1" t="s">
        <v>227</v>
      </c>
      <c r="F1246" s="3">
        <v>1</v>
      </c>
      <c r="G1246" s="24" t="s">
        <v>4920</v>
      </c>
      <c r="H1246" s="24" t="s">
        <v>4921</v>
      </c>
      <c r="I1246" s="24" t="s">
        <v>3265</v>
      </c>
      <c r="J1246" s="24" t="s">
        <v>2920</v>
      </c>
      <c r="K1246" s="3">
        <v>30</v>
      </c>
      <c r="L1246" s="3" t="s">
        <v>6904</v>
      </c>
      <c r="M1246" s="3" t="str">
        <f>HYPERLINK("http://ictvonline.org/taxonomyHistory.asp?taxnode_id=20151614","ICTVonline=20151614")</f>
        <v>ICTVonline=20151614</v>
      </c>
    </row>
    <row r="1247" spans="1:13" x14ac:dyDescent="0.15">
      <c r="A1247" s="1" t="s">
        <v>1211</v>
      </c>
      <c r="B1247" s="1" t="s">
        <v>1212</v>
      </c>
      <c r="C1247" s="1" t="s">
        <v>4858</v>
      </c>
      <c r="D1247" s="1" t="s">
        <v>226</v>
      </c>
      <c r="E1247" s="1" t="s">
        <v>228</v>
      </c>
      <c r="F1247" s="3">
        <v>0</v>
      </c>
      <c r="G1247" s="24" t="s">
        <v>4922</v>
      </c>
      <c r="H1247" s="24" t="s">
        <v>4923</v>
      </c>
      <c r="I1247" s="24" t="s">
        <v>3265</v>
      </c>
      <c r="J1247" s="24" t="s">
        <v>2920</v>
      </c>
      <c r="K1247" s="3">
        <v>30</v>
      </c>
      <c r="L1247" s="3" t="s">
        <v>6904</v>
      </c>
      <c r="M1247" s="3" t="str">
        <f>HYPERLINK("http://ictvonline.org/taxonomyHistory.asp?taxnode_id=20151615","ICTVonline=20151615")</f>
        <v>ICTVonline=20151615</v>
      </c>
    </row>
    <row r="1248" spans="1:13" x14ac:dyDescent="0.15">
      <c r="A1248" s="1" t="s">
        <v>1211</v>
      </c>
      <c r="B1248" s="1" t="s">
        <v>1212</v>
      </c>
      <c r="C1248" s="1" t="s">
        <v>4858</v>
      </c>
      <c r="D1248" s="1" t="s">
        <v>226</v>
      </c>
      <c r="E1248" s="1" t="s">
        <v>2356</v>
      </c>
      <c r="F1248" s="3">
        <v>0</v>
      </c>
      <c r="G1248" s="24" t="s">
        <v>4924</v>
      </c>
      <c r="H1248" s="24" t="s">
        <v>4925</v>
      </c>
      <c r="I1248" s="24" t="s">
        <v>3265</v>
      </c>
      <c r="J1248" s="24" t="s">
        <v>2920</v>
      </c>
      <c r="K1248" s="3">
        <v>30</v>
      </c>
      <c r="L1248" s="3" t="s">
        <v>6904</v>
      </c>
      <c r="M1248" s="3" t="str">
        <f>HYPERLINK("http://ictvonline.org/taxonomyHistory.asp?taxnode_id=20151616","ICTVonline=20151616")</f>
        <v>ICTVonline=20151616</v>
      </c>
    </row>
    <row r="1249" spans="1:13" x14ac:dyDescent="0.15">
      <c r="A1249" s="1" t="s">
        <v>1211</v>
      </c>
      <c r="B1249" s="1" t="s">
        <v>1212</v>
      </c>
      <c r="C1249" s="1" t="s">
        <v>4858</v>
      </c>
      <c r="D1249" s="1" t="s">
        <v>226</v>
      </c>
      <c r="E1249" s="1" t="s">
        <v>354</v>
      </c>
      <c r="F1249" s="3">
        <v>0</v>
      </c>
      <c r="G1249" s="24" t="s">
        <v>4926</v>
      </c>
      <c r="H1249" s="24" t="s">
        <v>4927</v>
      </c>
      <c r="I1249" s="24" t="s">
        <v>3265</v>
      </c>
      <c r="J1249" s="24" t="s">
        <v>2920</v>
      </c>
      <c r="K1249" s="3">
        <v>30</v>
      </c>
      <c r="L1249" s="3" t="s">
        <v>6904</v>
      </c>
      <c r="M1249" s="3" t="str">
        <f>HYPERLINK("http://ictvonline.org/taxonomyHistory.asp?taxnode_id=20151617","ICTVonline=20151617")</f>
        <v>ICTVonline=20151617</v>
      </c>
    </row>
    <row r="1250" spans="1:13" x14ac:dyDescent="0.15">
      <c r="A1250" s="1" t="s">
        <v>1211</v>
      </c>
      <c r="B1250" s="1" t="s">
        <v>1212</v>
      </c>
      <c r="C1250" s="1" t="s">
        <v>4858</v>
      </c>
      <c r="D1250" s="1" t="s">
        <v>226</v>
      </c>
      <c r="E1250" s="1" t="s">
        <v>2256</v>
      </c>
      <c r="F1250" s="3">
        <v>0</v>
      </c>
      <c r="G1250" s="24" t="s">
        <v>4928</v>
      </c>
      <c r="H1250" s="24" t="s">
        <v>4929</v>
      </c>
      <c r="I1250" s="24" t="s">
        <v>3265</v>
      </c>
      <c r="J1250" s="24" t="s">
        <v>2920</v>
      </c>
      <c r="K1250" s="3">
        <v>30</v>
      </c>
      <c r="L1250" s="3" t="s">
        <v>6904</v>
      </c>
      <c r="M1250" s="3" t="str">
        <f>HYPERLINK("http://ictvonline.org/taxonomyHistory.asp?taxnode_id=20151618","ICTVonline=20151618")</f>
        <v>ICTVonline=20151618</v>
      </c>
    </row>
    <row r="1251" spans="1:13" x14ac:dyDescent="0.15">
      <c r="A1251" s="1" t="s">
        <v>1211</v>
      </c>
      <c r="B1251" s="1" t="s">
        <v>1212</v>
      </c>
      <c r="C1251" s="1" t="s">
        <v>4858</v>
      </c>
      <c r="D1251" s="1" t="s">
        <v>226</v>
      </c>
      <c r="E1251" s="1" t="s">
        <v>2478</v>
      </c>
      <c r="F1251" s="3">
        <v>0</v>
      </c>
      <c r="G1251" s="24" t="s">
        <v>4930</v>
      </c>
      <c r="H1251" s="24" t="s">
        <v>4931</v>
      </c>
      <c r="I1251" s="24" t="s">
        <v>3265</v>
      </c>
      <c r="J1251" s="24" t="s">
        <v>2920</v>
      </c>
      <c r="K1251" s="3">
        <v>30</v>
      </c>
      <c r="L1251" s="3" t="s">
        <v>6904</v>
      </c>
      <c r="M1251" s="3" t="str">
        <f>HYPERLINK("http://ictvonline.org/taxonomyHistory.asp?taxnode_id=20151619","ICTVonline=20151619")</f>
        <v>ICTVonline=20151619</v>
      </c>
    </row>
    <row r="1252" spans="1:13" x14ac:dyDescent="0.15">
      <c r="A1252" s="1" t="s">
        <v>1211</v>
      </c>
      <c r="B1252" s="1" t="s">
        <v>1212</v>
      </c>
      <c r="C1252" s="1" t="s">
        <v>4858</v>
      </c>
      <c r="D1252" s="1" t="s">
        <v>4932</v>
      </c>
      <c r="E1252" s="1" t="s">
        <v>1604</v>
      </c>
      <c r="F1252" s="3">
        <v>0</v>
      </c>
      <c r="G1252" s="24" t="s">
        <v>4933</v>
      </c>
      <c r="H1252" s="24" t="s">
        <v>4934</v>
      </c>
      <c r="I1252" s="24" t="s">
        <v>3265</v>
      </c>
      <c r="J1252" s="24" t="s">
        <v>2920</v>
      </c>
      <c r="K1252" s="3">
        <v>30</v>
      </c>
      <c r="L1252" s="3" t="s">
        <v>6904</v>
      </c>
      <c r="M1252" s="3" t="str">
        <f>HYPERLINK("http://ictvonline.org/taxonomyHistory.asp?taxnode_id=20151632","ICTVonline=20151632")</f>
        <v>ICTVonline=20151632</v>
      </c>
    </row>
    <row r="1253" spans="1:13" x14ac:dyDescent="0.15">
      <c r="A1253" s="1" t="s">
        <v>1211</v>
      </c>
      <c r="B1253" s="1" t="s">
        <v>1212</v>
      </c>
      <c r="C1253" s="1" t="s">
        <v>4858</v>
      </c>
      <c r="D1253" s="1" t="s">
        <v>4932</v>
      </c>
      <c r="E1253" s="1" t="s">
        <v>2113</v>
      </c>
      <c r="F1253" s="3">
        <v>0</v>
      </c>
      <c r="G1253" s="24" t="s">
        <v>4935</v>
      </c>
      <c r="H1253" s="24" t="s">
        <v>4936</v>
      </c>
      <c r="I1253" s="24" t="s">
        <v>3265</v>
      </c>
      <c r="J1253" s="24" t="s">
        <v>2920</v>
      </c>
      <c r="K1253" s="3">
        <v>30</v>
      </c>
      <c r="L1253" s="3" t="s">
        <v>6904</v>
      </c>
      <c r="M1253" s="3" t="str">
        <f>HYPERLINK("http://ictvonline.org/taxonomyHistory.asp?taxnode_id=20151636","ICTVonline=20151636")</f>
        <v>ICTVonline=20151636</v>
      </c>
    </row>
    <row r="1254" spans="1:13" x14ac:dyDescent="0.15">
      <c r="A1254" s="1" t="s">
        <v>1211</v>
      </c>
      <c r="B1254" s="1" t="s">
        <v>1212</v>
      </c>
      <c r="C1254" s="1" t="s">
        <v>4858</v>
      </c>
      <c r="D1254" s="1" t="s">
        <v>4932</v>
      </c>
      <c r="E1254" s="1" t="s">
        <v>2114</v>
      </c>
      <c r="F1254" s="3">
        <v>1</v>
      </c>
      <c r="G1254" s="24" t="s">
        <v>4937</v>
      </c>
      <c r="H1254" s="24" t="s">
        <v>4938</v>
      </c>
      <c r="I1254" s="24" t="s">
        <v>3265</v>
      </c>
      <c r="J1254" s="24" t="s">
        <v>2920</v>
      </c>
      <c r="K1254" s="3">
        <v>30</v>
      </c>
      <c r="L1254" s="3" t="s">
        <v>6904</v>
      </c>
      <c r="M1254" s="3" t="str">
        <f>HYPERLINK("http://ictvonline.org/taxonomyHistory.asp?taxnode_id=20151637","ICTVonline=20151637")</f>
        <v>ICTVonline=20151637</v>
      </c>
    </row>
    <row r="1255" spans="1:13" x14ac:dyDescent="0.15">
      <c r="A1255" s="1" t="s">
        <v>1211</v>
      </c>
      <c r="B1255" s="1" t="s">
        <v>1212</v>
      </c>
      <c r="C1255" s="1" t="s">
        <v>4858</v>
      </c>
      <c r="D1255" s="1" t="s">
        <v>4932</v>
      </c>
      <c r="E1255" s="1" t="s">
        <v>4939</v>
      </c>
      <c r="F1255" s="3">
        <v>1</v>
      </c>
      <c r="G1255" s="24" t="s">
        <v>7487</v>
      </c>
      <c r="H1255" s="24" t="s">
        <v>4940</v>
      </c>
      <c r="I1255" s="24" t="s">
        <v>3265</v>
      </c>
      <c r="J1255" s="24" t="s">
        <v>2919</v>
      </c>
      <c r="K1255" s="3">
        <v>30</v>
      </c>
      <c r="L1255" s="3" t="s">
        <v>6904</v>
      </c>
      <c r="M1255" s="3" t="str">
        <f>HYPERLINK("http://ictvonline.org/taxonomyHistory.asp?taxnode_id=20151663","ICTVonline=20151663")</f>
        <v>ICTVonline=20151663</v>
      </c>
    </row>
    <row r="1256" spans="1:13" x14ac:dyDescent="0.15">
      <c r="A1256" s="1" t="s">
        <v>1211</v>
      </c>
      <c r="B1256" s="1" t="s">
        <v>1212</v>
      </c>
      <c r="C1256" s="1" t="s">
        <v>4858</v>
      </c>
      <c r="D1256" s="1" t="s">
        <v>4932</v>
      </c>
      <c r="E1256" s="1" t="s">
        <v>4941</v>
      </c>
      <c r="F1256" s="3">
        <v>0</v>
      </c>
      <c r="G1256" s="24" t="s">
        <v>7488</v>
      </c>
      <c r="H1256" s="24" t="s">
        <v>4942</v>
      </c>
      <c r="I1256" s="24" t="s">
        <v>3265</v>
      </c>
      <c r="J1256" s="24" t="s">
        <v>2919</v>
      </c>
      <c r="K1256" s="3">
        <v>30</v>
      </c>
      <c r="L1256" s="3" t="s">
        <v>6904</v>
      </c>
      <c r="M1256" s="3" t="str">
        <f>HYPERLINK("http://ictvonline.org/taxonomyHistory.asp?taxnode_id=20151664","ICTVonline=20151664")</f>
        <v>ICTVonline=20151664</v>
      </c>
    </row>
    <row r="1257" spans="1:13" x14ac:dyDescent="0.15">
      <c r="A1257" s="1" t="s">
        <v>1211</v>
      </c>
      <c r="B1257" s="1" t="s">
        <v>1212</v>
      </c>
      <c r="C1257" s="1" t="s">
        <v>4858</v>
      </c>
      <c r="D1257" s="1" t="s">
        <v>934</v>
      </c>
      <c r="E1257" s="1" t="s">
        <v>2224</v>
      </c>
      <c r="F1257" s="3">
        <v>0</v>
      </c>
      <c r="G1257" s="24" t="s">
        <v>4943</v>
      </c>
      <c r="H1257" s="24" t="s">
        <v>4944</v>
      </c>
      <c r="I1257" s="24" t="s">
        <v>3265</v>
      </c>
      <c r="J1257" s="24" t="s">
        <v>2920</v>
      </c>
      <c r="K1257" s="3">
        <v>30</v>
      </c>
      <c r="L1257" s="3" t="s">
        <v>6904</v>
      </c>
      <c r="M1257" s="3" t="str">
        <f>HYPERLINK("http://ictvonline.org/taxonomyHistory.asp?taxnode_id=20151634","ICTVonline=20151634")</f>
        <v>ICTVonline=20151634</v>
      </c>
    </row>
    <row r="1258" spans="1:13" x14ac:dyDescent="0.15">
      <c r="A1258" s="1" t="s">
        <v>1211</v>
      </c>
      <c r="B1258" s="1" t="s">
        <v>1212</v>
      </c>
      <c r="C1258" s="1" t="s">
        <v>4858</v>
      </c>
      <c r="D1258" s="1" t="s">
        <v>934</v>
      </c>
      <c r="E1258" s="1" t="s">
        <v>2359</v>
      </c>
      <c r="F1258" s="3">
        <v>0</v>
      </c>
      <c r="I1258" s="24" t="s">
        <v>3265</v>
      </c>
      <c r="J1258" s="24" t="s">
        <v>2920</v>
      </c>
      <c r="K1258" s="3">
        <v>30</v>
      </c>
      <c r="L1258" s="3" t="s">
        <v>6904</v>
      </c>
      <c r="M1258" s="3" t="str">
        <f>HYPERLINK("http://ictvonline.org/taxonomyHistory.asp?taxnode_id=20151635","ICTVonline=20151635")</f>
        <v>ICTVonline=20151635</v>
      </c>
    </row>
    <row r="1259" spans="1:13" x14ac:dyDescent="0.15">
      <c r="A1259" s="1" t="s">
        <v>1211</v>
      </c>
      <c r="B1259" s="1" t="s">
        <v>1212</v>
      </c>
      <c r="C1259" s="1" t="s">
        <v>4858</v>
      </c>
      <c r="D1259" s="1" t="s">
        <v>934</v>
      </c>
      <c r="E1259" s="1" t="s">
        <v>1605</v>
      </c>
      <c r="F1259" s="3">
        <v>0</v>
      </c>
      <c r="G1259" s="24" t="s">
        <v>4945</v>
      </c>
      <c r="H1259" s="24" t="s">
        <v>4757</v>
      </c>
      <c r="I1259" s="24" t="s">
        <v>3265</v>
      </c>
      <c r="J1259" s="24" t="s">
        <v>2920</v>
      </c>
      <c r="K1259" s="3">
        <v>30</v>
      </c>
      <c r="L1259" s="3" t="s">
        <v>6904</v>
      </c>
      <c r="M1259" s="3" t="str">
        <f>HYPERLINK("http://ictvonline.org/taxonomyHistory.asp?taxnode_id=20151641","ICTVonline=20151641")</f>
        <v>ICTVonline=20151641</v>
      </c>
    </row>
    <row r="1260" spans="1:13" x14ac:dyDescent="0.15">
      <c r="A1260" s="1" t="s">
        <v>1211</v>
      </c>
      <c r="B1260" s="1" t="s">
        <v>1212</v>
      </c>
      <c r="C1260" s="1" t="s">
        <v>4946</v>
      </c>
      <c r="D1260" s="1" t="s">
        <v>294</v>
      </c>
      <c r="E1260" s="1" t="s">
        <v>431</v>
      </c>
      <c r="F1260" s="3">
        <v>1</v>
      </c>
      <c r="G1260" s="24" t="s">
        <v>4947</v>
      </c>
      <c r="H1260" s="24" t="s">
        <v>4948</v>
      </c>
      <c r="I1260" s="24" t="s">
        <v>3265</v>
      </c>
      <c r="J1260" s="24" t="s">
        <v>2920</v>
      </c>
      <c r="K1260" s="3">
        <v>30</v>
      </c>
      <c r="L1260" s="3" t="s">
        <v>6904</v>
      </c>
      <c r="M1260" s="3" t="str">
        <f>HYPERLINK("http://ictvonline.org/taxonomyHistory.asp?taxnode_id=20151556","ICTVonline=20151556")</f>
        <v>ICTVonline=20151556</v>
      </c>
    </row>
    <row r="1261" spans="1:13" x14ac:dyDescent="0.15">
      <c r="A1261" s="1" t="s">
        <v>1211</v>
      </c>
      <c r="B1261" s="1" t="s">
        <v>1212</v>
      </c>
      <c r="C1261" s="1" t="s">
        <v>4946</v>
      </c>
      <c r="D1261" s="1" t="s">
        <v>294</v>
      </c>
      <c r="E1261" s="1" t="s">
        <v>432</v>
      </c>
      <c r="F1261" s="3">
        <v>0</v>
      </c>
      <c r="G1261" s="24" t="s">
        <v>4949</v>
      </c>
      <c r="H1261" s="24" t="s">
        <v>4950</v>
      </c>
      <c r="I1261" s="24" t="s">
        <v>3265</v>
      </c>
      <c r="J1261" s="24" t="s">
        <v>2920</v>
      </c>
      <c r="K1261" s="3">
        <v>30</v>
      </c>
      <c r="L1261" s="3" t="s">
        <v>6904</v>
      </c>
      <c r="M1261" s="3" t="str">
        <f>HYPERLINK("http://ictvonline.org/taxonomyHistory.asp?taxnode_id=20151557","ICTVonline=20151557")</f>
        <v>ICTVonline=20151557</v>
      </c>
    </row>
    <row r="1262" spans="1:13" x14ac:dyDescent="0.15">
      <c r="A1262" s="1" t="s">
        <v>1211</v>
      </c>
      <c r="B1262" s="1" t="s">
        <v>1212</v>
      </c>
      <c r="C1262" s="1" t="s">
        <v>4946</v>
      </c>
      <c r="D1262" s="1" t="s">
        <v>4951</v>
      </c>
      <c r="E1262" s="1" t="s">
        <v>4952</v>
      </c>
      <c r="F1262" s="3">
        <v>1</v>
      </c>
      <c r="G1262" s="24" t="s">
        <v>7489</v>
      </c>
      <c r="H1262" s="24" t="s">
        <v>4953</v>
      </c>
      <c r="I1262" s="24" t="s">
        <v>3265</v>
      </c>
      <c r="J1262" s="24" t="s">
        <v>2919</v>
      </c>
      <c r="K1262" s="3">
        <v>30</v>
      </c>
      <c r="L1262" s="3" t="s">
        <v>6904</v>
      </c>
      <c r="M1262" s="3" t="str">
        <f>HYPERLINK("http://ictvonline.org/taxonomyHistory.asp?taxnode_id=20151657","ICTVonline=20151657")</f>
        <v>ICTVonline=20151657</v>
      </c>
    </row>
    <row r="1263" spans="1:13" x14ac:dyDescent="0.15">
      <c r="A1263" s="1" t="s">
        <v>1211</v>
      </c>
      <c r="B1263" s="1" t="s">
        <v>1212</v>
      </c>
      <c r="C1263" s="1" t="s">
        <v>4946</v>
      </c>
      <c r="D1263" s="1" t="s">
        <v>4951</v>
      </c>
      <c r="E1263" s="1" t="s">
        <v>4954</v>
      </c>
      <c r="F1263" s="3">
        <v>0</v>
      </c>
      <c r="G1263" s="24" t="s">
        <v>7490</v>
      </c>
      <c r="H1263" s="24" t="s">
        <v>4955</v>
      </c>
      <c r="I1263" s="24" t="s">
        <v>3265</v>
      </c>
      <c r="J1263" s="24" t="s">
        <v>2919</v>
      </c>
      <c r="K1263" s="3">
        <v>30</v>
      </c>
      <c r="L1263" s="3" t="s">
        <v>6904</v>
      </c>
      <c r="M1263" s="3" t="str">
        <f>HYPERLINK("http://ictvonline.org/taxonomyHistory.asp?taxnode_id=20151658","ICTVonline=20151658")</f>
        <v>ICTVonline=20151658</v>
      </c>
    </row>
    <row r="1264" spans="1:13" x14ac:dyDescent="0.15">
      <c r="A1264" s="1" t="s">
        <v>1211</v>
      </c>
      <c r="B1264" s="1" t="s">
        <v>1212</v>
      </c>
      <c r="C1264" s="1" t="s">
        <v>4946</v>
      </c>
      <c r="D1264" s="1" t="s">
        <v>224</v>
      </c>
      <c r="E1264" s="1" t="s">
        <v>225</v>
      </c>
      <c r="F1264" s="3">
        <v>1</v>
      </c>
      <c r="G1264" s="24" t="s">
        <v>4956</v>
      </c>
      <c r="H1264" s="24" t="s">
        <v>4957</v>
      </c>
      <c r="I1264" s="24" t="s">
        <v>3265</v>
      </c>
      <c r="J1264" s="24" t="s">
        <v>2920</v>
      </c>
      <c r="K1264" s="3">
        <v>30</v>
      </c>
      <c r="L1264" s="3" t="s">
        <v>6904</v>
      </c>
      <c r="M1264" s="3" t="str">
        <f>HYPERLINK("http://ictvonline.org/taxonomyHistory.asp?taxnode_id=20151612","ICTVonline=20151612")</f>
        <v>ICTVonline=20151612</v>
      </c>
    </row>
    <row r="1265" spans="1:13" x14ac:dyDescent="0.15">
      <c r="A1265" s="1" t="s">
        <v>1211</v>
      </c>
      <c r="B1265" s="1" t="s">
        <v>1212</v>
      </c>
      <c r="C1265" s="1" t="s">
        <v>4946</v>
      </c>
      <c r="D1265" s="1" t="s">
        <v>4958</v>
      </c>
      <c r="E1265" s="1" t="s">
        <v>2479</v>
      </c>
      <c r="F1265" s="3">
        <v>1</v>
      </c>
      <c r="G1265" s="24" t="s">
        <v>4959</v>
      </c>
      <c r="H1265" s="24" t="s">
        <v>7491</v>
      </c>
      <c r="I1265" s="24" t="s">
        <v>3265</v>
      </c>
      <c r="J1265" s="24" t="s">
        <v>2920</v>
      </c>
      <c r="K1265" s="3">
        <v>30</v>
      </c>
      <c r="L1265" s="3" t="s">
        <v>6904</v>
      </c>
      <c r="M1265" s="3" t="str">
        <f>HYPERLINK("http://ictvonline.org/taxonomyHistory.asp?taxnode_id=20151638","ICTVonline=20151638")</f>
        <v>ICTVonline=20151638</v>
      </c>
    </row>
    <row r="1266" spans="1:13" x14ac:dyDescent="0.15">
      <c r="A1266" s="1" t="s">
        <v>1211</v>
      </c>
      <c r="B1266" s="1" t="s">
        <v>1212</v>
      </c>
      <c r="C1266" s="1" t="s">
        <v>4946</v>
      </c>
      <c r="D1266" s="1" t="s">
        <v>4958</v>
      </c>
      <c r="E1266" s="1" t="s">
        <v>2480</v>
      </c>
      <c r="F1266" s="3">
        <v>0</v>
      </c>
      <c r="G1266" s="24" t="s">
        <v>4960</v>
      </c>
      <c r="H1266" s="24" t="s">
        <v>7491</v>
      </c>
      <c r="I1266" s="24" t="s">
        <v>3265</v>
      </c>
      <c r="J1266" s="24" t="s">
        <v>2920</v>
      </c>
      <c r="K1266" s="3">
        <v>30</v>
      </c>
      <c r="L1266" s="3" t="s">
        <v>6904</v>
      </c>
      <c r="M1266" s="3" t="str">
        <f>HYPERLINK("http://ictvonline.org/taxonomyHistory.asp?taxnode_id=20151639","ICTVonline=20151639")</f>
        <v>ICTVonline=20151639</v>
      </c>
    </row>
    <row r="1267" spans="1:13" x14ac:dyDescent="0.15">
      <c r="A1267" s="1" t="s">
        <v>1211</v>
      </c>
      <c r="B1267" s="1" t="s">
        <v>1212</v>
      </c>
      <c r="C1267" s="1" t="s">
        <v>4946</v>
      </c>
      <c r="D1267" s="1" t="s">
        <v>4958</v>
      </c>
      <c r="E1267" s="1" t="s">
        <v>2360</v>
      </c>
      <c r="F1267" s="3">
        <v>0</v>
      </c>
      <c r="G1267" s="24" t="s">
        <v>4961</v>
      </c>
      <c r="H1267" s="24" t="s">
        <v>4962</v>
      </c>
      <c r="I1267" s="24" t="s">
        <v>3265</v>
      </c>
      <c r="J1267" s="24" t="s">
        <v>2920</v>
      </c>
      <c r="K1267" s="3">
        <v>30</v>
      </c>
      <c r="L1267" s="3" t="s">
        <v>6904</v>
      </c>
      <c r="M1267" s="3" t="str">
        <f>HYPERLINK("http://ictvonline.org/taxonomyHistory.asp?taxnode_id=20151640","ICTVonline=20151640")</f>
        <v>ICTVonline=20151640</v>
      </c>
    </row>
    <row r="1268" spans="1:13" x14ac:dyDescent="0.15">
      <c r="A1268" s="1" t="s">
        <v>1211</v>
      </c>
      <c r="B1268" s="1" t="s">
        <v>1212</v>
      </c>
      <c r="C1268" s="1" t="s">
        <v>4946</v>
      </c>
      <c r="D1268" s="1" t="s">
        <v>4963</v>
      </c>
      <c r="E1268" s="1" t="s">
        <v>4964</v>
      </c>
      <c r="F1268" s="3">
        <v>1</v>
      </c>
      <c r="G1268" s="24" t="s">
        <v>7492</v>
      </c>
      <c r="H1268" s="24" t="s">
        <v>4965</v>
      </c>
      <c r="I1268" s="24" t="s">
        <v>3265</v>
      </c>
      <c r="J1268" s="24" t="s">
        <v>2919</v>
      </c>
      <c r="K1268" s="3">
        <v>30</v>
      </c>
      <c r="L1268" s="3" t="s">
        <v>6904</v>
      </c>
      <c r="M1268" s="3" t="str">
        <f>HYPERLINK("http://ictvonline.org/taxonomyHistory.asp?taxnode_id=20151653","ICTVonline=20151653")</f>
        <v>ICTVonline=20151653</v>
      </c>
    </row>
    <row r="1269" spans="1:13" x14ac:dyDescent="0.15">
      <c r="A1269" s="1" t="s">
        <v>1211</v>
      </c>
      <c r="B1269" s="1" t="s">
        <v>1212</v>
      </c>
      <c r="C1269" s="1" t="s">
        <v>4946</v>
      </c>
      <c r="D1269" s="1" t="s">
        <v>4963</v>
      </c>
      <c r="E1269" s="1" t="s">
        <v>4966</v>
      </c>
      <c r="F1269" s="3">
        <v>0</v>
      </c>
      <c r="G1269" s="24" t="s">
        <v>7493</v>
      </c>
      <c r="H1269" s="24" t="s">
        <v>4967</v>
      </c>
      <c r="I1269" s="24" t="s">
        <v>3265</v>
      </c>
      <c r="J1269" s="24" t="s">
        <v>2919</v>
      </c>
      <c r="K1269" s="3">
        <v>30</v>
      </c>
      <c r="L1269" s="3" t="s">
        <v>6904</v>
      </c>
      <c r="M1269" s="3" t="str">
        <f>HYPERLINK("http://ictvonline.org/taxonomyHistory.asp?taxnode_id=20151654","ICTVonline=20151654")</f>
        <v>ICTVonline=20151654</v>
      </c>
    </row>
    <row r="1270" spans="1:13" x14ac:dyDescent="0.15">
      <c r="A1270" s="1" t="s">
        <v>1211</v>
      </c>
      <c r="B1270" s="1" t="s">
        <v>1212</v>
      </c>
      <c r="C1270" s="1" t="s">
        <v>4946</v>
      </c>
      <c r="D1270" s="1" t="s">
        <v>12</v>
      </c>
      <c r="E1270" s="1" t="s">
        <v>2115</v>
      </c>
      <c r="F1270" s="3">
        <v>1</v>
      </c>
      <c r="G1270" s="24" t="s">
        <v>4968</v>
      </c>
      <c r="H1270" s="24" t="s">
        <v>4969</v>
      </c>
      <c r="I1270" s="24" t="s">
        <v>3265</v>
      </c>
      <c r="J1270" s="24" t="s">
        <v>2920</v>
      </c>
      <c r="K1270" s="3">
        <v>30</v>
      </c>
      <c r="L1270" s="3" t="s">
        <v>6904</v>
      </c>
      <c r="M1270" s="3" t="str">
        <f>HYPERLINK("http://ictvonline.org/taxonomyHistory.asp?taxnode_id=20151621","ICTVonline=20151621")</f>
        <v>ICTVonline=20151621</v>
      </c>
    </row>
    <row r="1271" spans="1:13" x14ac:dyDescent="0.15">
      <c r="A1271" s="1" t="s">
        <v>1211</v>
      </c>
      <c r="B1271" s="1" t="s">
        <v>1212</v>
      </c>
      <c r="C1271" s="1" t="s">
        <v>4946</v>
      </c>
      <c r="D1271" s="1" t="s">
        <v>12</v>
      </c>
      <c r="E1271" s="1" t="s">
        <v>4970</v>
      </c>
      <c r="F1271" s="3">
        <v>0</v>
      </c>
      <c r="G1271" s="24" t="s">
        <v>7494</v>
      </c>
      <c r="H1271" s="24" t="s">
        <v>4971</v>
      </c>
      <c r="I1271" s="24" t="s">
        <v>3265</v>
      </c>
      <c r="J1271" s="24" t="s">
        <v>2919</v>
      </c>
      <c r="K1271" s="3">
        <v>30</v>
      </c>
      <c r="L1271" s="3" t="s">
        <v>6904</v>
      </c>
      <c r="M1271" s="3" t="str">
        <f>HYPERLINK("http://ictvonline.org/taxonomyHistory.asp?taxnode_id=20151622","ICTVonline=20151622")</f>
        <v>ICTVonline=20151622</v>
      </c>
    </row>
    <row r="1272" spans="1:13" x14ac:dyDescent="0.15">
      <c r="A1272" s="1" t="s">
        <v>1211</v>
      </c>
      <c r="B1272" s="1" t="s">
        <v>1212</v>
      </c>
      <c r="C1272" s="1" t="s">
        <v>4946</v>
      </c>
      <c r="D1272" s="1" t="s">
        <v>359</v>
      </c>
      <c r="E1272" s="1" t="s">
        <v>1547</v>
      </c>
      <c r="F1272" s="3">
        <v>1</v>
      </c>
      <c r="G1272" s="24" t="s">
        <v>4972</v>
      </c>
      <c r="H1272" s="24" t="s">
        <v>4973</v>
      </c>
      <c r="I1272" s="24" t="s">
        <v>3265</v>
      </c>
      <c r="J1272" s="24" t="s">
        <v>2920</v>
      </c>
      <c r="K1272" s="3">
        <v>30</v>
      </c>
      <c r="L1272" s="3" t="s">
        <v>6904</v>
      </c>
      <c r="M1272" s="3" t="str">
        <f>HYPERLINK("http://ictvonline.org/taxonomyHistory.asp?taxnode_id=20151624","ICTVonline=20151624")</f>
        <v>ICTVonline=20151624</v>
      </c>
    </row>
    <row r="1273" spans="1:13" x14ac:dyDescent="0.15">
      <c r="A1273" s="1" t="s">
        <v>1211</v>
      </c>
      <c r="B1273" s="1" t="s">
        <v>1212</v>
      </c>
      <c r="C1273" s="1" t="s">
        <v>4946</v>
      </c>
      <c r="D1273" s="1" t="s">
        <v>359</v>
      </c>
      <c r="E1273" s="1" t="s">
        <v>2220</v>
      </c>
      <c r="F1273" s="3">
        <v>0</v>
      </c>
      <c r="G1273" s="24" t="s">
        <v>4974</v>
      </c>
      <c r="H1273" s="24" t="s">
        <v>4975</v>
      </c>
      <c r="I1273" s="24" t="s">
        <v>3265</v>
      </c>
      <c r="J1273" s="24" t="s">
        <v>2920</v>
      </c>
      <c r="K1273" s="3">
        <v>30</v>
      </c>
      <c r="L1273" s="3" t="s">
        <v>6904</v>
      </c>
      <c r="M1273" s="3" t="str">
        <f>HYPERLINK("http://ictvonline.org/taxonomyHistory.asp?taxnode_id=20151625","ICTVonline=20151625")</f>
        <v>ICTVonline=20151625</v>
      </c>
    </row>
    <row r="1274" spans="1:13" x14ac:dyDescent="0.15">
      <c r="A1274" s="1" t="s">
        <v>1211</v>
      </c>
      <c r="B1274" s="1" t="s">
        <v>1212</v>
      </c>
      <c r="C1274" s="1" t="s">
        <v>4946</v>
      </c>
      <c r="D1274" s="1" t="s">
        <v>359</v>
      </c>
      <c r="E1274" s="1" t="s">
        <v>2221</v>
      </c>
      <c r="F1274" s="3">
        <v>0</v>
      </c>
      <c r="G1274" s="24" t="s">
        <v>4976</v>
      </c>
      <c r="H1274" s="24" t="s">
        <v>4977</v>
      </c>
      <c r="I1274" s="24" t="s">
        <v>3265</v>
      </c>
      <c r="J1274" s="24" t="s">
        <v>2920</v>
      </c>
      <c r="K1274" s="3">
        <v>30</v>
      </c>
      <c r="L1274" s="3" t="s">
        <v>6904</v>
      </c>
      <c r="M1274" s="3" t="str">
        <f>HYPERLINK("http://ictvonline.org/taxonomyHistory.asp?taxnode_id=20151626","ICTVonline=20151626")</f>
        <v>ICTVonline=20151626</v>
      </c>
    </row>
    <row r="1275" spans="1:13" x14ac:dyDescent="0.15">
      <c r="A1275" s="1" t="s">
        <v>1211</v>
      </c>
      <c r="B1275" s="1" t="s">
        <v>1212</v>
      </c>
      <c r="C1275" s="1" t="s">
        <v>4946</v>
      </c>
      <c r="D1275" s="1" t="s">
        <v>359</v>
      </c>
      <c r="E1275" s="1" t="s">
        <v>2222</v>
      </c>
      <c r="F1275" s="3">
        <v>0</v>
      </c>
      <c r="G1275" s="24" t="s">
        <v>4978</v>
      </c>
      <c r="H1275" s="24" t="s">
        <v>4742</v>
      </c>
      <c r="I1275" s="24" t="s">
        <v>3265</v>
      </c>
      <c r="J1275" s="24" t="s">
        <v>2920</v>
      </c>
      <c r="K1275" s="3">
        <v>30</v>
      </c>
      <c r="L1275" s="3" t="s">
        <v>6904</v>
      </c>
      <c r="M1275" s="3" t="str">
        <f>HYPERLINK("http://ictvonline.org/taxonomyHistory.asp?taxnode_id=20151627","ICTVonline=20151627")</f>
        <v>ICTVonline=20151627</v>
      </c>
    </row>
    <row r="1276" spans="1:13" x14ac:dyDescent="0.15">
      <c r="A1276" s="1" t="s">
        <v>1211</v>
      </c>
      <c r="B1276" s="1" t="s">
        <v>1212</v>
      </c>
      <c r="C1276" s="1" t="s">
        <v>4946</v>
      </c>
      <c r="D1276" s="1" t="s">
        <v>359</v>
      </c>
      <c r="E1276" s="1" t="s">
        <v>2357</v>
      </c>
      <c r="F1276" s="3">
        <v>0</v>
      </c>
      <c r="G1276" s="24" t="s">
        <v>4979</v>
      </c>
      <c r="H1276" s="24" t="s">
        <v>4734</v>
      </c>
      <c r="I1276" s="24" t="s">
        <v>3265</v>
      </c>
      <c r="J1276" s="24" t="s">
        <v>2920</v>
      </c>
      <c r="K1276" s="3">
        <v>30</v>
      </c>
      <c r="L1276" s="3" t="s">
        <v>6904</v>
      </c>
      <c r="M1276" s="3" t="str">
        <f>HYPERLINK("http://ictvonline.org/taxonomyHistory.asp?taxnode_id=20151628","ICTVonline=20151628")</f>
        <v>ICTVonline=20151628</v>
      </c>
    </row>
    <row r="1277" spans="1:13" x14ac:dyDescent="0.15">
      <c r="A1277" s="1" t="s">
        <v>1211</v>
      </c>
      <c r="B1277" s="1" t="s">
        <v>1212</v>
      </c>
      <c r="C1277" s="1" t="s">
        <v>4946</v>
      </c>
      <c r="D1277" s="1" t="s">
        <v>359</v>
      </c>
      <c r="E1277" s="1" t="s">
        <v>2223</v>
      </c>
      <c r="F1277" s="3">
        <v>0</v>
      </c>
      <c r="G1277" s="24" t="s">
        <v>4980</v>
      </c>
      <c r="H1277" s="24" t="s">
        <v>4981</v>
      </c>
      <c r="I1277" s="24" t="s">
        <v>3265</v>
      </c>
      <c r="J1277" s="24" t="s">
        <v>2920</v>
      </c>
      <c r="K1277" s="3">
        <v>30</v>
      </c>
      <c r="L1277" s="3" t="s">
        <v>6904</v>
      </c>
      <c r="M1277" s="3" t="str">
        <f>HYPERLINK("http://ictvonline.org/taxonomyHistory.asp?taxnode_id=20151629","ICTVonline=20151629")</f>
        <v>ICTVonline=20151629</v>
      </c>
    </row>
    <row r="1278" spans="1:13" x14ac:dyDescent="0.15">
      <c r="A1278" s="1" t="s">
        <v>1211</v>
      </c>
      <c r="B1278" s="1" t="s">
        <v>1212</v>
      </c>
      <c r="C1278" s="1" t="s">
        <v>4946</v>
      </c>
      <c r="D1278" s="1" t="s">
        <v>359</v>
      </c>
      <c r="E1278" s="1" t="s">
        <v>2358</v>
      </c>
      <c r="F1278" s="3">
        <v>0</v>
      </c>
      <c r="I1278" s="24" t="s">
        <v>3265</v>
      </c>
      <c r="J1278" s="24" t="s">
        <v>2920</v>
      </c>
      <c r="K1278" s="3">
        <v>30</v>
      </c>
      <c r="L1278" s="3" t="s">
        <v>6904</v>
      </c>
      <c r="M1278" s="3" t="str">
        <f>HYPERLINK("http://ictvonline.org/taxonomyHistory.asp?taxnode_id=20151630","ICTVonline=20151630")</f>
        <v>ICTVonline=20151630</v>
      </c>
    </row>
    <row r="1279" spans="1:13" x14ac:dyDescent="0.15">
      <c r="A1279" s="1" t="s">
        <v>1211</v>
      </c>
      <c r="B1279" s="1" t="s">
        <v>1212</v>
      </c>
      <c r="C1279" s="1" t="s">
        <v>4946</v>
      </c>
      <c r="D1279" s="1" t="s">
        <v>1756</v>
      </c>
      <c r="E1279" s="1" t="s">
        <v>2361</v>
      </c>
      <c r="F1279" s="3">
        <v>0</v>
      </c>
      <c r="I1279" s="24" t="s">
        <v>3265</v>
      </c>
      <c r="J1279" s="24" t="s">
        <v>2920</v>
      </c>
      <c r="K1279" s="3">
        <v>30</v>
      </c>
      <c r="L1279" s="3" t="s">
        <v>6904</v>
      </c>
      <c r="M1279" s="3" t="str">
        <f>HYPERLINK("http://ictvonline.org/taxonomyHistory.asp?taxnode_id=20151643","ICTVonline=20151643")</f>
        <v>ICTVonline=20151643</v>
      </c>
    </row>
    <row r="1280" spans="1:13" x14ac:dyDescent="0.15">
      <c r="A1280" s="1" t="s">
        <v>1211</v>
      </c>
      <c r="B1280" s="1" t="s">
        <v>1212</v>
      </c>
      <c r="C1280" s="1" t="s">
        <v>4946</v>
      </c>
      <c r="D1280" s="1" t="s">
        <v>1756</v>
      </c>
      <c r="E1280" s="1" t="s">
        <v>2445</v>
      </c>
      <c r="F1280" s="3">
        <v>0</v>
      </c>
      <c r="G1280" s="24" t="s">
        <v>4982</v>
      </c>
      <c r="H1280" s="24" t="s">
        <v>4983</v>
      </c>
      <c r="I1280" s="24" t="s">
        <v>3265</v>
      </c>
      <c r="J1280" s="24" t="s">
        <v>2920</v>
      </c>
      <c r="K1280" s="3">
        <v>30</v>
      </c>
      <c r="L1280" s="3" t="s">
        <v>6904</v>
      </c>
      <c r="M1280" s="3" t="str">
        <f>HYPERLINK("http://ictvonline.org/taxonomyHistory.asp?taxnode_id=20151644","ICTVonline=20151644")</f>
        <v>ICTVonline=20151644</v>
      </c>
    </row>
    <row r="1281" spans="1:13" x14ac:dyDescent="0.15">
      <c r="A1281" s="1" t="s">
        <v>1211</v>
      </c>
      <c r="B1281" s="1" t="s">
        <v>1212</v>
      </c>
      <c r="C1281" s="1" t="s">
        <v>4946</v>
      </c>
      <c r="D1281" s="1" t="s">
        <v>1756</v>
      </c>
      <c r="E1281" s="1" t="s">
        <v>1757</v>
      </c>
      <c r="F1281" s="3">
        <v>1</v>
      </c>
      <c r="G1281" s="24" t="s">
        <v>4984</v>
      </c>
      <c r="H1281" s="24" t="s">
        <v>4985</v>
      </c>
      <c r="I1281" s="24" t="s">
        <v>3265</v>
      </c>
      <c r="J1281" s="24" t="s">
        <v>2920</v>
      </c>
      <c r="K1281" s="3">
        <v>30</v>
      </c>
      <c r="L1281" s="3" t="s">
        <v>6904</v>
      </c>
      <c r="M1281" s="3" t="str">
        <f>HYPERLINK("http://ictvonline.org/taxonomyHistory.asp?taxnode_id=20151645","ICTVonline=20151645")</f>
        <v>ICTVonline=20151645</v>
      </c>
    </row>
    <row r="1282" spans="1:13" x14ac:dyDescent="0.15">
      <c r="A1282" s="1" t="s">
        <v>1211</v>
      </c>
      <c r="B1282" s="1" t="s">
        <v>1212</v>
      </c>
      <c r="C1282" s="1" t="s">
        <v>4946</v>
      </c>
      <c r="D1282" s="1" t="s">
        <v>1756</v>
      </c>
      <c r="E1282" s="1" t="s">
        <v>527</v>
      </c>
      <c r="F1282" s="3">
        <v>0</v>
      </c>
      <c r="G1282" s="24" t="s">
        <v>4986</v>
      </c>
      <c r="H1282" s="24" t="s">
        <v>4987</v>
      </c>
      <c r="I1282" s="24" t="s">
        <v>3265</v>
      </c>
      <c r="J1282" s="24" t="s">
        <v>2920</v>
      </c>
      <c r="K1282" s="3">
        <v>30</v>
      </c>
      <c r="L1282" s="3" t="s">
        <v>6904</v>
      </c>
      <c r="M1282" s="3" t="str">
        <f>HYPERLINK("http://ictvonline.org/taxonomyHistory.asp?taxnode_id=20151646","ICTVonline=20151646")</f>
        <v>ICTVonline=20151646</v>
      </c>
    </row>
    <row r="1283" spans="1:13" x14ac:dyDescent="0.15">
      <c r="A1283" s="1" t="s">
        <v>1211</v>
      </c>
      <c r="B1283" s="1" t="s">
        <v>1212</v>
      </c>
      <c r="C1283" s="1" t="s">
        <v>4946</v>
      </c>
      <c r="D1283" s="1" t="s">
        <v>1756</v>
      </c>
      <c r="E1283" s="1" t="s">
        <v>528</v>
      </c>
      <c r="F1283" s="3">
        <v>0</v>
      </c>
      <c r="I1283" s="24" t="s">
        <v>3265</v>
      </c>
      <c r="J1283" s="24" t="s">
        <v>2920</v>
      </c>
      <c r="K1283" s="3">
        <v>30</v>
      </c>
      <c r="L1283" s="3" t="s">
        <v>6904</v>
      </c>
      <c r="M1283" s="3" t="str">
        <f>HYPERLINK("http://ictvonline.org/taxonomyHistory.asp?taxnode_id=20151647","ICTVonline=20151647")</f>
        <v>ICTVonline=20151647</v>
      </c>
    </row>
    <row r="1284" spans="1:13" x14ac:dyDescent="0.15">
      <c r="A1284" s="1" t="s">
        <v>1211</v>
      </c>
      <c r="B1284" s="1" t="s">
        <v>1212</v>
      </c>
      <c r="C1284" s="1" t="s">
        <v>4946</v>
      </c>
      <c r="D1284" s="1" t="s">
        <v>1756</v>
      </c>
      <c r="E1284" s="1" t="s">
        <v>1628</v>
      </c>
      <c r="F1284" s="3">
        <v>0</v>
      </c>
      <c r="G1284" s="24" t="s">
        <v>4988</v>
      </c>
      <c r="H1284" s="24" t="s">
        <v>4989</v>
      </c>
      <c r="I1284" s="24" t="s">
        <v>3265</v>
      </c>
      <c r="J1284" s="24" t="s">
        <v>2920</v>
      </c>
      <c r="K1284" s="3">
        <v>30</v>
      </c>
      <c r="L1284" s="3" t="s">
        <v>6904</v>
      </c>
      <c r="M1284" s="3" t="str">
        <f>HYPERLINK("http://ictvonline.org/taxonomyHistory.asp?taxnode_id=20151648","ICTVonline=20151648")</f>
        <v>ICTVonline=20151648</v>
      </c>
    </row>
    <row r="1285" spans="1:13" x14ac:dyDescent="0.15">
      <c r="A1285" s="1" t="s">
        <v>1211</v>
      </c>
      <c r="B1285" s="1" t="s">
        <v>1212</v>
      </c>
      <c r="C1285" s="1" t="s">
        <v>4946</v>
      </c>
      <c r="D1285" s="1" t="s">
        <v>1756</v>
      </c>
      <c r="E1285" s="1" t="s">
        <v>2481</v>
      </c>
      <c r="F1285" s="3">
        <v>0</v>
      </c>
      <c r="G1285" s="24" t="s">
        <v>4990</v>
      </c>
      <c r="H1285" s="24" t="s">
        <v>4991</v>
      </c>
      <c r="I1285" s="24" t="s">
        <v>3265</v>
      </c>
      <c r="J1285" s="24" t="s">
        <v>2920</v>
      </c>
      <c r="K1285" s="3">
        <v>30</v>
      </c>
      <c r="L1285" s="3" t="s">
        <v>6904</v>
      </c>
      <c r="M1285" s="3" t="str">
        <f>HYPERLINK("http://ictvonline.org/taxonomyHistory.asp?taxnode_id=20151649","ICTVonline=20151649")</f>
        <v>ICTVonline=20151649</v>
      </c>
    </row>
    <row r="1286" spans="1:13" x14ac:dyDescent="0.15">
      <c r="A1286" s="1" t="s">
        <v>1211</v>
      </c>
      <c r="B1286" s="1" t="s">
        <v>1212</v>
      </c>
      <c r="C1286" s="1" t="s">
        <v>4946</v>
      </c>
      <c r="D1286" s="1" t="s">
        <v>1756</v>
      </c>
      <c r="E1286" s="1" t="s">
        <v>2225</v>
      </c>
      <c r="F1286" s="3">
        <v>0</v>
      </c>
      <c r="I1286" s="24" t="s">
        <v>3265</v>
      </c>
      <c r="J1286" s="24" t="s">
        <v>2920</v>
      </c>
      <c r="K1286" s="3">
        <v>30</v>
      </c>
      <c r="L1286" s="3" t="s">
        <v>6904</v>
      </c>
      <c r="M1286" s="3" t="str">
        <f>HYPERLINK("http://ictvonline.org/taxonomyHistory.asp?taxnode_id=20151650","ICTVonline=20151650")</f>
        <v>ICTVonline=20151650</v>
      </c>
    </row>
    <row r="1287" spans="1:13" x14ac:dyDescent="0.15">
      <c r="A1287" s="1" t="s">
        <v>1211</v>
      </c>
      <c r="B1287" s="1" t="s">
        <v>1212</v>
      </c>
      <c r="C1287" s="1" t="s">
        <v>4946</v>
      </c>
      <c r="D1287" s="1" t="s">
        <v>1756</v>
      </c>
      <c r="E1287" s="1" t="s">
        <v>2257</v>
      </c>
      <c r="F1287" s="3">
        <v>0</v>
      </c>
      <c r="I1287" s="24" t="s">
        <v>3265</v>
      </c>
      <c r="J1287" s="24" t="s">
        <v>2920</v>
      </c>
      <c r="K1287" s="3">
        <v>30</v>
      </c>
      <c r="L1287" s="3" t="s">
        <v>6904</v>
      </c>
      <c r="M1287" s="3" t="str">
        <f>HYPERLINK("http://ictvonline.org/taxonomyHistory.asp?taxnode_id=20151651","ICTVonline=20151651")</f>
        <v>ICTVonline=20151651</v>
      </c>
    </row>
    <row r="1288" spans="1:13" x14ac:dyDescent="0.15">
      <c r="A1288" s="1" t="s">
        <v>1211</v>
      </c>
      <c r="B1288" s="1" t="s">
        <v>1803</v>
      </c>
      <c r="D1288" s="1" t="s">
        <v>305</v>
      </c>
      <c r="E1288" s="1" t="s">
        <v>302</v>
      </c>
      <c r="F1288" s="3">
        <v>1</v>
      </c>
      <c r="G1288" s="24" t="s">
        <v>4992</v>
      </c>
      <c r="H1288" s="24" t="s">
        <v>4784</v>
      </c>
      <c r="I1288" s="24" t="s">
        <v>3265</v>
      </c>
      <c r="J1288" s="24" t="s">
        <v>2921</v>
      </c>
      <c r="K1288" s="3">
        <v>25</v>
      </c>
      <c r="L1288" s="3" t="s">
        <v>6905</v>
      </c>
      <c r="M1288" s="3" t="str">
        <f>HYPERLINK("http://ictvonline.org/taxonomyHistory.asp?taxnode_id=20151669","ICTVonline=20151669")</f>
        <v>ICTVonline=20151669</v>
      </c>
    </row>
    <row r="1289" spans="1:13" x14ac:dyDescent="0.15">
      <c r="A1289" s="1" t="s">
        <v>1211</v>
      </c>
      <c r="B1289" s="1" t="s">
        <v>1399</v>
      </c>
      <c r="D1289" s="1" t="s">
        <v>1400</v>
      </c>
      <c r="E1289" s="1" t="s">
        <v>1401</v>
      </c>
      <c r="F1289" s="3">
        <v>1</v>
      </c>
      <c r="G1289" s="24" t="s">
        <v>4993</v>
      </c>
      <c r="H1289" s="24" t="s">
        <v>4994</v>
      </c>
      <c r="I1289" s="24" t="s">
        <v>3265</v>
      </c>
      <c r="J1289" s="24" t="s">
        <v>2920</v>
      </c>
      <c r="K1289" s="3">
        <v>25</v>
      </c>
      <c r="L1289" s="3" t="s">
        <v>6906</v>
      </c>
      <c r="M1289" s="3" t="str">
        <f>HYPERLINK("http://ictvonline.org/taxonomyHistory.asp?taxnode_id=20151677","ICTVonline=20151677")</f>
        <v>ICTVonline=20151677</v>
      </c>
    </row>
    <row r="1290" spans="1:13" x14ac:dyDescent="0.15">
      <c r="A1290" s="1" t="s">
        <v>1211</v>
      </c>
      <c r="B1290" s="1" t="s">
        <v>1399</v>
      </c>
      <c r="D1290" s="1" t="s">
        <v>1402</v>
      </c>
      <c r="E1290" s="1" t="s">
        <v>1389</v>
      </c>
      <c r="F1290" s="3">
        <v>0</v>
      </c>
      <c r="G1290" s="24" t="s">
        <v>4995</v>
      </c>
      <c r="H1290" s="24" t="s">
        <v>4996</v>
      </c>
      <c r="I1290" s="24" t="s">
        <v>3265</v>
      </c>
      <c r="J1290" s="24" t="s">
        <v>2920</v>
      </c>
      <c r="K1290" s="3">
        <v>25</v>
      </c>
      <c r="L1290" s="3" t="s">
        <v>6906</v>
      </c>
      <c r="M1290" s="3" t="str">
        <f>HYPERLINK("http://ictvonline.org/taxonomyHistory.asp?taxnode_id=20151679","ICTVonline=20151679")</f>
        <v>ICTVonline=20151679</v>
      </c>
    </row>
    <row r="1291" spans="1:13" x14ac:dyDescent="0.15">
      <c r="A1291" s="1" t="s">
        <v>1211</v>
      </c>
      <c r="B1291" s="1" t="s">
        <v>1399</v>
      </c>
      <c r="D1291" s="1" t="s">
        <v>1402</v>
      </c>
      <c r="E1291" s="1" t="s">
        <v>15</v>
      </c>
      <c r="F1291" s="3">
        <v>0</v>
      </c>
      <c r="G1291" s="24" t="s">
        <v>4997</v>
      </c>
      <c r="H1291" s="24" t="s">
        <v>4744</v>
      </c>
      <c r="I1291" s="24" t="s">
        <v>3265</v>
      </c>
      <c r="J1291" s="24" t="s">
        <v>2919</v>
      </c>
      <c r="K1291" s="3">
        <v>26</v>
      </c>
      <c r="L1291" s="3" t="s">
        <v>6907</v>
      </c>
      <c r="M1291" s="3" t="str">
        <f>HYPERLINK("http://ictvonline.org/taxonomyHistory.asp?taxnode_id=20151680","ICTVonline=20151680")</f>
        <v>ICTVonline=20151680</v>
      </c>
    </row>
    <row r="1292" spans="1:13" x14ac:dyDescent="0.15">
      <c r="A1292" s="1" t="s">
        <v>1211</v>
      </c>
      <c r="B1292" s="1" t="s">
        <v>1399</v>
      </c>
      <c r="D1292" s="1" t="s">
        <v>1402</v>
      </c>
      <c r="E1292" s="1" t="s">
        <v>1390</v>
      </c>
      <c r="F1292" s="3">
        <v>0</v>
      </c>
      <c r="G1292" s="24" t="s">
        <v>4998</v>
      </c>
      <c r="H1292" s="24" t="s">
        <v>4999</v>
      </c>
      <c r="I1292" s="24" t="s">
        <v>3265</v>
      </c>
      <c r="J1292" s="24" t="s">
        <v>2920</v>
      </c>
      <c r="K1292" s="3">
        <v>25</v>
      </c>
      <c r="L1292" s="3" t="s">
        <v>6906</v>
      </c>
      <c r="M1292" s="3" t="str">
        <f>HYPERLINK("http://ictvonline.org/taxonomyHistory.asp?taxnode_id=20151681","ICTVonline=20151681")</f>
        <v>ICTVonline=20151681</v>
      </c>
    </row>
    <row r="1293" spans="1:13" x14ac:dyDescent="0.15">
      <c r="A1293" s="1" t="s">
        <v>1211</v>
      </c>
      <c r="B1293" s="1" t="s">
        <v>1399</v>
      </c>
      <c r="D1293" s="1" t="s">
        <v>1402</v>
      </c>
      <c r="E1293" s="1" t="s">
        <v>16</v>
      </c>
      <c r="F1293" s="3">
        <v>0</v>
      </c>
      <c r="G1293" s="24" t="s">
        <v>5000</v>
      </c>
      <c r="H1293" s="24" t="s">
        <v>5001</v>
      </c>
      <c r="I1293" s="24" t="s">
        <v>3265</v>
      </c>
      <c r="J1293" s="24" t="s">
        <v>2919</v>
      </c>
      <c r="K1293" s="3">
        <v>26</v>
      </c>
      <c r="L1293" s="3" t="s">
        <v>6908</v>
      </c>
      <c r="M1293" s="3" t="str">
        <f>HYPERLINK("http://ictvonline.org/taxonomyHistory.asp?taxnode_id=20151682","ICTVonline=20151682")</f>
        <v>ICTVonline=20151682</v>
      </c>
    </row>
    <row r="1294" spans="1:13" x14ac:dyDescent="0.15">
      <c r="A1294" s="1" t="s">
        <v>1211</v>
      </c>
      <c r="B1294" s="1" t="s">
        <v>1399</v>
      </c>
      <c r="D1294" s="1" t="s">
        <v>1402</v>
      </c>
      <c r="E1294" s="1" t="s">
        <v>1391</v>
      </c>
      <c r="F1294" s="3">
        <v>1</v>
      </c>
      <c r="G1294" s="24" t="s">
        <v>5002</v>
      </c>
      <c r="H1294" s="24" t="s">
        <v>5003</v>
      </c>
      <c r="I1294" s="24" t="s">
        <v>3265</v>
      </c>
      <c r="J1294" s="24" t="s">
        <v>2920</v>
      </c>
      <c r="K1294" s="3">
        <v>25</v>
      </c>
      <c r="L1294" s="3" t="s">
        <v>6906</v>
      </c>
      <c r="M1294" s="3" t="str">
        <f>HYPERLINK("http://ictvonline.org/taxonomyHistory.asp?taxnode_id=20151683","ICTVonline=20151683")</f>
        <v>ICTVonline=20151683</v>
      </c>
    </row>
    <row r="1295" spans="1:13" x14ac:dyDescent="0.15">
      <c r="A1295" s="1" t="s">
        <v>1211</v>
      </c>
      <c r="B1295" s="1" t="s">
        <v>1399</v>
      </c>
      <c r="D1295" s="1" t="s">
        <v>1402</v>
      </c>
      <c r="E1295" s="1" t="s">
        <v>1392</v>
      </c>
      <c r="F1295" s="3">
        <v>0</v>
      </c>
      <c r="G1295" s="24" t="s">
        <v>5004</v>
      </c>
      <c r="H1295" s="24" t="s">
        <v>5005</v>
      </c>
      <c r="I1295" s="24" t="s">
        <v>3265</v>
      </c>
      <c r="J1295" s="24" t="s">
        <v>2920</v>
      </c>
      <c r="K1295" s="3">
        <v>25</v>
      </c>
      <c r="L1295" s="3" t="s">
        <v>6906</v>
      </c>
      <c r="M1295" s="3" t="str">
        <f>HYPERLINK("http://ictvonline.org/taxonomyHistory.asp?taxnode_id=20151684","ICTVonline=20151684")</f>
        <v>ICTVonline=20151684</v>
      </c>
    </row>
    <row r="1296" spans="1:13" x14ac:dyDescent="0.15">
      <c r="A1296" s="1" t="s">
        <v>1211</v>
      </c>
      <c r="B1296" s="1" t="s">
        <v>1399</v>
      </c>
      <c r="D1296" s="1" t="s">
        <v>1402</v>
      </c>
      <c r="E1296" s="1" t="s">
        <v>17</v>
      </c>
      <c r="F1296" s="3">
        <v>0</v>
      </c>
      <c r="G1296" s="24" t="s">
        <v>5006</v>
      </c>
      <c r="H1296" s="24" t="s">
        <v>5007</v>
      </c>
      <c r="I1296" s="24" t="s">
        <v>3265</v>
      </c>
      <c r="J1296" s="24" t="s">
        <v>2919</v>
      </c>
      <c r="K1296" s="3">
        <v>26</v>
      </c>
      <c r="L1296" s="3" t="s">
        <v>6909</v>
      </c>
      <c r="M1296" s="3" t="str">
        <f>HYPERLINK("http://ictvonline.org/taxonomyHistory.asp?taxnode_id=20151685","ICTVonline=20151685")</f>
        <v>ICTVonline=20151685</v>
      </c>
    </row>
    <row r="1297" spans="1:13" x14ac:dyDescent="0.15">
      <c r="A1297" s="1" t="s">
        <v>1211</v>
      </c>
      <c r="B1297" s="1" t="s">
        <v>1399</v>
      </c>
      <c r="D1297" s="1" t="s">
        <v>1570</v>
      </c>
      <c r="E1297" s="1" t="s">
        <v>1571</v>
      </c>
      <c r="F1297" s="3">
        <v>0</v>
      </c>
      <c r="G1297" s="24" t="s">
        <v>5008</v>
      </c>
      <c r="H1297" s="24" t="s">
        <v>5009</v>
      </c>
      <c r="I1297" s="24" t="s">
        <v>3265</v>
      </c>
      <c r="J1297" s="24" t="s">
        <v>2920</v>
      </c>
      <c r="K1297" s="3">
        <v>25</v>
      </c>
      <c r="L1297" s="3" t="s">
        <v>6906</v>
      </c>
      <c r="M1297" s="3" t="str">
        <f>HYPERLINK("http://ictvonline.org/taxonomyHistory.asp?taxnode_id=20151687","ICTVonline=20151687")</f>
        <v>ICTVonline=20151687</v>
      </c>
    </row>
    <row r="1298" spans="1:13" x14ac:dyDescent="0.15">
      <c r="A1298" s="1" t="s">
        <v>1211</v>
      </c>
      <c r="B1298" s="1" t="s">
        <v>1399</v>
      </c>
      <c r="D1298" s="1" t="s">
        <v>1570</v>
      </c>
      <c r="E1298" s="1" t="s">
        <v>1572</v>
      </c>
      <c r="F1298" s="3">
        <v>0</v>
      </c>
      <c r="I1298" s="24" t="s">
        <v>3265</v>
      </c>
      <c r="J1298" s="24" t="s">
        <v>2920</v>
      </c>
      <c r="K1298" s="3">
        <v>25</v>
      </c>
      <c r="L1298" s="3" t="s">
        <v>6906</v>
      </c>
      <c r="M1298" s="3" t="str">
        <f>HYPERLINK("http://ictvonline.org/taxonomyHistory.asp?taxnode_id=20151688","ICTVonline=20151688")</f>
        <v>ICTVonline=20151688</v>
      </c>
    </row>
    <row r="1299" spans="1:13" x14ac:dyDescent="0.15">
      <c r="A1299" s="1" t="s">
        <v>1211</v>
      </c>
      <c r="B1299" s="1" t="s">
        <v>1399</v>
      </c>
      <c r="D1299" s="1" t="s">
        <v>1570</v>
      </c>
      <c r="E1299" s="1" t="s">
        <v>2482</v>
      </c>
      <c r="F1299" s="3">
        <v>0</v>
      </c>
      <c r="I1299" s="24" t="s">
        <v>3265</v>
      </c>
      <c r="J1299" s="24" t="s">
        <v>2919</v>
      </c>
      <c r="K1299" s="3">
        <v>28</v>
      </c>
      <c r="L1299" s="3" t="s">
        <v>6910</v>
      </c>
      <c r="M1299" s="3" t="str">
        <f>HYPERLINK("http://ictvonline.org/taxonomyHistory.asp?taxnode_id=20151689","ICTVonline=20151689")</f>
        <v>ICTVonline=20151689</v>
      </c>
    </row>
    <row r="1300" spans="1:13" x14ac:dyDescent="0.15">
      <c r="A1300" s="1" t="s">
        <v>1211</v>
      </c>
      <c r="B1300" s="1" t="s">
        <v>1399</v>
      </c>
      <c r="D1300" s="1" t="s">
        <v>1570</v>
      </c>
      <c r="E1300" s="1" t="s">
        <v>1573</v>
      </c>
      <c r="F1300" s="3">
        <v>0</v>
      </c>
      <c r="I1300" s="24" t="s">
        <v>3265</v>
      </c>
      <c r="J1300" s="24" t="s">
        <v>2920</v>
      </c>
      <c r="K1300" s="3">
        <v>25</v>
      </c>
      <c r="L1300" s="3" t="s">
        <v>6906</v>
      </c>
      <c r="M1300" s="3" t="str">
        <f>HYPERLINK("http://ictvonline.org/taxonomyHistory.asp?taxnode_id=20151690","ICTVonline=20151690")</f>
        <v>ICTVonline=20151690</v>
      </c>
    </row>
    <row r="1301" spans="1:13" x14ac:dyDescent="0.15">
      <c r="A1301" s="1" t="s">
        <v>1211</v>
      </c>
      <c r="B1301" s="1" t="s">
        <v>1399</v>
      </c>
      <c r="D1301" s="1" t="s">
        <v>1570</v>
      </c>
      <c r="E1301" s="1" t="s">
        <v>1574</v>
      </c>
      <c r="F1301" s="3">
        <v>0</v>
      </c>
      <c r="G1301" s="24" t="s">
        <v>5010</v>
      </c>
      <c r="H1301" s="24" t="s">
        <v>5011</v>
      </c>
      <c r="I1301" s="24" t="s">
        <v>3265</v>
      </c>
      <c r="J1301" s="24" t="s">
        <v>2920</v>
      </c>
      <c r="K1301" s="3">
        <v>25</v>
      </c>
      <c r="L1301" s="3" t="s">
        <v>6906</v>
      </c>
      <c r="M1301" s="3" t="str">
        <f>HYPERLINK("http://ictvonline.org/taxonomyHistory.asp?taxnode_id=20151691","ICTVonline=20151691")</f>
        <v>ICTVonline=20151691</v>
      </c>
    </row>
    <row r="1302" spans="1:13" x14ac:dyDescent="0.15">
      <c r="A1302" s="1" t="s">
        <v>1211</v>
      </c>
      <c r="B1302" s="1" t="s">
        <v>1399</v>
      </c>
      <c r="D1302" s="1" t="s">
        <v>1570</v>
      </c>
      <c r="E1302" s="1" t="s">
        <v>1575</v>
      </c>
      <c r="F1302" s="3">
        <v>0</v>
      </c>
      <c r="G1302" s="24" t="s">
        <v>5012</v>
      </c>
      <c r="H1302" s="24" t="s">
        <v>7495</v>
      </c>
      <c r="I1302" s="24" t="s">
        <v>3265</v>
      </c>
      <c r="J1302" s="24" t="s">
        <v>2920</v>
      </c>
      <c r="K1302" s="3">
        <v>25</v>
      </c>
      <c r="L1302" s="3" t="s">
        <v>6906</v>
      </c>
      <c r="M1302" s="3" t="str">
        <f>HYPERLINK("http://ictvonline.org/taxonomyHistory.asp?taxnode_id=20151692","ICTVonline=20151692")</f>
        <v>ICTVonline=20151692</v>
      </c>
    </row>
    <row r="1303" spans="1:13" x14ac:dyDescent="0.15">
      <c r="A1303" s="1" t="s">
        <v>1211</v>
      </c>
      <c r="B1303" s="1" t="s">
        <v>1399</v>
      </c>
      <c r="D1303" s="1" t="s">
        <v>1570</v>
      </c>
      <c r="E1303" s="1" t="s">
        <v>1576</v>
      </c>
      <c r="F1303" s="3">
        <v>0</v>
      </c>
      <c r="I1303" s="24" t="s">
        <v>3265</v>
      </c>
      <c r="J1303" s="24" t="s">
        <v>2920</v>
      </c>
      <c r="K1303" s="3">
        <v>25</v>
      </c>
      <c r="L1303" s="3" t="s">
        <v>6906</v>
      </c>
      <c r="M1303" s="3" t="str">
        <f>HYPERLINK("http://ictvonline.org/taxonomyHistory.asp?taxnode_id=20151693","ICTVonline=20151693")</f>
        <v>ICTVonline=20151693</v>
      </c>
    </row>
    <row r="1304" spans="1:13" x14ac:dyDescent="0.15">
      <c r="A1304" s="1" t="s">
        <v>1211</v>
      </c>
      <c r="B1304" s="1" t="s">
        <v>1399</v>
      </c>
      <c r="D1304" s="1" t="s">
        <v>1570</v>
      </c>
      <c r="E1304" s="1" t="s">
        <v>18</v>
      </c>
      <c r="F1304" s="3">
        <v>0</v>
      </c>
      <c r="I1304" s="24" t="s">
        <v>3265</v>
      </c>
      <c r="J1304" s="24" t="s">
        <v>2919</v>
      </c>
      <c r="K1304" s="3">
        <v>26</v>
      </c>
      <c r="L1304" s="3" t="s">
        <v>6911</v>
      </c>
      <c r="M1304" s="3" t="str">
        <f>HYPERLINK("http://ictvonline.org/taxonomyHistory.asp?taxnode_id=20151694","ICTVonline=20151694")</f>
        <v>ICTVonline=20151694</v>
      </c>
    </row>
    <row r="1305" spans="1:13" x14ac:dyDescent="0.15">
      <c r="A1305" s="1" t="s">
        <v>1211</v>
      </c>
      <c r="B1305" s="1" t="s">
        <v>1399</v>
      </c>
      <c r="D1305" s="1" t="s">
        <v>1570</v>
      </c>
      <c r="E1305" s="1" t="s">
        <v>1577</v>
      </c>
      <c r="F1305" s="3">
        <v>0</v>
      </c>
      <c r="G1305" s="24" t="s">
        <v>5013</v>
      </c>
      <c r="H1305" s="24" t="s">
        <v>5014</v>
      </c>
      <c r="I1305" s="24" t="s">
        <v>3265</v>
      </c>
      <c r="J1305" s="24" t="s">
        <v>2920</v>
      </c>
      <c r="K1305" s="3">
        <v>25</v>
      </c>
      <c r="L1305" s="3" t="s">
        <v>6906</v>
      </c>
      <c r="M1305" s="3" t="str">
        <f>HYPERLINK("http://ictvonline.org/taxonomyHistory.asp?taxnode_id=20151695","ICTVonline=20151695")</f>
        <v>ICTVonline=20151695</v>
      </c>
    </row>
    <row r="1306" spans="1:13" x14ac:dyDescent="0.15">
      <c r="A1306" s="1" t="s">
        <v>1211</v>
      </c>
      <c r="B1306" s="1" t="s">
        <v>1399</v>
      </c>
      <c r="D1306" s="1" t="s">
        <v>1570</v>
      </c>
      <c r="E1306" s="1" t="s">
        <v>1548</v>
      </c>
      <c r="F1306" s="3">
        <v>0</v>
      </c>
      <c r="G1306" s="24" t="s">
        <v>5015</v>
      </c>
      <c r="H1306" s="24" t="s">
        <v>5016</v>
      </c>
      <c r="I1306" s="24" t="s">
        <v>3265</v>
      </c>
      <c r="J1306" s="24" t="s">
        <v>2920</v>
      </c>
      <c r="K1306" s="3">
        <v>25</v>
      </c>
      <c r="L1306" s="3" t="s">
        <v>6906</v>
      </c>
      <c r="M1306" s="3" t="str">
        <f>HYPERLINK("http://ictvonline.org/taxonomyHistory.asp?taxnode_id=20151696","ICTVonline=20151696")</f>
        <v>ICTVonline=20151696</v>
      </c>
    </row>
    <row r="1307" spans="1:13" x14ac:dyDescent="0.15">
      <c r="A1307" s="1" t="s">
        <v>1211</v>
      </c>
      <c r="B1307" s="1" t="s">
        <v>1399</v>
      </c>
      <c r="D1307" s="1" t="s">
        <v>1570</v>
      </c>
      <c r="E1307" s="1" t="s">
        <v>1549</v>
      </c>
      <c r="F1307" s="3">
        <v>0</v>
      </c>
      <c r="G1307" s="24" t="s">
        <v>5017</v>
      </c>
      <c r="H1307" s="24" t="s">
        <v>5018</v>
      </c>
      <c r="I1307" s="24" t="s">
        <v>3265</v>
      </c>
      <c r="J1307" s="24" t="s">
        <v>2920</v>
      </c>
      <c r="K1307" s="3">
        <v>25</v>
      </c>
      <c r="L1307" s="3" t="s">
        <v>6906</v>
      </c>
      <c r="M1307" s="3" t="str">
        <f>HYPERLINK("http://ictvonline.org/taxonomyHistory.asp?taxnode_id=20151697","ICTVonline=20151697")</f>
        <v>ICTVonline=20151697</v>
      </c>
    </row>
    <row r="1308" spans="1:13" x14ac:dyDescent="0.15">
      <c r="A1308" s="1" t="s">
        <v>1211</v>
      </c>
      <c r="B1308" s="1" t="s">
        <v>1399</v>
      </c>
      <c r="D1308" s="1" t="s">
        <v>1570</v>
      </c>
      <c r="E1308" s="1" t="s">
        <v>1550</v>
      </c>
      <c r="F1308" s="3">
        <v>0</v>
      </c>
      <c r="G1308" s="24" t="s">
        <v>5019</v>
      </c>
      <c r="H1308" s="24" t="s">
        <v>5020</v>
      </c>
      <c r="I1308" s="24" t="s">
        <v>3265</v>
      </c>
      <c r="J1308" s="24" t="s">
        <v>2920</v>
      </c>
      <c r="K1308" s="3">
        <v>25</v>
      </c>
      <c r="L1308" s="3" t="s">
        <v>6906</v>
      </c>
      <c r="M1308" s="3" t="str">
        <f>HYPERLINK("http://ictvonline.org/taxonomyHistory.asp?taxnode_id=20151698","ICTVonline=20151698")</f>
        <v>ICTVonline=20151698</v>
      </c>
    </row>
    <row r="1309" spans="1:13" x14ac:dyDescent="0.15">
      <c r="A1309" s="1" t="s">
        <v>1211</v>
      </c>
      <c r="B1309" s="1" t="s">
        <v>1399</v>
      </c>
      <c r="D1309" s="1" t="s">
        <v>1570</v>
      </c>
      <c r="E1309" s="1" t="s">
        <v>1551</v>
      </c>
      <c r="F1309" s="3">
        <v>0</v>
      </c>
      <c r="I1309" s="24" t="s">
        <v>3265</v>
      </c>
      <c r="J1309" s="24" t="s">
        <v>2920</v>
      </c>
      <c r="K1309" s="3">
        <v>25</v>
      </c>
      <c r="L1309" s="3" t="s">
        <v>6906</v>
      </c>
      <c r="M1309" s="3" t="str">
        <f>HYPERLINK("http://ictvonline.org/taxonomyHistory.asp?taxnode_id=20151699","ICTVonline=20151699")</f>
        <v>ICTVonline=20151699</v>
      </c>
    </row>
    <row r="1310" spans="1:13" x14ac:dyDescent="0.15">
      <c r="A1310" s="1" t="s">
        <v>1211</v>
      </c>
      <c r="B1310" s="1" t="s">
        <v>1399</v>
      </c>
      <c r="D1310" s="1" t="s">
        <v>1570</v>
      </c>
      <c r="E1310" s="1" t="s">
        <v>372</v>
      </c>
      <c r="F1310" s="3">
        <v>0</v>
      </c>
      <c r="G1310" s="24" t="s">
        <v>5021</v>
      </c>
      <c r="H1310" s="24" t="s">
        <v>5022</v>
      </c>
      <c r="I1310" s="24" t="s">
        <v>3265</v>
      </c>
      <c r="J1310" s="24" t="s">
        <v>2920</v>
      </c>
      <c r="K1310" s="3">
        <v>25</v>
      </c>
      <c r="L1310" s="3" t="s">
        <v>6906</v>
      </c>
      <c r="M1310" s="3" t="str">
        <f>HYPERLINK("http://ictvonline.org/taxonomyHistory.asp?taxnode_id=20151700","ICTVonline=20151700")</f>
        <v>ICTVonline=20151700</v>
      </c>
    </row>
    <row r="1311" spans="1:13" x14ac:dyDescent="0.15">
      <c r="A1311" s="1" t="s">
        <v>1211</v>
      </c>
      <c r="B1311" s="1" t="s">
        <v>1399</v>
      </c>
      <c r="D1311" s="1" t="s">
        <v>1570</v>
      </c>
      <c r="E1311" s="1" t="s">
        <v>373</v>
      </c>
      <c r="F1311" s="3">
        <v>0</v>
      </c>
      <c r="G1311" s="24" t="s">
        <v>5023</v>
      </c>
      <c r="H1311" s="24" t="s">
        <v>5024</v>
      </c>
      <c r="I1311" s="24" t="s">
        <v>3265</v>
      </c>
      <c r="J1311" s="24" t="s">
        <v>2920</v>
      </c>
      <c r="K1311" s="3">
        <v>25</v>
      </c>
      <c r="L1311" s="3" t="s">
        <v>6906</v>
      </c>
      <c r="M1311" s="3" t="str">
        <f>HYPERLINK("http://ictvonline.org/taxonomyHistory.asp?taxnode_id=20151701","ICTVonline=20151701")</f>
        <v>ICTVonline=20151701</v>
      </c>
    </row>
    <row r="1312" spans="1:13" x14ac:dyDescent="0.15">
      <c r="A1312" s="1" t="s">
        <v>1211</v>
      </c>
      <c r="B1312" s="1" t="s">
        <v>1399</v>
      </c>
      <c r="D1312" s="1" t="s">
        <v>1570</v>
      </c>
      <c r="E1312" s="1" t="s">
        <v>374</v>
      </c>
      <c r="F1312" s="3">
        <v>0</v>
      </c>
      <c r="G1312" s="24" t="s">
        <v>5025</v>
      </c>
      <c r="H1312" s="24" t="s">
        <v>5026</v>
      </c>
      <c r="I1312" s="24" t="s">
        <v>3265</v>
      </c>
      <c r="J1312" s="24" t="s">
        <v>2920</v>
      </c>
      <c r="K1312" s="3">
        <v>25</v>
      </c>
      <c r="L1312" s="3" t="s">
        <v>6906</v>
      </c>
      <c r="M1312" s="3" t="str">
        <f>HYPERLINK("http://ictvonline.org/taxonomyHistory.asp?taxnode_id=20151702","ICTVonline=20151702")</f>
        <v>ICTVonline=20151702</v>
      </c>
    </row>
    <row r="1313" spans="1:13" x14ac:dyDescent="0.15">
      <c r="A1313" s="1" t="s">
        <v>1211</v>
      </c>
      <c r="B1313" s="1" t="s">
        <v>1399</v>
      </c>
      <c r="D1313" s="1" t="s">
        <v>1570</v>
      </c>
      <c r="E1313" s="1" t="s">
        <v>1555</v>
      </c>
      <c r="F1313" s="3">
        <v>0</v>
      </c>
      <c r="I1313" s="24" t="s">
        <v>3265</v>
      </c>
      <c r="J1313" s="24" t="s">
        <v>2920</v>
      </c>
      <c r="K1313" s="3">
        <v>25</v>
      </c>
      <c r="L1313" s="3" t="s">
        <v>6906</v>
      </c>
      <c r="M1313" s="3" t="str">
        <f>HYPERLINK("http://ictvonline.org/taxonomyHistory.asp?taxnode_id=20151703","ICTVonline=20151703")</f>
        <v>ICTVonline=20151703</v>
      </c>
    </row>
    <row r="1314" spans="1:13" x14ac:dyDescent="0.15">
      <c r="A1314" s="1" t="s">
        <v>1211</v>
      </c>
      <c r="B1314" s="1" t="s">
        <v>1399</v>
      </c>
      <c r="D1314" s="1" t="s">
        <v>1570</v>
      </c>
      <c r="E1314" s="1" t="s">
        <v>1556</v>
      </c>
      <c r="F1314" s="3">
        <v>0</v>
      </c>
      <c r="I1314" s="24" t="s">
        <v>3265</v>
      </c>
      <c r="J1314" s="24" t="s">
        <v>2920</v>
      </c>
      <c r="K1314" s="3">
        <v>25</v>
      </c>
      <c r="L1314" s="3" t="s">
        <v>6906</v>
      </c>
      <c r="M1314" s="3" t="str">
        <f>HYPERLINK("http://ictvonline.org/taxonomyHistory.asp?taxnode_id=20151704","ICTVonline=20151704")</f>
        <v>ICTVonline=20151704</v>
      </c>
    </row>
    <row r="1315" spans="1:13" x14ac:dyDescent="0.15">
      <c r="A1315" s="1" t="s">
        <v>1211</v>
      </c>
      <c r="B1315" s="1" t="s">
        <v>1399</v>
      </c>
      <c r="D1315" s="1" t="s">
        <v>1570</v>
      </c>
      <c r="E1315" s="1" t="s">
        <v>376</v>
      </c>
      <c r="F1315" s="3">
        <v>0</v>
      </c>
      <c r="I1315" s="24" t="s">
        <v>3265</v>
      </c>
      <c r="J1315" s="24" t="s">
        <v>2920</v>
      </c>
      <c r="K1315" s="3">
        <v>25</v>
      </c>
      <c r="L1315" s="3" t="s">
        <v>6906</v>
      </c>
      <c r="M1315" s="3" t="str">
        <f>HYPERLINK("http://ictvonline.org/taxonomyHistory.asp?taxnode_id=20151705","ICTVonline=20151705")</f>
        <v>ICTVonline=20151705</v>
      </c>
    </row>
    <row r="1316" spans="1:13" x14ac:dyDescent="0.15">
      <c r="A1316" s="1" t="s">
        <v>1211</v>
      </c>
      <c r="B1316" s="1" t="s">
        <v>1399</v>
      </c>
      <c r="D1316" s="1" t="s">
        <v>1570</v>
      </c>
      <c r="E1316" s="1" t="s">
        <v>377</v>
      </c>
      <c r="F1316" s="3">
        <v>0</v>
      </c>
      <c r="G1316" s="24" t="s">
        <v>5027</v>
      </c>
      <c r="H1316" s="24" t="s">
        <v>5028</v>
      </c>
      <c r="I1316" s="24" t="s">
        <v>3265</v>
      </c>
      <c r="J1316" s="24" t="s">
        <v>2920</v>
      </c>
      <c r="K1316" s="3">
        <v>25</v>
      </c>
      <c r="L1316" s="3" t="s">
        <v>6906</v>
      </c>
      <c r="M1316" s="3" t="str">
        <f>HYPERLINK("http://ictvonline.org/taxonomyHistory.asp?taxnode_id=20151706","ICTVonline=20151706")</f>
        <v>ICTVonline=20151706</v>
      </c>
    </row>
    <row r="1317" spans="1:13" x14ac:dyDescent="0.15">
      <c r="A1317" s="1" t="s">
        <v>1211</v>
      </c>
      <c r="B1317" s="1" t="s">
        <v>1399</v>
      </c>
      <c r="D1317" s="1" t="s">
        <v>1570</v>
      </c>
      <c r="E1317" s="1" t="s">
        <v>378</v>
      </c>
      <c r="F1317" s="3">
        <v>0</v>
      </c>
      <c r="G1317" s="24" t="s">
        <v>5029</v>
      </c>
      <c r="H1317" s="24" t="s">
        <v>5005</v>
      </c>
      <c r="I1317" s="24" t="s">
        <v>3265</v>
      </c>
      <c r="J1317" s="24" t="s">
        <v>2920</v>
      </c>
      <c r="K1317" s="3">
        <v>25</v>
      </c>
      <c r="L1317" s="3" t="s">
        <v>6906</v>
      </c>
      <c r="M1317" s="3" t="str">
        <f>HYPERLINK("http://ictvonline.org/taxonomyHistory.asp?taxnode_id=20151707","ICTVonline=20151707")</f>
        <v>ICTVonline=20151707</v>
      </c>
    </row>
    <row r="1318" spans="1:13" x14ac:dyDescent="0.15">
      <c r="A1318" s="1" t="s">
        <v>1211</v>
      </c>
      <c r="B1318" s="1" t="s">
        <v>1399</v>
      </c>
      <c r="D1318" s="1" t="s">
        <v>1570</v>
      </c>
      <c r="E1318" s="1" t="s">
        <v>379</v>
      </c>
      <c r="F1318" s="3">
        <v>0</v>
      </c>
      <c r="G1318" s="24" t="s">
        <v>5030</v>
      </c>
      <c r="H1318" s="24" t="s">
        <v>5005</v>
      </c>
      <c r="I1318" s="24" t="s">
        <v>3265</v>
      </c>
      <c r="J1318" s="24" t="s">
        <v>2920</v>
      </c>
      <c r="K1318" s="3">
        <v>25</v>
      </c>
      <c r="L1318" s="3" t="s">
        <v>6906</v>
      </c>
      <c r="M1318" s="3" t="str">
        <f>HYPERLINK("http://ictvonline.org/taxonomyHistory.asp?taxnode_id=20151708","ICTVonline=20151708")</f>
        <v>ICTVonline=20151708</v>
      </c>
    </row>
    <row r="1319" spans="1:13" x14ac:dyDescent="0.15">
      <c r="A1319" s="1" t="s">
        <v>1211</v>
      </c>
      <c r="B1319" s="1" t="s">
        <v>1399</v>
      </c>
      <c r="D1319" s="1" t="s">
        <v>1570</v>
      </c>
      <c r="E1319" s="1" t="s">
        <v>380</v>
      </c>
      <c r="F1319" s="3">
        <v>0</v>
      </c>
      <c r="G1319" s="24" t="s">
        <v>5031</v>
      </c>
      <c r="H1319" s="24" t="s">
        <v>5032</v>
      </c>
      <c r="I1319" s="24" t="s">
        <v>3265</v>
      </c>
      <c r="J1319" s="24" t="s">
        <v>2920</v>
      </c>
      <c r="K1319" s="3">
        <v>25</v>
      </c>
      <c r="L1319" s="3" t="s">
        <v>6906</v>
      </c>
      <c r="M1319" s="3" t="str">
        <f>HYPERLINK("http://ictvonline.org/taxonomyHistory.asp?taxnode_id=20151709","ICTVonline=20151709")</f>
        <v>ICTVonline=20151709</v>
      </c>
    </row>
    <row r="1320" spans="1:13" x14ac:dyDescent="0.15">
      <c r="A1320" s="1" t="s">
        <v>1211</v>
      </c>
      <c r="B1320" s="1" t="s">
        <v>1399</v>
      </c>
      <c r="D1320" s="1" t="s">
        <v>1570</v>
      </c>
      <c r="E1320" s="1" t="s">
        <v>249</v>
      </c>
      <c r="F1320" s="3">
        <v>0</v>
      </c>
      <c r="I1320" s="24" t="s">
        <v>3265</v>
      </c>
      <c r="J1320" s="24" t="s">
        <v>2920</v>
      </c>
      <c r="K1320" s="3">
        <v>25</v>
      </c>
      <c r="L1320" s="3" t="s">
        <v>6906</v>
      </c>
      <c r="M1320" s="3" t="str">
        <f>HYPERLINK("http://ictvonline.org/taxonomyHistory.asp?taxnode_id=20151710","ICTVonline=20151710")</f>
        <v>ICTVonline=20151710</v>
      </c>
    </row>
    <row r="1321" spans="1:13" x14ac:dyDescent="0.15">
      <c r="A1321" s="1" t="s">
        <v>1211</v>
      </c>
      <c r="B1321" s="1" t="s">
        <v>1399</v>
      </c>
      <c r="D1321" s="1" t="s">
        <v>1570</v>
      </c>
      <c r="E1321" s="1" t="s">
        <v>1299</v>
      </c>
      <c r="F1321" s="3">
        <v>1</v>
      </c>
      <c r="I1321" s="24" t="s">
        <v>3265</v>
      </c>
      <c r="J1321" s="24" t="s">
        <v>2920</v>
      </c>
      <c r="K1321" s="3">
        <v>25</v>
      </c>
      <c r="L1321" s="3" t="s">
        <v>6906</v>
      </c>
      <c r="M1321" s="3" t="str">
        <f>HYPERLINK("http://ictvonline.org/taxonomyHistory.asp?taxnode_id=20151711","ICTVonline=20151711")</f>
        <v>ICTVonline=20151711</v>
      </c>
    </row>
    <row r="1322" spans="1:13" x14ac:dyDescent="0.15">
      <c r="A1322" s="1" t="s">
        <v>1211</v>
      </c>
      <c r="B1322" s="1" t="s">
        <v>1399</v>
      </c>
      <c r="D1322" s="1" t="s">
        <v>1570</v>
      </c>
      <c r="E1322" s="1" t="s">
        <v>1300</v>
      </c>
      <c r="F1322" s="3">
        <v>0</v>
      </c>
      <c r="I1322" s="24" t="s">
        <v>3265</v>
      </c>
      <c r="J1322" s="24" t="s">
        <v>2920</v>
      </c>
      <c r="K1322" s="3">
        <v>25</v>
      </c>
      <c r="L1322" s="3" t="s">
        <v>6906</v>
      </c>
      <c r="M1322" s="3" t="str">
        <f>HYPERLINK("http://ictvonline.org/taxonomyHistory.asp?taxnode_id=20151712","ICTVonline=20151712")</f>
        <v>ICTVonline=20151712</v>
      </c>
    </row>
    <row r="1323" spans="1:13" x14ac:dyDescent="0.15">
      <c r="A1323" s="1" t="s">
        <v>1211</v>
      </c>
      <c r="B1323" s="1" t="s">
        <v>1399</v>
      </c>
      <c r="D1323" s="1" t="s">
        <v>1570</v>
      </c>
      <c r="E1323" s="1" t="s">
        <v>1301</v>
      </c>
      <c r="F1323" s="3">
        <v>0</v>
      </c>
      <c r="G1323" s="24" t="s">
        <v>5033</v>
      </c>
      <c r="H1323" s="24" t="s">
        <v>5034</v>
      </c>
      <c r="I1323" s="24" t="s">
        <v>3265</v>
      </c>
      <c r="J1323" s="24" t="s">
        <v>2920</v>
      </c>
      <c r="K1323" s="3">
        <v>25</v>
      </c>
      <c r="L1323" s="3" t="s">
        <v>6906</v>
      </c>
      <c r="M1323" s="3" t="str">
        <f>HYPERLINK("http://ictvonline.org/taxonomyHistory.asp?taxnode_id=20151713","ICTVonline=20151713")</f>
        <v>ICTVonline=20151713</v>
      </c>
    </row>
    <row r="1324" spans="1:13" x14ac:dyDescent="0.15">
      <c r="A1324" s="1" t="s">
        <v>1211</v>
      </c>
      <c r="B1324" s="1" t="s">
        <v>1399</v>
      </c>
      <c r="D1324" s="1" t="s">
        <v>934</v>
      </c>
      <c r="E1324" s="1" t="s">
        <v>13</v>
      </c>
      <c r="F1324" s="3">
        <v>0</v>
      </c>
      <c r="G1324" s="24" t="s">
        <v>5035</v>
      </c>
      <c r="H1324" s="24" t="s">
        <v>5036</v>
      </c>
      <c r="I1324" s="24" t="s">
        <v>3265</v>
      </c>
      <c r="J1324" s="24" t="s">
        <v>2919</v>
      </c>
      <c r="K1324" s="3">
        <v>26</v>
      </c>
      <c r="L1324" s="3" t="s">
        <v>6912</v>
      </c>
      <c r="M1324" s="3" t="str">
        <f>HYPERLINK("http://ictvonline.org/taxonomyHistory.asp?taxnode_id=20151673","ICTVonline=20151673")</f>
        <v>ICTVonline=20151673</v>
      </c>
    </row>
    <row r="1325" spans="1:13" x14ac:dyDescent="0.15">
      <c r="A1325" s="1" t="s">
        <v>1211</v>
      </c>
      <c r="B1325" s="1" t="s">
        <v>1399</v>
      </c>
      <c r="D1325" s="1" t="s">
        <v>934</v>
      </c>
      <c r="E1325" s="1" t="s">
        <v>14</v>
      </c>
      <c r="F1325" s="3">
        <v>0</v>
      </c>
      <c r="I1325" s="24" t="s">
        <v>3265</v>
      </c>
      <c r="J1325" s="24" t="s">
        <v>2919</v>
      </c>
      <c r="K1325" s="3">
        <v>26</v>
      </c>
      <c r="L1325" s="3" t="s">
        <v>6913</v>
      </c>
      <c r="M1325" s="3" t="str">
        <f>HYPERLINK("http://ictvonline.org/taxonomyHistory.asp?taxnode_id=20151674","ICTVonline=20151674")</f>
        <v>ICTVonline=20151674</v>
      </c>
    </row>
    <row r="1326" spans="1:13" x14ac:dyDescent="0.15">
      <c r="A1326" s="1" t="s">
        <v>934</v>
      </c>
      <c r="B1326" s="1" t="s">
        <v>1902</v>
      </c>
      <c r="D1326" s="1" t="s">
        <v>1903</v>
      </c>
      <c r="E1326" s="1" t="s">
        <v>2483</v>
      </c>
      <c r="F1326" s="3">
        <v>0</v>
      </c>
      <c r="I1326" s="24" t="s">
        <v>2965</v>
      </c>
      <c r="J1326" s="24" t="s">
        <v>2924</v>
      </c>
      <c r="K1326" s="3">
        <v>28</v>
      </c>
      <c r="L1326" s="3" t="s">
        <v>6914</v>
      </c>
      <c r="M1326" s="3" t="str">
        <f>HYPERLINK("http://ictvonline.org/taxonomyHistory.asp?taxnode_id=20151718","ICTVonline=20151718")</f>
        <v>ICTVonline=20151718</v>
      </c>
    </row>
    <row r="1327" spans="1:13" x14ac:dyDescent="0.15">
      <c r="A1327" s="1" t="s">
        <v>934</v>
      </c>
      <c r="B1327" s="1" t="s">
        <v>1902</v>
      </c>
      <c r="D1327" s="1" t="s">
        <v>1903</v>
      </c>
      <c r="E1327" s="1" t="s">
        <v>2484</v>
      </c>
      <c r="F1327" s="3">
        <v>0</v>
      </c>
      <c r="I1327" s="24" t="s">
        <v>2965</v>
      </c>
      <c r="J1327" s="24" t="s">
        <v>2924</v>
      </c>
      <c r="K1327" s="3">
        <v>28</v>
      </c>
      <c r="L1327" s="3" t="s">
        <v>6914</v>
      </c>
      <c r="M1327" s="3" t="str">
        <f>HYPERLINK("http://ictvonline.org/taxonomyHistory.asp?taxnode_id=20151719","ICTVonline=20151719")</f>
        <v>ICTVonline=20151719</v>
      </c>
    </row>
    <row r="1328" spans="1:13" x14ac:dyDescent="0.15">
      <c r="A1328" s="1" t="s">
        <v>934</v>
      </c>
      <c r="B1328" s="1" t="s">
        <v>1902</v>
      </c>
      <c r="D1328" s="1" t="s">
        <v>1903</v>
      </c>
      <c r="E1328" s="1" t="s">
        <v>2485</v>
      </c>
      <c r="F1328" s="3">
        <v>1</v>
      </c>
      <c r="I1328" s="24" t="s">
        <v>2965</v>
      </c>
      <c r="J1328" s="24" t="s">
        <v>2924</v>
      </c>
      <c r="K1328" s="3">
        <v>28</v>
      </c>
      <c r="L1328" s="3" t="s">
        <v>6914</v>
      </c>
      <c r="M1328" s="3" t="str">
        <f>HYPERLINK("http://ictvonline.org/taxonomyHistory.asp?taxnode_id=20151720","ICTVonline=20151720")</f>
        <v>ICTVonline=20151720</v>
      </c>
    </row>
    <row r="1329" spans="1:13" x14ac:dyDescent="0.15">
      <c r="A1329" s="1" t="s">
        <v>934</v>
      </c>
      <c r="B1329" s="1" t="s">
        <v>1902</v>
      </c>
      <c r="D1329" s="1" t="s">
        <v>1903</v>
      </c>
      <c r="E1329" s="1" t="s">
        <v>2486</v>
      </c>
      <c r="F1329" s="3">
        <v>0</v>
      </c>
      <c r="I1329" s="24" t="s">
        <v>2965</v>
      </c>
      <c r="J1329" s="24" t="s">
        <v>2924</v>
      </c>
      <c r="K1329" s="3">
        <v>28</v>
      </c>
      <c r="L1329" s="3" t="s">
        <v>6914</v>
      </c>
      <c r="M1329" s="3" t="str">
        <f>HYPERLINK("http://ictvonline.org/taxonomyHistory.asp?taxnode_id=20151721","ICTVonline=20151721")</f>
        <v>ICTVonline=20151721</v>
      </c>
    </row>
    <row r="1330" spans="1:13" x14ac:dyDescent="0.15">
      <c r="A1330" s="1" t="s">
        <v>934</v>
      </c>
      <c r="B1330" s="1" t="s">
        <v>1902</v>
      </c>
      <c r="D1330" s="1" t="s">
        <v>1903</v>
      </c>
      <c r="E1330" s="1" t="s">
        <v>2487</v>
      </c>
      <c r="F1330" s="3">
        <v>0</v>
      </c>
      <c r="I1330" s="24" t="s">
        <v>2965</v>
      </c>
      <c r="J1330" s="24" t="s">
        <v>2924</v>
      </c>
      <c r="K1330" s="3">
        <v>28</v>
      </c>
      <c r="L1330" s="3" t="s">
        <v>6914</v>
      </c>
      <c r="M1330" s="3" t="str">
        <f>HYPERLINK("http://ictvonline.org/taxonomyHistory.asp?taxnode_id=20151722","ICTVonline=20151722")</f>
        <v>ICTVonline=20151722</v>
      </c>
    </row>
    <row r="1331" spans="1:13" x14ac:dyDescent="0.15">
      <c r="A1331" s="1" t="s">
        <v>934</v>
      </c>
      <c r="B1331" s="1" t="s">
        <v>1902</v>
      </c>
      <c r="D1331" s="1" t="s">
        <v>1456</v>
      </c>
      <c r="E1331" s="1" t="s">
        <v>5037</v>
      </c>
      <c r="F1331" s="3">
        <v>0</v>
      </c>
      <c r="G1331" s="24" t="s">
        <v>7496</v>
      </c>
      <c r="H1331" s="24" t="s">
        <v>5038</v>
      </c>
      <c r="I1331" s="24" t="s">
        <v>2965</v>
      </c>
      <c r="J1331" s="24" t="s">
        <v>2919</v>
      </c>
      <c r="K1331" s="3">
        <v>30</v>
      </c>
      <c r="L1331" s="3" t="s">
        <v>6915</v>
      </c>
      <c r="M1331" s="3" t="str">
        <f>HYPERLINK("http://ictvonline.org/taxonomyHistory.asp?taxnode_id=20151732","ICTVonline=20151732")</f>
        <v>ICTVonline=20151732</v>
      </c>
    </row>
    <row r="1332" spans="1:13" x14ac:dyDescent="0.15">
      <c r="A1332" s="1" t="s">
        <v>934</v>
      </c>
      <c r="B1332" s="1" t="s">
        <v>1902</v>
      </c>
      <c r="D1332" s="1" t="s">
        <v>1456</v>
      </c>
      <c r="E1332" s="1" t="s">
        <v>2488</v>
      </c>
      <c r="F1332" s="3">
        <v>0</v>
      </c>
      <c r="I1332" s="24" t="s">
        <v>2965</v>
      </c>
      <c r="J1332" s="24" t="s">
        <v>2924</v>
      </c>
      <c r="K1332" s="3">
        <v>28</v>
      </c>
      <c r="L1332" s="3" t="s">
        <v>6914</v>
      </c>
      <c r="M1332" s="3" t="str">
        <f>HYPERLINK("http://ictvonline.org/taxonomyHistory.asp?taxnode_id=20151724","ICTVonline=20151724")</f>
        <v>ICTVonline=20151724</v>
      </c>
    </row>
    <row r="1333" spans="1:13" x14ac:dyDescent="0.15">
      <c r="A1333" s="1" t="s">
        <v>934</v>
      </c>
      <c r="B1333" s="1" t="s">
        <v>1902</v>
      </c>
      <c r="D1333" s="1" t="s">
        <v>1456</v>
      </c>
      <c r="E1333" s="1" t="s">
        <v>2489</v>
      </c>
      <c r="F1333" s="3">
        <v>1</v>
      </c>
      <c r="I1333" s="24" t="s">
        <v>2965</v>
      </c>
      <c r="J1333" s="24" t="s">
        <v>2924</v>
      </c>
      <c r="K1333" s="3">
        <v>28</v>
      </c>
      <c r="L1333" s="3" t="s">
        <v>6914</v>
      </c>
      <c r="M1333" s="3" t="str">
        <f>HYPERLINK("http://ictvonline.org/taxonomyHistory.asp?taxnode_id=20151725","ICTVonline=20151725")</f>
        <v>ICTVonline=20151725</v>
      </c>
    </row>
    <row r="1334" spans="1:13" x14ac:dyDescent="0.15">
      <c r="A1334" s="1" t="s">
        <v>934</v>
      </c>
      <c r="B1334" s="1" t="s">
        <v>1902</v>
      </c>
      <c r="D1334" s="1" t="s">
        <v>1456</v>
      </c>
      <c r="E1334" s="1" t="s">
        <v>2490</v>
      </c>
      <c r="F1334" s="3">
        <v>0</v>
      </c>
      <c r="I1334" s="24" t="s">
        <v>2965</v>
      </c>
      <c r="J1334" s="24" t="s">
        <v>2924</v>
      </c>
      <c r="K1334" s="3">
        <v>28</v>
      </c>
      <c r="L1334" s="3" t="s">
        <v>6914</v>
      </c>
      <c r="M1334" s="3" t="str">
        <f>HYPERLINK("http://ictvonline.org/taxonomyHistory.asp?taxnode_id=20151726","ICTVonline=20151726")</f>
        <v>ICTVonline=20151726</v>
      </c>
    </row>
    <row r="1335" spans="1:13" x14ac:dyDescent="0.15">
      <c r="A1335" s="1" t="s">
        <v>934</v>
      </c>
      <c r="B1335" s="1" t="s">
        <v>1902</v>
      </c>
      <c r="D1335" s="1" t="s">
        <v>1456</v>
      </c>
      <c r="E1335" s="1" t="s">
        <v>2491</v>
      </c>
      <c r="F1335" s="3">
        <v>0</v>
      </c>
      <c r="I1335" s="24" t="s">
        <v>2965</v>
      </c>
      <c r="J1335" s="24" t="s">
        <v>2924</v>
      </c>
      <c r="K1335" s="3">
        <v>28</v>
      </c>
      <c r="L1335" s="3" t="s">
        <v>6914</v>
      </c>
      <c r="M1335" s="3" t="str">
        <f>HYPERLINK("http://ictvonline.org/taxonomyHistory.asp?taxnode_id=20151727","ICTVonline=20151727")</f>
        <v>ICTVonline=20151727</v>
      </c>
    </row>
    <row r="1336" spans="1:13" x14ac:dyDescent="0.15">
      <c r="A1336" s="1" t="s">
        <v>934</v>
      </c>
      <c r="B1336" s="1" t="s">
        <v>1902</v>
      </c>
      <c r="D1336" s="1" t="s">
        <v>1456</v>
      </c>
      <c r="E1336" s="1" t="s">
        <v>2492</v>
      </c>
      <c r="F1336" s="3">
        <v>0</v>
      </c>
      <c r="I1336" s="24" t="s">
        <v>2965</v>
      </c>
      <c r="J1336" s="24" t="s">
        <v>2924</v>
      </c>
      <c r="K1336" s="3">
        <v>28</v>
      </c>
      <c r="L1336" s="3" t="s">
        <v>6914</v>
      </c>
      <c r="M1336" s="3" t="str">
        <f>HYPERLINK("http://ictvonline.org/taxonomyHistory.asp?taxnode_id=20151728","ICTVonline=20151728")</f>
        <v>ICTVonline=20151728</v>
      </c>
    </row>
    <row r="1337" spans="1:13" x14ac:dyDescent="0.15">
      <c r="A1337" s="1" t="s">
        <v>934</v>
      </c>
      <c r="B1337" s="1" t="s">
        <v>1902</v>
      </c>
      <c r="D1337" s="1" t="s">
        <v>1456</v>
      </c>
      <c r="E1337" s="1" t="s">
        <v>2493</v>
      </c>
      <c r="F1337" s="3">
        <v>0</v>
      </c>
      <c r="I1337" s="24" t="s">
        <v>2965</v>
      </c>
      <c r="J1337" s="24" t="s">
        <v>2924</v>
      </c>
      <c r="K1337" s="3">
        <v>28</v>
      </c>
      <c r="L1337" s="3" t="s">
        <v>6914</v>
      </c>
      <c r="M1337" s="3" t="str">
        <f>HYPERLINK("http://ictvonline.org/taxonomyHistory.asp?taxnode_id=20151729","ICTVonline=20151729")</f>
        <v>ICTVonline=20151729</v>
      </c>
    </row>
    <row r="1338" spans="1:13" x14ac:dyDescent="0.15">
      <c r="A1338" s="1" t="s">
        <v>934</v>
      </c>
      <c r="B1338" s="1" t="s">
        <v>1902</v>
      </c>
      <c r="D1338" s="1" t="s">
        <v>1456</v>
      </c>
      <c r="E1338" s="1" t="s">
        <v>2494</v>
      </c>
      <c r="F1338" s="3">
        <v>0</v>
      </c>
      <c r="I1338" s="24" t="s">
        <v>2965</v>
      </c>
      <c r="J1338" s="24" t="s">
        <v>2924</v>
      </c>
      <c r="K1338" s="3">
        <v>28</v>
      </c>
      <c r="L1338" s="3" t="s">
        <v>6914</v>
      </c>
      <c r="M1338" s="3" t="str">
        <f>HYPERLINK("http://ictvonline.org/taxonomyHistory.asp?taxnode_id=20151730","ICTVonline=20151730")</f>
        <v>ICTVonline=20151730</v>
      </c>
    </row>
    <row r="1339" spans="1:13" x14ac:dyDescent="0.15">
      <c r="A1339" s="1" t="s">
        <v>934</v>
      </c>
      <c r="B1339" s="1" t="s">
        <v>1902</v>
      </c>
      <c r="D1339" s="1" t="s">
        <v>1456</v>
      </c>
      <c r="E1339" s="1" t="s">
        <v>5039</v>
      </c>
      <c r="F1339" s="3">
        <v>0</v>
      </c>
      <c r="G1339" s="24" t="s">
        <v>7497</v>
      </c>
      <c r="H1339" s="24" t="s">
        <v>5040</v>
      </c>
      <c r="I1339" s="24" t="s">
        <v>2965</v>
      </c>
      <c r="J1339" s="24" t="s">
        <v>2919</v>
      </c>
      <c r="K1339" s="3">
        <v>30</v>
      </c>
      <c r="L1339" s="3" t="s">
        <v>6915</v>
      </c>
      <c r="M1339" s="3" t="str">
        <f>HYPERLINK("http://ictvonline.org/taxonomyHistory.asp?taxnode_id=20151733","ICTVonline=20151733")</f>
        <v>ICTVonline=20151733</v>
      </c>
    </row>
    <row r="1340" spans="1:13" x14ac:dyDescent="0.15">
      <c r="A1340" s="1" t="s">
        <v>934</v>
      </c>
      <c r="B1340" s="1" t="s">
        <v>1902</v>
      </c>
      <c r="D1340" s="1" t="s">
        <v>1456</v>
      </c>
      <c r="E1340" s="1" t="s">
        <v>2495</v>
      </c>
      <c r="F1340" s="3">
        <v>0</v>
      </c>
      <c r="I1340" s="24" t="s">
        <v>2965</v>
      </c>
      <c r="J1340" s="24" t="s">
        <v>2924</v>
      </c>
      <c r="K1340" s="3">
        <v>28</v>
      </c>
      <c r="L1340" s="3" t="s">
        <v>6914</v>
      </c>
      <c r="M1340" s="3" t="str">
        <f>HYPERLINK("http://ictvonline.org/taxonomyHistory.asp?taxnode_id=20151731","ICTVonline=20151731")</f>
        <v>ICTVonline=20151731</v>
      </c>
    </row>
    <row r="1341" spans="1:13" x14ac:dyDescent="0.15">
      <c r="A1341" s="1" t="s">
        <v>934</v>
      </c>
      <c r="B1341" s="1" t="s">
        <v>1902</v>
      </c>
      <c r="D1341" s="1" t="s">
        <v>1456</v>
      </c>
      <c r="E1341" s="1" t="s">
        <v>5041</v>
      </c>
      <c r="F1341" s="3">
        <v>0</v>
      </c>
      <c r="G1341" s="24" t="s">
        <v>7498</v>
      </c>
      <c r="H1341" s="24" t="s">
        <v>5042</v>
      </c>
      <c r="I1341" s="24" t="s">
        <v>2965</v>
      </c>
      <c r="J1341" s="24" t="s">
        <v>2919</v>
      </c>
      <c r="K1341" s="3">
        <v>30</v>
      </c>
      <c r="L1341" s="3" t="s">
        <v>6915</v>
      </c>
      <c r="M1341" s="3" t="str">
        <f>HYPERLINK("http://ictvonline.org/taxonomyHistory.asp?taxnode_id=20151734","ICTVonline=20151734")</f>
        <v>ICTVonline=20151734</v>
      </c>
    </row>
    <row r="1342" spans="1:13" x14ac:dyDescent="0.15">
      <c r="A1342" s="1" t="s">
        <v>934</v>
      </c>
      <c r="B1342" s="1" t="s">
        <v>1902</v>
      </c>
      <c r="D1342" s="1" t="s">
        <v>1456</v>
      </c>
      <c r="E1342" s="1" t="s">
        <v>5043</v>
      </c>
      <c r="F1342" s="3">
        <v>0</v>
      </c>
      <c r="G1342" s="24" t="s">
        <v>7499</v>
      </c>
      <c r="H1342" s="24" t="s">
        <v>5044</v>
      </c>
      <c r="I1342" s="24" t="s">
        <v>2965</v>
      </c>
      <c r="J1342" s="24" t="s">
        <v>2919</v>
      </c>
      <c r="K1342" s="3">
        <v>30</v>
      </c>
      <c r="L1342" s="3" t="s">
        <v>6915</v>
      </c>
      <c r="M1342" s="3" t="str">
        <f>HYPERLINK("http://ictvonline.org/taxonomyHistory.asp?taxnode_id=20151735","ICTVonline=20151735")</f>
        <v>ICTVonline=20151735</v>
      </c>
    </row>
    <row r="1343" spans="1:13" x14ac:dyDescent="0.15">
      <c r="A1343" s="1" t="s">
        <v>934</v>
      </c>
      <c r="B1343" s="1" t="s">
        <v>1902</v>
      </c>
      <c r="D1343" s="1" t="s">
        <v>1036</v>
      </c>
      <c r="E1343" s="1" t="s">
        <v>2496</v>
      </c>
      <c r="F1343" s="3">
        <v>1</v>
      </c>
      <c r="I1343" s="24" t="s">
        <v>2965</v>
      </c>
      <c r="J1343" s="24" t="s">
        <v>2924</v>
      </c>
      <c r="K1343" s="3">
        <v>28</v>
      </c>
      <c r="L1343" s="3" t="s">
        <v>6914</v>
      </c>
      <c r="M1343" s="3" t="str">
        <f>HYPERLINK("http://ictvonline.org/taxonomyHistory.asp?taxnode_id=20151737","ICTVonline=20151737")</f>
        <v>ICTVonline=20151737</v>
      </c>
    </row>
    <row r="1344" spans="1:13" x14ac:dyDescent="0.15">
      <c r="A1344" s="1" t="s">
        <v>934</v>
      </c>
      <c r="B1344" s="1" t="s">
        <v>1902</v>
      </c>
      <c r="D1344" s="1" t="s">
        <v>1532</v>
      </c>
      <c r="E1344" s="1" t="s">
        <v>2497</v>
      </c>
      <c r="F1344" s="3">
        <v>0</v>
      </c>
      <c r="I1344" s="24" t="s">
        <v>2965</v>
      </c>
      <c r="J1344" s="24" t="s">
        <v>2924</v>
      </c>
      <c r="K1344" s="3">
        <v>28</v>
      </c>
      <c r="L1344" s="3" t="s">
        <v>6914</v>
      </c>
      <c r="M1344" s="3" t="str">
        <f>HYPERLINK("http://ictvonline.org/taxonomyHistory.asp?taxnode_id=20151739","ICTVonline=20151739")</f>
        <v>ICTVonline=20151739</v>
      </c>
    </row>
    <row r="1345" spans="1:13" x14ac:dyDescent="0.15">
      <c r="A1345" s="1" t="s">
        <v>934</v>
      </c>
      <c r="B1345" s="1" t="s">
        <v>1902</v>
      </c>
      <c r="C1345" s="2"/>
      <c r="D1345" s="1" t="s">
        <v>1532</v>
      </c>
      <c r="E1345" s="1" t="s">
        <v>2498</v>
      </c>
      <c r="F1345" s="3">
        <v>0</v>
      </c>
      <c r="I1345" s="24" t="s">
        <v>2965</v>
      </c>
      <c r="J1345" s="24" t="s">
        <v>2924</v>
      </c>
      <c r="K1345" s="3">
        <v>28</v>
      </c>
      <c r="L1345" s="3" t="s">
        <v>6914</v>
      </c>
      <c r="M1345" s="3" t="str">
        <f>HYPERLINK("http://ictvonline.org/taxonomyHistory.asp?taxnode_id=20151740","ICTVonline=20151740")</f>
        <v>ICTVonline=20151740</v>
      </c>
    </row>
    <row r="1346" spans="1:13" x14ac:dyDescent="0.15">
      <c r="A1346" s="1" t="s">
        <v>934</v>
      </c>
      <c r="B1346" s="1" t="s">
        <v>1902</v>
      </c>
      <c r="D1346" s="1" t="s">
        <v>1532</v>
      </c>
      <c r="E1346" s="1" t="s">
        <v>2499</v>
      </c>
      <c r="F1346" s="3">
        <v>0</v>
      </c>
      <c r="I1346" s="24" t="s">
        <v>2965</v>
      </c>
      <c r="J1346" s="24" t="s">
        <v>2924</v>
      </c>
      <c r="K1346" s="3">
        <v>28</v>
      </c>
      <c r="L1346" s="3" t="s">
        <v>6914</v>
      </c>
      <c r="M1346" s="3" t="str">
        <f>HYPERLINK("http://ictvonline.org/taxonomyHistory.asp?taxnode_id=20151741","ICTVonline=20151741")</f>
        <v>ICTVonline=20151741</v>
      </c>
    </row>
    <row r="1347" spans="1:13" x14ac:dyDescent="0.15">
      <c r="A1347" s="1" t="s">
        <v>934</v>
      </c>
      <c r="B1347" s="1" t="s">
        <v>1902</v>
      </c>
      <c r="D1347" s="1" t="s">
        <v>1532</v>
      </c>
      <c r="E1347" s="1" t="s">
        <v>2500</v>
      </c>
      <c r="F1347" s="3">
        <v>0</v>
      </c>
      <c r="I1347" s="24" t="s">
        <v>2965</v>
      </c>
      <c r="J1347" s="24" t="s">
        <v>2924</v>
      </c>
      <c r="K1347" s="3">
        <v>28</v>
      </c>
      <c r="L1347" s="3" t="s">
        <v>6914</v>
      </c>
      <c r="M1347" s="3" t="str">
        <f>HYPERLINK("http://ictvonline.org/taxonomyHistory.asp?taxnode_id=20151742","ICTVonline=20151742")</f>
        <v>ICTVonline=20151742</v>
      </c>
    </row>
    <row r="1348" spans="1:13" x14ac:dyDescent="0.15">
      <c r="A1348" s="1" t="s">
        <v>934</v>
      </c>
      <c r="B1348" s="1" t="s">
        <v>1902</v>
      </c>
      <c r="D1348" s="1" t="s">
        <v>1532</v>
      </c>
      <c r="E1348" s="1" t="s">
        <v>2501</v>
      </c>
      <c r="F1348" s="3">
        <v>0</v>
      </c>
      <c r="I1348" s="24" t="s">
        <v>2965</v>
      </c>
      <c r="J1348" s="24" t="s">
        <v>2924</v>
      </c>
      <c r="K1348" s="3">
        <v>28</v>
      </c>
      <c r="L1348" s="3" t="s">
        <v>6914</v>
      </c>
      <c r="M1348" s="3" t="str">
        <f>HYPERLINK("http://ictvonline.org/taxonomyHistory.asp?taxnode_id=20151743","ICTVonline=20151743")</f>
        <v>ICTVonline=20151743</v>
      </c>
    </row>
    <row r="1349" spans="1:13" x14ac:dyDescent="0.15">
      <c r="A1349" s="1" t="s">
        <v>934</v>
      </c>
      <c r="B1349" s="1" t="s">
        <v>1902</v>
      </c>
      <c r="D1349" s="1" t="s">
        <v>1532</v>
      </c>
      <c r="E1349" s="1" t="s">
        <v>2502</v>
      </c>
      <c r="F1349" s="3">
        <v>0</v>
      </c>
      <c r="I1349" s="24" t="s">
        <v>2965</v>
      </c>
      <c r="J1349" s="24" t="s">
        <v>2924</v>
      </c>
      <c r="K1349" s="3">
        <v>28</v>
      </c>
      <c r="L1349" s="3" t="s">
        <v>6914</v>
      </c>
      <c r="M1349" s="3" t="str">
        <f>HYPERLINK("http://ictvonline.org/taxonomyHistory.asp?taxnode_id=20151744","ICTVonline=20151744")</f>
        <v>ICTVonline=20151744</v>
      </c>
    </row>
    <row r="1350" spans="1:13" x14ac:dyDescent="0.15">
      <c r="A1350" s="1" t="s">
        <v>934</v>
      </c>
      <c r="B1350" s="1" t="s">
        <v>1902</v>
      </c>
      <c r="D1350" s="1" t="s">
        <v>1532</v>
      </c>
      <c r="E1350" s="1" t="s">
        <v>2503</v>
      </c>
      <c r="F1350" s="3">
        <v>0</v>
      </c>
      <c r="I1350" s="24" t="s">
        <v>2965</v>
      </c>
      <c r="J1350" s="24" t="s">
        <v>2924</v>
      </c>
      <c r="K1350" s="3">
        <v>28</v>
      </c>
      <c r="L1350" s="3" t="s">
        <v>6914</v>
      </c>
      <c r="M1350" s="3" t="str">
        <f>HYPERLINK("http://ictvonline.org/taxonomyHistory.asp?taxnode_id=20151745","ICTVonline=20151745")</f>
        <v>ICTVonline=20151745</v>
      </c>
    </row>
    <row r="1351" spans="1:13" x14ac:dyDescent="0.15">
      <c r="A1351" s="1" t="s">
        <v>934</v>
      </c>
      <c r="B1351" s="1" t="s">
        <v>1902</v>
      </c>
      <c r="D1351" s="1" t="s">
        <v>1532</v>
      </c>
      <c r="E1351" s="1" t="s">
        <v>2504</v>
      </c>
      <c r="F1351" s="3">
        <v>0</v>
      </c>
      <c r="I1351" s="24" t="s">
        <v>2965</v>
      </c>
      <c r="J1351" s="24" t="s">
        <v>2924</v>
      </c>
      <c r="K1351" s="3">
        <v>28</v>
      </c>
      <c r="L1351" s="3" t="s">
        <v>6914</v>
      </c>
      <c r="M1351" s="3" t="str">
        <f>HYPERLINK("http://ictvonline.org/taxonomyHistory.asp?taxnode_id=20151746","ICTVonline=20151746")</f>
        <v>ICTVonline=20151746</v>
      </c>
    </row>
    <row r="1352" spans="1:13" x14ac:dyDescent="0.15">
      <c r="A1352" s="1" t="s">
        <v>934</v>
      </c>
      <c r="B1352" s="1" t="s">
        <v>1902</v>
      </c>
      <c r="D1352" s="1" t="s">
        <v>1532</v>
      </c>
      <c r="E1352" s="1" t="s">
        <v>2505</v>
      </c>
      <c r="F1352" s="3">
        <v>0</v>
      </c>
      <c r="I1352" s="24" t="s">
        <v>2965</v>
      </c>
      <c r="J1352" s="24" t="s">
        <v>2924</v>
      </c>
      <c r="K1352" s="3">
        <v>28</v>
      </c>
      <c r="L1352" s="3" t="s">
        <v>6914</v>
      </c>
      <c r="M1352" s="3" t="str">
        <f>HYPERLINK("http://ictvonline.org/taxonomyHistory.asp?taxnode_id=20151747","ICTVonline=20151747")</f>
        <v>ICTVonline=20151747</v>
      </c>
    </row>
    <row r="1353" spans="1:13" x14ac:dyDescent="0.15">
      <c r="A1353" s="1" t="s">
        <v>934</v>
      </c>
      <c r="B1353" s="1" t="s">
        <v>1902</v>
      </c>
      <c r="D1353" s="1" t="s">
        <v>1532</v>
      </c>
      <c r="E1353" s="1" t="s">
        <v>2506</v>
      </c>
      <c r="F1353" s="3">
        <v>0</v>
      </c>
      <c r="I1353" s="24" t="s">
        <v>2965</v>
      </c>
      <c r="J1353" s="24" t="s">
        <v>2924</v>
      </c>
      <c r="K1353" s="3">
        <v>28</v>
      </c>
      <c r="L1353" s="3" t="s">
        <v>6914</v>
      </c>
      <c r="M1353" s="3" t="str">
        <f>HYPERLINK("http://ictvonline.org/taxonomyHistory.asp?taxnode_id=20151748","ICTVonline=20151748")</f>
        <v>ICTVonline=20151748</v>
      </c>
    </row>
    <row r="1354" spans="1:13" x14ac:dyDescent="0.15">
      <c r="A1354" s="1" t="s">
        <v>934</v>
      </c>
      <c r="B1354" s="1" t="s">
        <v>1902</v>
      </c>
      <c r="D1354" s="1" t="s">
        <v>1532</v>
      </c>
      <c r="E1354" s="1" t="s">
        <v>2507</v>
      </c>
      <c r="F1354" s="3">
        <v>1</v>
      </c>
      <c r="I1354" s="24" t="s">
        <v>2965</v>
      </c>
      <c r="J1354" s="24" t="s">
        <v>2924</v>
      </c>
      <c r="K1354" s="3">
        <v>28</v>
      </c>
      <c r="L1354" s="3" t="s">
        <v>6914</v>
      </c>
      <c r="M1354" s="3" t="str">
        <f>HYPERLINK("http://ictvonline.org/taxonomyHistory.asp?taxnode_id=20151749","ICTVonline=20151749")</f>
        <v>ICTVonline=20151749</v>
      </c>
    </row>
    <row r="1355" spans="1:13" x14ac:dyDescent="0.15">
      <c r="A1355" s="1" t="s">
        <v>934</v>
      </c>
      <c r="B1355" s="1" t="s">
        <v>1902</v>
      </c>
      <c r="D1355" s="1" t="s">
        <v>1532</v>
      </c>
      <c r="E1355" s="1" t="s">
        <v>2508</v>
      </c>
      <c r="F1355" s="3">
        <v>0</v>
      </c>
      <c r="I1355" s="24" t="s">
        <v>2965</v>
      </c>
      <c r="J1355" s="24" t="s">
        <v>2924</v>
      </c>
      <c r="K1355" s="3">
        <v>28</v>
      </c>
      <c r="L1355" s="3" t="s">
        <v>6914</v>
      </c>
      <c r="M1355" s="3" t="str">
        <f>HYPERLINK("http://ictvonline.org/taxonomyHistory.asp?taxnode_id=20151750","ICTVonline=20151750")</f>
        <v>ICTVonline=20151750</v>
      </c>
    </row>
    <row r="1356" spans="1:13" x14ac:dyDescent="0.15">
      <c r="A1356" s="1" t="s">
        <v>934</v>
      </c>
      <c r="B1356" s="1" t="s">
        <v>1902</v>
      </c>
      <c r="D1356" s="1" t="s">
        <v>1532</v>
      </c>
      <c r="E1356" s="1" t="s">
        <v>2509</v>
      </c>
      <c r="F1356" s="3">
        <v>0</v>
      </c>
      <c r="I1356" s="24" t="s">
        <v>2965</v>
      </c>
      <c r="J1356" s="24" t="s">
        <v>2924</v>
      </c>
      <c r="K1356" s="3">
        <v>28</v>
      </c>
      <c r="L1356" s="3" t="s">
        <v>6914</v>
      </c>
      <c r="M1356" s="3" t="str">
        <f>HYPERLINK("http://ictvonline.org/taxonomyHistory.asp?taxnode_id=20151751","ICTVonline=20151751")</f>
        <v>ICTVonline=20151751</v>
      </c>
    </row>
    <row r="1357" spans="1:13" x14ac:dyDescent="0.15">
      <c r="A1357" s="1" t="s">
        <v>934</v>
      </c>
      <c r="B1357" s="1" t="s">
        <v>1902</v>
      </c>
      <c r="D1357" s="1" t="s">
        <v>1532</v>
      </c>
      <c r="E1357" s="1" t="s">
        <v>2510</v>
      </c>
      <c r="F1357" s="3">
        <v>0</v>
      </c>
      <c r="I1357" s="24" t="s">
        <v>2965</v>
      </c>
      <c r="J1357" s="24" t="s">
        <v>2924</v>
      </c>
      <c r="K1357" s="3">
        <v>28</v>
      </c>
      <c r="L1357" s="3" t="s">
        <v>6914</v>
      </c>
      <c r="M1357" s="3" t="str">
        <f>HYPERLINK("http://ictvonline.org/taxonomyHistory.asp?taxnode_id=20151752","ICTVonline=20151752")</f>
        <v>ICTVonline=20151752</v>
      </c>
    </row>
    <row r="1358" spans="1:13" x14ac:dyDescent="0.15">
      <c r="A1358" s="1" t="s">
        <v>934</v>
      </c>
      <c r="B1358" s="1" t="s">
        <v>1902</v>
      </c>
      <c r="D1358" s="1" t="s">
        <v>1532</v>
      </c>
      <c r="E1358" s="1" t="s">
        <v>2511</v>
      </c>
      <c r="F1358" s="3">
        <v>0</v>
      </c>
      <c r="I1358" s="24" t="s">
        <v>2965</v>
      </c>
      <c r="J1358" s="24" t="s">
        <v>2924</v>
      </c>
      <c r="K1358" s="3">
        <v>28</v>
      </c>
      <c r="L1358" s="3" t="s">
        <v>6914</v>
      </c>
      <c r="M1358" s="3" t="str">
        <f>HYPERLINK("http://ictvonline.org/taxonomyHistory.asp?taxnode_id=20151753","ICTVonline=20151753")</f>
        <v>ICTVonline=20151753</v>
      </c>
    </row>
    <row r="1359" spans="1:13" x14ac:dyDescent="0.15">
      <c r="A1359" s="1" t="s">
        <v>934</v>
      </c>
      <c r="B1359" s="1" t="s">
        <v>1902</v>
      </c>
      <c r="D1359" s="1" t="s">
        <v>1532</v>
      </c>
      <c r="E1359" s="1" t="s">
        <v>2512</v>
      </c>
      <c r="F1359" s="3">
        <v>0</v>
      </c>
      <c r="I1359" s="24" t="s">
        <v>2965</v>
      </c>
      <c r="J1359" s="24" t="s">
        <v>2924</v>
      </c>
      <c r="K1359" s="3">
        <v>28</v>
      </c>
      <c r="L1359" s="3" t="s">
        <v>6914</v>
      </c>
      <c r="M1359" s="3" t="str">
        <f>HYPERLINK("http://ictvonline.org/taxonomyHistory.asp?taxnode_id=20151754","ICTVonline=20151754")</f>
        <v>ICTVonline=20151754</v>
      </c>
    </row>
    <row r="1360" spans="1:13" x14ac:dyDescent="0.15">
      <c r="A1360" s="1" t="s">
        <v>934</v>
      </c>
      <c r="B1360" s="1" t="s">
        <v>1902</v>
      </c>
      <c r="D1360" s="1" t="s">
        <v>1532</v>
      </c>
      <c r="E1360" s="1" t="s">
        <v>2513</v>
      </c>
      <c r="F1360" s="3">
        <v>0</v>
      </c>
      <c r="I1360" s="24" t="s">
        <v>2965</v>
      </c>
      <c r="J1360" s="24" t="s">
        <v>2924</v>
      </c>
      <c r="K1360" s="3">
        <v>28</v>
      </c>
      <c r="L1360" s="3" t="s">
        <v>6914</v>
      </c>
      <c r="M1360" s="3" t="str">
        <f>HYPERLINK("http://ictvonline.org/taxonomyHistory.asp?taxnode_id=20151755","ICTVonline=20151755")</f>
        <v>ICTVonline=20151755</v>
      </c>
    </row>
    <row r="1361" spans="1:13" x14ac:dyDescent="0.15">
      <c r="A1361" s="1" t="s">
        <v>934</v>
      </c>
      <c r="B1361" s="1" t="s">
        <v>1902</v>
      </c>
      <c r="D1361" s="1" t="s">
        <v>1532</v>
      </c>
      <c r="E1361" s="1" t="s">
        <v>2514</v>
      </c>
      <c r="F1361" s="3">
        <v>0</v>
      </c>
      <c r="I1361" s="24" t="s">
        <v>2965</v>
      </c>
      <c r="J1361" s="24" t="s">
        <v>2924</v>
      </c>
      <c r="K1361" s="3">
        <v>28</v>
      </c>
      <c r="L1361" s="3" t="s">
        <v>6914</v>
      </c>
      <c r="M1361" s="3" t="str">
        <f>HYPERLINK("http://ictvonline.org/taxonomyHistory.asp?taxnode_id=20151756","ICTVonline=20151756")</f>
        <v>ICTVonline=20151756</v>
      </c>
    </row>
    <row r="1362" spans="1:13" x14ac:dyDescent="0.15">
      <c r="A1362" s="1" t="s">
        <v>934</v>
      </c>
      <c r="B1362" s="1" t="s">
        <v>1902</v>
      </c>
      <c r="D1362" s="1" t="s">
        <v>1532</v>
      </c>
      <c r="E1362" s="1" t="s">
        <v>2515</v>
      </c>
      <c r="F1362" s="3">
        <v>0</v>
      </c>
      <c r="I1362" s="24" t="s">
        <v>2965</v>
      </c>
      <c r="J1362" s="24" t="s">
        <v>2924</v>
      </c>
      <c r="K1362" s="3">
        <v>28</v>
      </c>
      <c r="L1362" s="3" t="s">
        <v>6914</v>
      </c>
      <c r="M1362" s="3" t="str">
        <f>HYPERLINK("http://ictvonline.org/taxonomyHistory.asp?taxnode_id=20151757","ICTVonline=20151757")</f>
        <v>ICTVonline=20151757</v>
      </c>
    </row>
    <row r="1363" spans="1:13" x14ac:dyDescent="0.15">
      <c r="A1363" s="1" t="s">
        <v>934</v>
      </c>
      <c r="B1363" s="1" t="s">
        <v>1902</v>
      </c>
      <c r="D1363" s="1" t="s">
        <v>1532</v>
      </c>
      <c r="E1363" s="1" t="s">
        <v>2516</v>
      </c>
      <c r="F1363" s="3">
        <v>0</v>
      </c>
      <c r="I1363" s="24" t="s">
        <v>2965</v>
      </c>
      <c r="J1363" s="24" t="s">
        <v>2924</v>
      </c>
      <c r="K1363" s="3">
        <v>28</v>
      </c>
      <c r="L1363" s="3" t="s">
        <v>6914</v>
      </c>
      <c r="M1363" s="3" t="str">
        <f>HYPERLINK("http://ictvonline.org/taxonomyHistory.asp?taxnode_id=20151758","ICTVonline=20151758")</f>
        <v>ICTVonline=20151758</v>
      </c>
    </row>
    <row r="1364" spans="1:13" x14ac:dyDescent="0.15">
      <c r="A1364" s="1" t="s">
        <v>934</v>
      </c>
      <c r="B1364" s="1" t="s">
        <v>1902</v>
      </c>
      <c r="D1364" s="1" t="s">
        <v>1532</v>
      </c>
      <c r="E1364" s="1" t="s">
        <v>2517</v>
      </c>
      <c r="F1364" s="3">
        <v>0</v>
      </c>
      <c r="I1364" s="24" t="s">
        <v>2965</v>
      </c>
      <c r="J1364" s="24" t="s">
        <v>2924</v>
      </c>
      <c r="K1364" s="3">
        <v>28</v>
      </c>
      <c r="L1364" s="3" t="s">
        <v>6914</v>
      </c>
      <c r="M1364" s="3" t="str">
        <f>HYPERLINK("http://ictvonline.org/taxonomyHistory.asp?taxnode_id=20151759","ICTVonline=20151759")</f>
        <v>ICTVonline=20151759</v>
      </c>
    </row>
    <row r="1365" spans="1:13" x14ac:dyDescent="0.15">
      <c r="A1365" s="1" t="s">
        <v>934</v>
      </c>
      <c r="B1365" s="1" t="s">
        <v>1902</v>
      </c>
      <c r="D1365" s="1" t="s">
        <v>1532</v>
      </c>
      <c r="E1365" s="1" t="s">
        <v>2518</v>
      </c>
      <c r="F1365" s="3">
        <v>0</v>
      </c>
      <c r="I1365" s="24" t="s">
        <v>2965</v>
      </c>
      <c r="J1365" s="24" t="s">
        <v>2924</v>
      </c>
      <c r="K1365" s="3">
        <v>28</v>
      </c>
      <c r="L1365" s="3" t="s">
        <v>6914</v>
      </c>
      <c r="M1365" s="3" t="str">
        <f>HYPERLINK("http://ictvonline.org/taxonomyHistory.asp?taxnode_id=20151760","ICTVonline=20151760")</f>
        <v>ICTVonline=20151760</v>
      </c>
    </row>
    <row r="1366" spans="1:13" x14ac:dyDescent="0.15">
      <c r="A1366" s="1" t="s">
        <v>934</v>
      </c>
      <c r="B1366" s="1" t="s">
        <v>1902</v>
      </c>
      <c r="D1366" s="1" t="s">
        <v>1532</v>
      </c>
      <c r="E1366" s="1" t="s">
        <v>2519</v>
      </c>
      <c r="F1366" s="3">
        <v>0</v>
      </c>
      <c r="I1366" s="24" t="s">
        <v>2965</v>
      </c>
      <c r="J1366" s="24" t="s">
        <v>2924</v>
      </c>
      <c r="K1366" s="3">
        <v>28</v>
      </c>
      <c r="L1366" s="3" t="s">
        <v>6914</v>
      </c>
      <c r="M1366" s="3" t="str">
        <f>HYPERLINK("http://ictvonline.org/taxonomyHistory.asp?taxnode_id=20151761","ICTVonline=20151761")</f>
        <v>ICTVonline=20151761</v>
      </c>
    </row>
    <row r="1367" spans="1:13" x14ac:dyDescent="0.15">
      <c r="A1367" s="1" t="s">
        <v>934</v>
      </c>
      <c r="B1367" s="1" t="s">
        <v>1902</v>
      </c>
      <c r="D1367" s="1" t="s">
        <v>1532</v>
      </c>
      <c r="E1367" s="1" t="s">
        <v>2520</v>
      </c>
      <c r="F1367" s="3">
        <v>0</v>
      </c>
      <c r="I1367" s="24" t="s">
        <v>2965</v>
      </c>
      <c r="J1367" s="24" t="s">
        <v>2924</v>
      </c>
      <c r="K1367" s="3">
        <v>28</v>
      </c>
      <c r="L1367" s="3" t="s">
        <v>6914</v>
      </c>
      <c r="M1367" s="3" t="str">
        <f>HYPERLINK("http://ictvonline.org/taxonomyHistory.asp?taxnode_id=20151762","ICTVonline=20151762")</f>
        <v>ICTVonline=20151762</v>
      </c>
    </row>
    <row r="1368" spans="1:13" x14ac:dyDescent="0.15">
      <c r="A1368" s="1" t="s">
        <v>934</v>
      </c>
      <c r="B1368" s="1" t="s">
        <v>1902</v>
      </c>
      <c r="D1368" s="1" t="s">
        <v>1532</v>
      </c>
      <c r="E1368" s="1" t="s">
        <v>5045</v>
      </c>
      <c r="F1368" s="3">
        <v>0</v>
      </c>
      <c r="G1368" s="24" t="s">
        <v>7500</v>
      </c>
      <c r="H1368" s="24" t="s">
        <v>5046</v>
      </c>
      <c r="I1368" s="24" t="s">
        <v>2965</v>
      </c>
      <c r="J1368" s="24" t="s">
        <v>2919</v>
      </c>
      <c r="K1368" s="3">
        <v>30</v>
      </c>
      <c r="L1368" s="3" t="s">
        <v>6916</v>
      </c>
      <c r="M1368" s="3" t="str">
        <f>HYPERLINK("http://ictvonline.org/taxonomyHistory.asp?taxnode_id=20151764","ICTVonline=20151764")</f>
        <v>ICTVonline=20151764</v>
      </c>
    </row>
    <row r="1369" spans="1:13" x14ac:dyDescent="0.15">
      <c r="A1369" s="1" t="s">
        <v>934</v>
      </c>
      <c r="B1369" s="1" t="s">
        <v>1902</v>
      </c>
      <c r="D1369" s="1" t="s">
        <v>1532</v>
      </c>
      <c r="E1369" s="1" t="s">
        <v>5047</v>
      </c>
      <c r="F1369" s="3">
        <v>0</v>
      </c>
      <c r="G1369" s="24" t="s">
        <v>7501</v>
      </c>
      <c r="H1369" s="24" t="s">
        <v>5048</v>
      </c>
      <c r="I1369" s="24" t="s">
        <v>2965</v>
      </c>
      <c r="J1369" s="24" t="s">
        <v>2919</v>
      </c>
      <c r="K1369" s="3">
        <v>30</v>
      </c>
      <c r="L1369" s="3" t="s">
        <v>6916</v>
      </c>
      <c r="M1369" s="3" t="str">
        <f>HYPERLINK("http://ictvonline.org/taxonomyHistory.asp?taxnode_id=20151765","ICTVonline=20151765")</f>
        <v>ICTVonline=20151765</v>
      </c>
    </row>
    <row r="1370" spans="1:13" x14ac:dyDescent="0.15">
      <c r="A1370" s="1" t="s">
        <v>934</v>
      </c>
      <c r="B1370" s="1" t="s">
        <v>1902</v>
      </c>
      <c r="D1370" s="1" t="s">
        <v>1532</v>
      </c>
      <c r="E1370" s="1" t="s">
        <v>2521</v>
      </c>
      <c r="F1370" s="3">
        <v>0</v>
      </c>
      <c r="I1370" s="24" t="s">
        <v>2965</v>
      </c>
      <c r="J1370" s="24" t="s">
        <v>2924</v>
      </c>
      <c r="K1370" s="3">
        <v>28</v>
      </c>
      <c r="L1370" s="3" t="s">
        <v>6914</v>
      </c>
      <c r="M1370" s="3" t="str">
        <f>HYPERLINK("http://ictvonline.org/taxonomyHistory.asp?taxnode_id=20151763","ICTVonline=20151763")</f>
        <v>ICTVonline=20151763</v>
      </c>
    </row>
    <row r="1371" spans="1:13" x14ac:dyDescent="0.15">
      <c r="A1371" s="1" t="s">
        <v>934</v>
      </c>
      <c r="B1371" s="1" t="s">
        <v>1902</v>
      </c>
      <c r="D1371" s="1" t="s">
        <v>700</v>
      </c>
      <c r="E1371" s="1" t="s">
        <v>2522</v>
      </c>
      <c r="F1371" s="3">
        <v>1</v>
      </c>
      <c r="I1371" s="24" t="s">
        <v>2965</v>
      </c>
      <c r="J1371" s="24" t="s">
        <v>2924</v>
      </c>
      <c r="K1371" s="3">
        <v>28</v>
      </c>
      <c r="L1371" s="3" t="s">
        <v>6914</v>
      </c>
      <c r="M1371" s="3" t="str">
        <f>HYPERLINK("http://ictvonline.org/taxonomyHistory.asp?taxnode_id=20151767","ICTVonline=20151767")</f>
        <v>ICTVonline=20151767</v>
      </c>
    </row>
    <row r="1372" spans="1:13" x14ac:dyDescent="0.15">
      <c r="A1372" s="1" t="s">
        <v>934</v>
      </c>
      <c r="B1372" s="1" t="s">
        <v>1902</v>
      </c>
      <c r="D1372" s="1" t="s">
        <v>700</v>
      </c>
      <c r="E1372" s="1" t="s">
        <v>2523</v>
      </c>
      <c r="F1372" s="3">
        <v>0</v>
      </c>
      <c r="I1372" s="24" t="s">
        <v>2965</v>
      </c>
      <c r="J1372" s="24" t="s">
        <v>2924</v>
      </c>
      <c r="K1372" s="3">
        <v>28</v>
      </c>
      <c r="L1372" s="3" t="s">
        <v>6914</v>
      </c>
      <c r="M1372" s="3" t="str">
        <f>HYPERLINK("http://ictvonline.org/taxonomyHistory.asp?taxnode_id=20151768","ICTVonline=20151768")</f>
        <v>ICTVonline=20151768</v>
      </c>
    </row>
    <row r="1373" spans="1:13" x14ac:dyDescent="0.15">
      <c r="A1373" s="1" t="s">
        <v>934</v>
      </c>
      <c r="B1373" s="1" t="s">
        <v>1902</v>
      </c>
      <c r="D1373" s="1" t="s">
        <v>700</v>
      </c>
      <c r="E1373" s="1" t="s">
        <v>2524</v>
      </c>
      <c r="F1373" s="3">
        <v>0</v>
      </c>
      <c r="I1373" s="24" t="s">
        <v>2965</v>
      </c>
      <c r="J1373" s="24" t="s">
        <v>2924</v>
      </c>
      <c r="K1373" s="3">
        <v>28</v>
      </c>
      <c r="L1373" s="3" t="s">
        <v>6914</v>
      </c>
      <c r="M1373" s="3" t="str">
        <f>HYPERLINK("http://ictvonline.org/taxonomyHistory.asp?taxnode_id=20151769","ICTVonline=20151769")</f>
        <v>ICTVonline=20151769</v>
      </c>
    </row>
    <row r="1374" spans="1:13" x14ac:dyDescent="0.15">
      <c r="A1374" s="1" t="s">
        <v>934</v>
      </c>
      <c r="B1374" s="1" t="s">
        <v>1902</v>
      </c>
      <c r="D1374" s="1" t="s">
        <v>700</v>
      </c>
      <c r="E1374" s="1" t="s">
        <v>2525</v>
      </c>
      <c r="F1374" s="3">
        <v>0</v>
      </c>
      <c r="I1374" s="24" t="s">
        <v>2965</v>
      </c>
      <c r="J1374" s="24" t="s">
        <v>2924</v>
      </c>
      <c r="K1374" s="3">
        <v>28</v>
      </c>
      <c r="L1374" s="3" t="s">
        <v>6914</v>
      </c>
      <c r="M1374" s="3" t="str">
        <f>HYPERLINK("http://ictvonline.org/taxonomyHistory.asp?taxnode_id=20151770","ICTVonline=20151770")</f>
        <v>ICTVonline=20151770</v>
      </c>
    </row>
    <row r="1375" spans="1:13" x14ac:dyDescent="0.15">
      <c r="A1375" s="1" t="s">
        <v>934</v>
      </c>
      <c r="B1375" s="1" t="s">
        <v>1902</v>
      </c>
      <c r="D1375" s="1" t="s">
        <v>700</v>
      </c>
      <c r="E1375" s="1" t="s">
        <v>2526</v>
      </c>
      <c r="F1375" s="3">
        <v>0</v>
      </c>
      <c r="I1375" s="24" t="s">
        <v>2965</v>
      </c>
      <c r="J1375" s="24" t="s">
        <v>2924</v>
      </c>
      <c r="K1375" s="3">
        <v>28</v>
      </c>
      <c r="L1375" s="3" t="s">
        <v>6914</v>
      </c>
      <c r="M1375" s="3" t="str">
        <f>HYPERLINK("http://ictvonline.org/taxonomyHistory.asp?taxnode_id=20151771","ICTVonline=20151771")</f>
        <v>ICTVonline=20151771</v>
      </c>
    </row>
    <row r="1376" spans="1:13" x14ac:dyDescent="0.15">
      <c r="A1376" s="1" t="s">
        <v>934</v>
      </c>
      <c r="B1376" s="1" t="s">
        <v>19</v>
      </c>
      <c r="D1376" s="1" t="s">
        <v>2003</v>
      </c>
      <c r="E1376" s="1" t="s">
        <v>2004</v>
      </c>
      <c r="F1376" s="3">
        <v>0</v>
      </c>
      <c r="I1376" s="24" t="s">
        <v>3265</v>
      </c>
      <c r="J1376" s="24" t="s">
        <v>2920</v>
      </c>
      <c r="K1376" s="3">
        <v>26</v>
      </c>
      <c r="L1376" s="3" t="s">
        <v>6917</v>
      </c>
      <c r="M1376" s="3" t="str">
        <f>HYPERLINK("http://ictvonline.org/taxonomyHistory.asp?taxnode_id=20151775","ICTVonline=20151775")</f>
        <v>ICTVonline=20151775</v>
      </c>
    </row>
    <row r="1377" spans="1:13" x14ac:dyDescent="0.15">
      <c r="A1377" s="1" t="s">
        <v>934</v>
      </c>
      <c r="B1377" s="1" t="s">
        <v>19</v>
      </c>
      <c r="D1377" s="1" t="s">
        <v>2003</v>
      </c>
      <c r="E1377" s="1" t="s">
        <v>2005</v>
      </c>
      <c r="F1377" s="3">
        <v>0</v>
      </c>
      <c r="I1377" s="24" t="s">
        <v>3265</v>
      </c>
      <c r="J1377" s="24" t="s">
        <v>2920</v>
      </c>
      <c r="K1377" s="3">
        <v>26</v>
      </c>
      <c r="L1377" s="3" t="s">
        <v>6917</v>
      </c>
      <c r="M1377" s="3" t="str">
        <f>HYPERLINK("http://ictvonline.org/taxonomyHistory.asp?taxnode_id=20151776","ICTVonline=20151776")</f>
        <v>ICTVonline=20151776</v>
      </c>
    </row>
    <row r="1378" spans="1:13" x14ac:dyDescent="0.15">
      <c r="A1378" s="1" t="s">
        <v>934</v>
      </c>
      <c r="B1378" s="1" t="s">
        <v>19</v>
      </c>
      <c r="D1378" s="1" t="s">
        <v>2003</v>
      </c>
      <c r="E1378" s="1" t="s">
        <v>1982</v>
      </c>
      <c r="F1378" s="3">
        <v>0</v>
      </c>
      <c r="I1378" s="24" t="s">
        <v>3265</v>
      </c>
      <c r="J1378" s="24" t="s">
        <v>2920</v>
      </c>
      <c r="K1378" s="3">
        <v>26</v>
      </c>
      <c r="L1378" s="3" t="s">
        <v>6917</v>
      </c>
      <c r="M1378" s="3" t="str">
        <f>HYPERLINK("http://ictvonline.org/taxonomyHistory.asp?taxnode_id=20151777","ICTVonline=20151777")</f>
        <v>ICTVonline=20151777</v>
      </c>
    </row>
    <row r="1379" spans="1:13" x14ac:dyDescent="0.15">
      <c r="A1379" s="1" t="s">
        <v>934</v>
      </c>
      <c r="B1379" s="1" t="s">
        <v>19</v>
      </c>
      <c r="D1379" s="1" t="s">
        <v>2003</v>
      </c>
      <c r="E1379" s="1" t="s">
        <v>1984</v>
      </c>
      <c r="F1379" s="3">
        <v>1</v>
      </c>
      <c r="I1379" s="24" t="s">
        <v>3265</v>
      </c>
      <c r="J1379" s="24" t="s">
        <v>2920</v>
      </c>
      <c r="K1379" s="3">
        <v>26</v>
      </c>
      <c r="L1379" s="3" t="s">
        <v>6917</v>
      </c>
      <c r="M1379" s="3" t="str">
        <f>HYPERLINK("http://ictvonline.org/taxonomyHistory.asp?taxnode_id=20151778","ICTVonline=20151778")</f>
        <v>ICTVonline=20151778</v>
      </c>
    </row>
    <row r="1380" spans="1:13" x14ac:dyDescent="0.15">
      <c r="A1380" s="1" t="s">
        <v>934</v>
      </c>
      <c r="B1380" s="1" t="s">
        <v>19</v>
      </c>
      <c r="D1380" s="1" t="s">
        <v>2003</v>
      </c>
      <c r="E1380" s="1" t="s">
        <v>1671</v>
      </c>
      <c r="F1380" s="3">
        <v>0</v>
      </c>
      <c r="I1380" s="24" t="s">
        <v>3265</v>
      </c>
      <c r="J1380" s="24" t="s">
        <v>2920</v>
      </c>
      <c r="K1380" s="3">
        <v>26</v>
      </c>
      <c r="L1380" s="3" t="s">
        <v>6917</v>
      </c>
      <c r="M1380" s="3" t="str">
        <f>HYPERLINK("http://ictvonline.org/taxonomyHistory.asp?taxnode_id=20151779","ICTVonline=20151779")</f>
        <v>ICTVonline=20151779</v>
      </c>
    </row>
    <row r="1381" spans="1:13" x14ac:dyDescent="0.15">
      <c r="A1381" s="1" t="s">
        <v>934</v>
      </c>
      <c r="B1381" s="1" t="s">
        <v>19</v>
      </c>
      <c r="D1381" s="1" t="s">
        <v>2003</v>
      </c>
      <c r="E1381" s="1" t="s">
        <v>1986</v>
      </c>
      <c r="F1381" s="3">
        <v>0</v>
      </c>
      <c r="I1381" s="24" t="s">
        <v>3265</v>
      </c>
      <c r="J1381" s="24" t="s">
        <v>2920</v>
      </c>
      <c r="K1381" s="3">
        <v>26</v>
      </c>
      <c r="L1381" s="3" t="s">
        <v>6917</v>
      </c>
      <c r="M1381" s="3" t="str">
        <f>HYPERLINK("http://ictvonline.org/taxonomyHistory.asp?taxnode_id=20151780","ICTVonline=20151780")</f>
        <v>ICTVonline=20151780</v>
      </c>
    </row>
    <row r="1382" spans="1:13" x14ac:dyDescent="0.15">
      <c r="A1382" s="1" t="s">
        <v>934</v>
      </c>
      <c r="B1382" s="1" t="s">
        <v>19</v>
      </c>
      <c r="D1382" s="1" t="s">
        <v>2003</v>
      </c>
      <c r="E1382" s="1" t="s">
        <v>1988</v>
      </c>
      <c r="F1382" s="3">
        <v>0</v>
      </c>
      <c r="I1382" s="24" t="s">
        <v>3265</v>
      </c>
      <c r="J1382" s="24" t="s">
        <v>2920</v>
      </c>
      <c r="K1382" s="3">
        <v>26</v>
      </c>
      <c r="L1382" s="3" t="s">
        <v>6917</v>
      </c>
      <c r="M1382" s="3" t="str">
        <f>HYPERLINK("http://ictvonline.org/taxonomyHistory.asp?taxnode_id=20151781","ICTVonline=20151781")</f>
        <v>ICTVonline=20151781</v>
      </c>
    </row>
    <row r="1383" spans="1:13" x14ac:dyDescent="0.15">
      <c r="A1383" s="1" t="s">
        <v>934</v>
      </c>
      <c r="B1383" s="1" t="s">
        <v>19</v>
      </c>
      <c r="D1383" s="1" t="s">
        <v>869</v>
      </c>
      <c r="E1383" s="1" t="s">
        <v>870</v>
      </c>
      <c r="F1383" s="3">
        <v>0</v>
      </c>
      <c r="I1383" s="24" t="s">
        <v>3265</v>
      </c>
      <c r="J1383" s="24" t="s">
        <v>2920</v>
      </c>
      <c r="K1383" s="3">
        <v>26</v>
      </c>
      <c r="L1383" s="3" t="s">
        <v>6917</v>
      </c>
      <c r="M1383" s="3" t="str">
        <f>HYPERLINK("http://ictvonline.org/taxonomyHistory.asp?taxnode_id=20151783","ICTVonline=20151783")</f>
        <v>ICTVonline=20151783</v>
      </c>
    </row>
    <row r="1384" spans="1:13" x14ac:dyDescent="0.15">
      <c r="A1384" s="1" t="s">
        <v>934</v>
      </c>
      <c r="B1384" s="1" t="s">
        <v>19</v>
      </c>
      <c r="D1384" s="1" t="s">
        <v>869</v>
      </c>
      <c r="E1384" s="1" t="s">
        <v>871</v>
      </c>
      <c r="F1384" s="3">
        <v>0</v>
      </c>
      <c r="I1384" s="24" t="s">
        <v>3265</v>
      </c>
      <c r="J1384" s="24" t="s">
        <v>2920</v>
      </c>
      <c r="K1384" s="3">
        <v>26</v>
      </c>
      <c r="L1384" s="3" t="s">
        <v>6917</v>
      </c>
      <c r="M1384" s="3" t="str">
        <f>HYPERLINK("http://ictvonline.org/taxonomyHistory.asp?taxnode_id=20151784","ICTVonline=20151784")</f>
        <v>ICTVonline=20151784</v>
      </c>
    </row>
    <row r="1385" spans="1:13" x14ac:dyDescent="0.15">
      <c r="A1385" s="1" t="s">
        <v>934</v>
      </c>
      <c r="B1385" s="1" t="s">
        <v>19</v>
      </c>
      <c r="D1385" s="1" t="s">
        <v>869</v>
      </c>
      <c r="E1385" s="1" t="s">
        <v>872</v>
      </c>
      <c r="F1385" s="3">
        <v>1</v>
      </c>
      <c r="I1385" s="24" t="s">
        <v>3265</v>
      </c>
      <c r="J1385" s="24" t="s">
        <v>2920</v>
      </c>
      <c r="K1385" s="3">
        <v>26</v>
      </c>
      <c r="L1385" s="3" t="s">
        <v>6917</v>
      </c>
      <c r="M1385" s="3" t="str">
        <f>HYPERLINK("http://ictvonline.org/taxonomyHistory.asp?taxnode_id=20151785","ICTVonline=20151785")</f>
        <v>ICTVonline=20151785</v>
      </c>
    </row>
    <row r="1386" spans="1:13" x14ac:dyDescent="0.15">
      <c r="A1386" s="1" t="s">
        <v>934</v>
      </c>
      <c r="B1386" s="1" t="s">
        <v>20</v>
      </c>
      <c r="D1386" s="1" t="s">
        <v>21</v>
      </c>
      <c r="E1386" s="1" t="s">
        <v>22</v>
      </c>
      <c r="F1386" s="3">
        <v>1</v>
      </c>
      <c r="G1386" s="24" t="s">
        <v>5049</v>
      </c>
      <c r="H1386" s="24" t="s">
        <v>5050</v>
      </c>
      <c r="I1386" s="24" t="s">
        <v>3265</v>
      </c>
      <c r="J1386" s="24" t="s">
        <v>2921</v>
      </c>
      <c r="K1386" s="3">
        <v>26</v>
      </c>
      <c r="L1386" s="3" t="s">
        <v>6918</v>
      </c>
      <c r="M1386" s="3" t="str">
        <f>HYPERLINK("http://ictvonline.org/taxonomyHistory.asp?taxnode_id=20151789","ICTVonline=20151789")</f>
        <v>ICTVonline=20151789</v>
      </c>
    </row>
    <row r="1387" spans="1:13" x14ac:dyDescent="0.15">
      <c r="A1387" s="1" t="s">
        <v>934</v>
      </c>
      <c r="B1387" s="1" t="s">
        <v>2527</v>
      </c>
      <c r="D1387" s="1" t="s">
        <v>2528</v>
      </c>
      <c r="E1387" s="1" t="s">
        <v>2529</v>
      </c>
      <c r="F1387" s="3">
        <v>0</v>
      </c>
      <c r="G1387" s="24" t="s">
        <v>5051</v>
      </c>
      <c r="H1387" s="24" t="s">
        <v>5052</v>
      </c>
      <c r="I1387" s="24" t="s">
        <v>3286</v>
      </c>
      <c r="J1387" s="24" t="s">
        <v>2919</v>
      </c>
      <c r="K1387" s="3">
        <v>28</v>
      </c>
      <c r="L1387" s="3" t="s">
        <v>6919</v>
      </c>
      <c r="M1387" s="3" t="str">
        <f>HYPERLINK("http://ictvonline.org/taxonomyHistory.asp?taxnode_id=20151793","ICTVonline=20151793")</f>
        <v>ICTVonline=20151793</v>
      </c>
    </row>
    <row r="1388" spans="1:13" x14ac:dyDescent="0.15">
      <c r="A1388" s="1" t="s">
        <v>934</v>
      </c>
      <c r="B1388" s="1" t="s">
        <v>2527</v>
      </c>
      <c r="D1388" s="1" t="s">
        <v>2528</v>
      </c>
      <c r="E1388" s="1" t="s">
        <v>2530</v>
      </c>
      <c r="F1388" s="3">
        <v>0</v>
      </c>
      <c r="G1388" s="24" t="s">
        <v>3340</v>
      </c>
      <c r="H1388" s="24" t="s">
        <v>5053</v>
      </c>
      <c r="I1388" s="24" t="s">
        <v>3286</v>
      </c>
      <c r="J1388" s="24" t="s">
        <v>2919</v>
      </c>
      <c r="K1388" s="3">
        <v>28</v>
      </c>
      <c r="L1388" s="3" t="s">
        <v>6919</v>
      </c>
      <c r="M1388" s="3" t="str">
        <f>HYPERLINK("http://ictvonline.org/taxonomyHistory.asp?taxnode_id=20151794","ICTVonline=20151794")</f>
        <v>ICTVonline=20151794</v>
      </c>
    </row>
    <row r="1389" spans="1:13" x14ac:dyDescent="0.15">
      <c r="A1389" s="1" t="s">
        <v>934</v>
      </c>
      <c r="B1389" s="1" t="s">
        <v>2527</v>
      </c>
      <c r="D1389" s="1" t="s">
        <v>2528</v>
      </c>
      <c r="E1389" s="1" t="s">
        <v>2531</v>
      </c>
      <c r="F1389" s="3">
        <v>1</v>
      </c>
      <c r="G1389" s="24" t="s">
        <v>3341</v>
      </c>
      <c r="H1389" s="24" t="s">
        <v>5054</v>
      </c>
      <c r="I1389" s="24" t="s">
        <v>3286</v>
      </c>
      <c r="J1389" s="24" t="s">
        <v>2919</v>
      </c>
      <c r="K1389" s="3">
        <v>28</v>
      </c>
      <c r="L1389" s="3" t="s">
        <v>6919</v>
      </c>
      <c r="M1389" s="3" t="str">
        <f>HYPERLINK("http://ictvonline.org/taxonomyHistory.asp?taxnode_id=20151795","ICTVonline=20151795")</f>
        <v>ICTVonline=20151795</v>
      </c>
    </row>
    <row r="1390" spans="1:13" x14ac:dyDescent="0.15">
      <c r="A1390" s="1" t="s">
        <v>934</v>
      </c>
      <c r="B1390" s="1" t="s">
        <v>2527</v>
      </c>
      <c r="D1390" s="1" t="s">
        <v>2528</v>
      </c>
      <c r="E1390" s="1" t="s">
        <v>2532</v>
      </c>
      <c r="F1390" s="3">
        <v>0</v>
      </c>
      <c r="G1390" s="24" t="s">
        <v>3342</v>
      </c>
      <c r="H1390" s="24" t="s">
        <v>5055</v>
      </c>
      <c r="I1390" s="24" t="s">
        <v>3286</v>
      </c>
      <c r="J1390" s="24" t="s">
        <v>2919</v>
      </c>
      <c r="K1390" s="3">
        <v>28</v>
      </c>
      <c r="L1390" s="3" t="s">
        <v>6919</v>
      </c>
      <c r="M1390" s="3" t="str">
        <f>HYPERLINK("http://ictvonline.org/taxonomyHistory.asp?taxnode_id=20151796","ICTVonline=20151796")</f>
        <v>ICTVonline=20151796</v>
      </c>
    </row>
    <row r="1391" spans="1:13" x14ac:dyDescent="0.15">
      <c r="A1391" s="1" t="s">
        <v>934</v>
      </c>
      <c r="B1391" s="1" t="s">
        <v>1099</v>
      </c>
      <c r="D1391" s="1" t="s">
        <v>1100</v>
      </c>
      <c r="E1391" s="1" t="s">
        <v>1101</v>
      </c>
      <c r="F1391" s="3">
        <v>1</v>
      </c>
      <c r="G1391" s="24" t="s">
        <v>5056</v>
      </c>
      <c r="I1391" s="24" t="s">
        <v>2965</v>
      </c>
      <c r="J1391" s="24" t="s">
        <v>2921</v>
      </c>
      <c r="K1391" s="3">
        <v>24</v>
      </c>
      <c r="L1391" s="3" t="s">
        <v>6920</v>
      </c>
      <c r="M1391" s="3" t="str">
        <f>HYPERLINK("http://ictvonline.org/taxonomyHistory.asp?taxnode_id=20151800","ICTVonline=20151800")</f>
        <v>ICTVonline=20151800</v>
      </c>
    </row>
    <row r="1392" spans="1:13" x14ac:dyDescent="0.15">
      <c r="A1392" s="1" t="s">
        <v>934</v>
      </c>
      <c r="B1392" s="1" t="s">
        <v>317</v>
      </c>
      <c r="D1392" s="1" t="s">
        <v>318</v>
      </c>
      <c r="E1392" s="1" t="s">
        <v>1812</v>
      </c>
      <c r="F1392" s="3">
        <v>1</v>
      </c>
      <c r="I1392" s="24" t="s">
        <v>5057</v>
      </c>
      <c r="J1392" s="24" t="s">
        <v>2921</v>
      </c>
      <c r="K1392" s="3">
        <v>25</v>
      </c>
      <c r="L1392" s="3" t="s">
        <v>6921</v>
      </c>
      <c r="M1392" s="3" t="str">
        <f>HYPERLINK("http://ictvonline.org/taxonomyHistory.asp?taxnode_id=20151804","ICTVonline=20151804")</f>
        <v>ICTVonline=20151804</v>
      </c>
    </row>
    <row r="1393" spans="1:13" x14ac:dyDescent="0.15">
      <c r="A1393" s="1" t="s">
        <v>934</v>
      </c>
      <c r="B1393" s="1" t="s">
        <v>317</v>
      </c>
      <c r="D1393" s="1" t="s">
        <v>318</v>
      </c>
      <c r="E1393" s="1" t="s">
        <v>1813</v>
      </c>
      <c r="F1393" s="3">
        <v>0</v>
      </c>
      <c r="I1393" s="24" t="s">
        <v>5057</v>
      </c>
      <c r="J1393" s="24" t="s">
        <v>2919</v>
      </c>
      <c r="K1393" s="3">
        <v>25</v>
      </c>
      <c r="L1393" s="3" t="s">
        <v>6921</v>
      </c>
      <c r="M1393" s="3" t="str">
        <f>HYPERLINK("http://ictvonline.org/taxonomyHistory.asp?taxnode_id=20151805","ICTVonline=20151805")</f>
        <v>ICTVonline=20151805</v>
      </c>
    </row>
    <row r="1394" spans="1:13" x14ac:dyDescent="0.15">
      <c r="A1394" s="1" t="s">
        <v>934</v>
      </c>
      <c r="B1394" s="1" t="s">
        <v>317</v>
      </c>
      <c r="D1394" s="1" t="s">
        <v>318</v>
      </c>
      <c r="E1394" s="1" t="s">
        <v>1814</v>
      </c>
      <c r="F1394" s="3">
        <v>0</v>
      </c>
      <c r="I1394" s="24" t="s">
        <v>5057</v>
      </c>
      <c r="J1394" s="24" t="s">
        <v>2919</v>
      </c>
      <c r="K1394" s="3">
        <v>25</v>
      </c>
      <c r="L1394" s="3" t="s">
        <v>6921</v>
      </c>
      <c r="M1394" s="3" t="str">
        <f>HYPERLINK("http://ictvonline.org/taxonomyHistory.asp?taxnode_id=20151806","ICTVonline=20151806")</f>
        <v>ICTVonline=20151806</v>
      </c>
    </row>
    <row r="1395" spans="1:13" x14ac:dyDescent="0.15">
      <c r="A1395" s="1" t="s">
        <v>934</v>
      </c>
      <c r="B1395" s="1" t="s">
        <v>317</v>
      </c>
      <c r="D1395" s="1" t="s">
        <v>318</v>
      </c>
      <c r="E1395" s="1" t="s">
        <v>322</v>
      </c>
      <c r="F1395" s="3">
        <v>0</v>
      </c>
      <c r="I1395" s="24" t="s">
        <v>5057</v>
      </c>
      <c r="J1395" s="24" t="s">
        <v>2919</v>
      </c>
      <c r="K1395" s="3">
        <v>25</v>
      </c>
      <c r="L1395" s="3" t="s">
        <v>6921</v>
      </c>
      <c r="M1395" s="3" t="str">
        <f>HYPERLINK("http://ictvonline.org/taxonomyHistory.asp?taxnode_id=20151807","ICTVonline=20151807")</f>
        <v>ICTVonline=20151807</v>
      </c>
    </row>
    <row r="1396" spans="1:13" x14ac:dyDescent="0.15">
      <c r="A1396" s="1" t="s">
        <v>934</v>
      </c>
      <c r="B1396" s="1" t="s">
        <v>317</v>
      </c>
      <c r="D1396" s="1" t="s">
        <v>318</v>
      </c>
      <c r="E1396" s="1" t="s">
        <v>323</v>
      </c>
      <c r="F1396" s="3">
        <v>0</v>
      </c>
      <c r="I1396" s="24" t="s">
        <v>5057</v>
      </c>
      <c r="J1396" s="24" t="s">
        <v>2919</v>
      </c>
      <c r="K1396" s="3">
        <v>25</v>
      </c>
      <c r="L1396" s="3" t="s">
        <v>6921</v>
      </c>
      <c r="M1396" s="3" t="str">
        <f>HYPERLINK("http://ictvonline.org/taxonomyHistory.asp?taxnode_id=20151808","ICTVonline=20151808")</f>
        <v>ICTVonline=20151808</v>
      </c>
    </row>
    <row r="1397" spans="1:13" x14ac:dyDescent="0.15">
      <c r="A1397" s="1" t="s">
        <v>934</v>
      </c>
      <c r="B1397" s="1" t="s">
        <v>317</v>
      </c>
      <c r="D1397" s="1" t="s">
        <v>318</v>
      </c>
      <c r="E1397" s="1" t="s">
        <v>324</v>
      </c>
      <c r="F1397" s="3">
        <v>0</v>
      </c>
      <c r="I1397" s="24" t="s">
        <v>5057</v>
      </c>
      <c r="J1397" s="24" t="s">
        <v>2919</v>
      </c>
      <c r="K1397" s="3">
        <v>25</v>
      </c>
      <c r="L1397" s="3" t="s">
        <v>6921</v>
      </c>
      <c r="M1397" s="3" t="str">
        <f>HYPERLINK("http://ictvonline.org/taxonomyHistory.asp?taxnode_id=20151809","ICTVonline=20151809")</f>
        <v>ICTVonline=20151809</v>
      </c>
    </row>
    <row r="1398" spans="1:13" x14ac:dyDescent="0.15">
      <c r="A1398" s="1" t="s">
        <v>934</v>
      </c>
      <c r="B1398" s="1" t="s">
        <v>317</v>
      </c>
      <c r="D1398" s="1" t="s">
        <v>318</v>
      </c>
      <c r="E1398" s="1" t="s">
        <v>325</v>
      </c>
      <c r="F1398" s="3">
        <v>0</v>
      </c>
      <c r="I1398" s="24" t="s">
        <v>5057</v>
      </c>
      <c r="J1398" s="24" t="s">
        <v>2919</v>
      </c>
      <c r="K1398" s="3">
        <v>25</v>
      </c>
      <c r="L1398" s="3" t="s">
        <v>6921</v>
      </c>
      <c r="M1398" s="3" t="str">
        <f>HYPERLINK("http://ictvonline.org/taxonomyHistory.asp?taxnode_id=20151810","ICTVonline=20151810")</f>
        <v>ICTVonline=20151810</v>
      </c>
    </row>
    <row r="1399" spans="1:13" x14ac:dyDescent="0.15">
      <c r="A1399" s="1" t="s">
        <v>934</v>
      </c>
      <c r="B1399" s="1" t="s">
        <v>317</v>
      </c>
      <c r="D1399" s="1" t="s">
        <v>318</v>
      </c>
      <c r="E1399" s="1" t="s">
        <v>326</v>
      </c>
      <c r="F1399" s="3">
        <v>0</v>
      </c>
      <c r="I1399" s="24" t="s">
        <v>5057</v>
      </c>
      <c r="J1399" s="24" t="s">
        <v>2919</v>
      </c>
      <c r="K1399" s="3">
        <v>25</v>
      </c>
      <c r="L1399" s="3" t="s">
        <v>6921</v>
      </c>
      <c r="M1399" s="3" t="str">
        <f>HYPERLINK("http://ictvonline.org/taxonomyHistory.asp?taxnode_id=20151811","ICTVonline=20151811")</f>
        <v>ICTVonline=20151811</v>
      </c>
    </row>
    <row r="1400" spans="1:13" x14ac:dyDescent="0.15">
      <c r="A1400" s="1" t="s">
        <v>934</v>
      </c>
      <c r="B1400" s="1" t="s">
        <v>317</v>
      </c>
      <c r="D1400" s="1" t="s">
        <v>318</v>
      </c>
      <c r="E1400" s="1" t="s">
        <v>327</v>
      </c>
      <c r="F1400" s="3">
        <v>0</v>
      </c>
      <c r="I1400" s="24" t="s">
        <v>5057</v>
      </c>
      <c r="J1400" s="24" t="s">
        <v>2919</v>
      </c>
      <c r="K1400" s="3">
        <v>25</v>
      </c>
      <c r="L1400" s="3" t="s">
        <v>6921</v>
      </c>
      <c r="M1400" s="3" t="str">
        <f>HYPERLINK("http://ictvonline.org/taxonomyHistory.asp?taxnode_id=20151812","ICTVonline=20151812")</f>
        <v>ICTVonline=20151812</v>
      </c>
    </row>
    <row r="1401" spans="1:13" x14ac:dyDescent="0.15">
      <c r="A1401" s="1" t="s">
        <v>934</v>
      </c>
      <c r="B1401" s="1" t="s">
        <v>317</v>
      </c>
      <c r="D1401" s="1" t="s">
        <v>318</v>
      </c>
      <c r="E1401" s="1" t="s">
        <v>328</v>
      </c>
      <c r="F1401" s="3">
        <v>0</v>
      </c>
      <c r="I1401" s="24" t="s">
        <v>5057</v>
      </c>
      <c r="J1401" s="24" t="s">
        <v>2919</v>
      </c>
      <c r="K1401" s="3">
        <v>25</v>
      </c>
      <c r="L1401" s="3" t="s">
        <v>6921</v>
      </c>
      <c r="M1401" s="3" t="str">
        <f>HYPERLINK("http://ictvonline.org/taxonomyHistory.asp?taxnode_id=20151813","ICTVonline=20151813")</f>
        <v>ICTVonline=20151813</v>
      </c>
    </row>
    <row r="1402" spans="1:13" x14ac:dyDescent="0.15">
      <c r="A1402" s="1" t="s">
        <v>934</v>
      </c>
      <c r="B1402" s="1" t="s">
        <v>317</v>
      </c>
      <c r="D1402" s="1" t="s">
        <v>318</v>
      </c>
      <c r="E1402" s="1" t="s">
        <v>329</v>
      </c>
      <c r="F1402" s="3">
        <v>0</v>
      </c>
      <c r="I1402" s="24" t="s">
        <v>5057</v>
      </c>
      <c r="J1402" s="24" t="s">
        <v>2919</v>
      </c>
      <c r="K1402" s="3">
        <v>25</v>
      </c>
      <c r="L1402" s="3" t="s">
        <v>6921</v>
      </c>
      <c r="M1402" s="3" t="str">
        <f>HYPERLINK("http://ictvonline.org/taxonomyHistory.asp?taxnode_id=20151814","ICTVonline=20151814")</f>
        <v>ICTVonline=20151814</v>
      </c>
    </row>
    <row r="1403" spans="1:13" x14ac:dyDescent="0.15">
      <c r="A1403" s="1" t="s">
        <v>934</v>
      </c>
      <c r="B1403" s="1" t="s">
        <v>317</v>
      </c>
      <c r="D1403" s="1" t="s">
        <v>318</v>
      </c>
      <c r="E1403" s="1" t="s">
        <v>330</v>
      </c>
      <c r="F1403" s="3">
        <v>0</v>
      </c>
      <c r="I1403" s="24" t="s">
        <v>5057</v>
      </c>
      <c r="J1403" s="24" t="s">
        <v>2919</v>
      </c>
      <c r="K1403" s="3">
        <v>25</v>
      </c>
      <c r="L1403" s="3" t="s">
        <v>6921</v>
      </c>
      <c r="M1403" s="3" t="str">
        <f>HYPERLINK("http://ictvonline.org/taxonomyHistory.asp?taxnode_id=20151815","ICTVonline=20151815")</f>
        <v>ICTVonline=20151815</v>
      </c>
    </row>
    <row r="1404" spans="1:13" x14ac:dyDescent="0.15">
      <c r="A1404" s="1" t="s">
        <v>934</v>
      </c>
      <c r="B1404" s="1" t="s">
        <v>317</v>
      </c>
      <c r="D1404" s="1" t="s">
        <v>318</v>
      </c>
      <c r="E1404" s="1" t="s">
        <v>331</v>
      </c>
      <c r="F1404" s="3">
        <v>0</v>
      </c>
      <c r="I1404" s="24" t="s">
        <v>5057</v>
      </c>
      <c r="J1404" s="24" t="s">
        <v>2919</v>
      </c>
      <c r="K1404" s="3">
        <v>25</v>
      </c>
      <c r="L1404" s="3" t="s">
        <v>6921</v>
      </c>
      <c r="M1404" s="3" t="str">
        <f>HYPERLINK("http://ictvonline.org/taxonomyHistory.asp?taxnode_id=20151816","ICTVonline=20151816")</f>
        <v>ICTVonline=20151816</v>
      </c>
    </row>
    <row r="1405" spans="1:13" x14ac:dyDescent="0.15">
      <c r="A1405" s="1" t="s">
        <v>934</v>
      </c>
      <c r="B1405" s="1" t="s">
        <v>317</v>
      </c>
      <c r="D1405" s="1" t="s">
        <v>318</v>
      </c>
      <c r="E1405" s="1" t="s">
        <v>332</v>
      </c>
      <c r="F1405" s="3">
        <v>0</v>
      </c>
      <c r="I1405" s="24" t="s">
        <v>5057</v>
      </c>
      <c r="J1405" s="24" t="s">
        <v>2919</v>
      </c>
      <c r="K1405" s="3">
        <v>25</v>
      </c>
      <c r="L1405" s="3" t="s">
        <v>6921</v>
      </c>
      <c r="M1405" s="3" t="str">
        <f>HYPERLINK("http://ictvonline.org/taxonomyHistory.asp?taxnode_id=20151817","ICTVonline=20151817")</f>
        <v>ICTVonline=20151817</v>
      </c>
    </row>
    <row r="1406" spans="1:13" x14ac:dyDescent="0.15">
      <c r="A1406" s="1" t="s">
        <v>934</v>
      </c>
      <c r="B1406" s="1" t="s">
        <v>317</v>
      </c>
      <c r="D1406" s="1" t="s">
        <v>318</v>
      </c>
      <c r="E1406" s="1" t="s">
        <v>333</v>
      </c>
      <c r="F1406" s="3">
        <v>0</v>
      </c>
      <c r="I1406" s="24" t="s">
        <v>5057</v>
      </c>
      <c r="J1406" s="24" t="s">
        <v>2919</v>
      </c>
      <c r="K1406" s="3">
        <v>25</v>
      </c>
      <c r="L1406" s="3" t="s">
        <v>6921</v>
      </c>
      <c r="M1406" s="3" t="str">
        <f>HYPERLINK("http://ictvonline.org/taxonomyHistory.asp?taxnode_id=20151818","ICTVonline=20151818")</f>
        <v>ICTVonline=20151818</v>
      </c>
    </row>
    <row r="1407" spans="1:13" x14ac:dyDescent="0.15">
      <c r="A1407" s="1" t="s">
        <v>934</v>
      </c>
      <c r="B1407" s="1" t="s">
        <v>317</v>
      </c>
      <c r="D1407" s="1" t="s">
        <v>318</v>
      </c>
      <c r="E1407" s="1" t="s">
        <v>334</v>
      </c>
      <c r="F1407" s="3">
        <v>0</v>
      </c>
      <c r="I1407" s="24" t="s">
        <v>5057</v>
      </c>
      <c r="J1407" s="24" t="s">
        <v>2919</v>
      </c>
      <c r="K1407" s="3">
        <v>25</v>
      </c>
      <c r="L1407" s="3" t="s">
        <v>6921</v>
      </c>
      <c r="M1407" s="3" t="str">
        <f>HYPERLINK("http://ictvonline.org/taxonomyHistory.asp?taxnode_id=20151819","ICTVonline=20151819")</f>
        <v>ICTVonline=20151819</v>
      </c>
    </row>
    <row r="1408" spans="1:13" x14ac:dyDescent="0.15">
      <c r="A1408" s="1" t="s">
        <v>934</v>
      </c>
      <c r="B1408" s="1" t="s">
        <v>317</v>
      </c>
      <c r="D1408" s="1" t="s">
        <v>318</v>
      </c>
      <c r="E1408" s="1" t="s">
        <v>335</v>
      </c>
      <c r="F1408" s="3">
        <v>0</v>
      </c>
      <c r="I1408" s="24" t="s">
        <v>5057</v>
      </c>
      <c r="J1408" s="24" t="s">
        <v>2919</v>
      </c>
      <c r="K1408" s="3">
        <v>25</v>
      </c>
      <c r="L1408" s="3" t="s">
        <v>6921</v>
      </c>
      <c r="M1408" s="3" t="str">
        <f>HYPERLINK("http://ictvonline.org/taxonomyHistory.asp?taxnode_id=20151820","ICTVonline=20151820")</f>
        <v>ICTVonline=20151820</v>
      </c>
    </row>
    <row r="1409" spans="1:13" x14ac:dyDescent="0.15">
      <c r="A1409" s="1" t="s">
        <v>934</v>
      </c>
      <c r="B1409" s="1" t="s">
        <v>317</v>
      </c>
      <c r="D1409" s="1" t="s">
        <v>318</v>
      </c>
      <c r="E1409" s="1" t="s">
        <v>336</v>
      </c>
      <c r="F1409" s="3">
        <v>0</v>
      </c>
      <c r="I1409" s="24" t="s">
        <v>5057</v>
      </c>
      <c r="J1409" s="24" t="s">
        <v>2919</v>
      </c>
      <c r="K1409" s="3">
        <v>25</v>
      </c>
      <c r="L1409" s="3" t="s">
        <v>6921</v>
      </c>
      <c r="M1409" s="3" t="str">
        <f>HYPERLINK("http://ictvonline.org/taxonomyHistory.asp?taxnode_id=20151821","ICTVonline=20151821")</f>
        <v>ICTVonline=20151821</v>
      </c>
    </row>
    <row r="1410" spans="1:13" x14ac:dyDescent="0.15">
      <c r="A1410" s="1" t="s">
        <v>934</v>
      </c>
      <c r="B1410" s="1" t="s">
        <v>317</v>
      </c>
      <c r="D1410" s="1" t="s">
        <v>318</v>
      </c>
      <c r="E1410" s="1" t="s">
        <v>337</v>
      </c>
      <c r="F1410" s="3">
        <v>0</v>
      </c>
      <c r="I1410" s="24" t="s">
        <v>5057</v>
      </c>
      <c r="J1410" s="24" t="s">
        <v>2919</v>
      </c>
      <c r="K1410" s="3">
        <v>25</v>
      </c>
      <c r="L1410" s="3" t="s">
        <v>6921</v>
      </c>
      <c r="M1410" s="3" t="str">
        <f>HYPERLINK("http://ictvonline.org/taxonomyHistory.asp?taxnode_id=20151822","ICTVonline=20151822")</f>
        <v>ICTVonline=20151822</v>
      </c>
    </row>
    <row r="1411" spans="1:13" x14ac:dyDescent="0.15">
      <c r="A1411" s="1" t="s">
        <v>934</v>
      </c>
      <c r="B1411" s="1" t="s">
        <v>317</v>
      </c>
      <c r="D1411" s="1" t="s">
        <v>318</v>
      </c>
      <c r="E1411" s="1" t="s">
        <v>338</v>
      </c>
      <c r="F1411" s="3">
        <v>0</v>
      </c>
      <c r="I1411" s="24" t="s">
        <v>5057</v>
      </c>
      <c r="J1411" s="24" t="s">
        <v>2919</v>
      </c>
      <c r="K1411" s="3">
        <v>25</v>
      </c>
      <c r="L1411" s="3" t="s">
        <v>6921</v>
      </c>
      <c r="M1411" s="3" t="str">
        <f>HYPERLINK("http://ictvonline.org/taxonomyHistory.asp?taxnode_id=20151823","ICTVonline=20151823")</f>
        <v>ICTVonline=20151823</v>
      </c>
    </row>
    <row r="1412" spans="1:13" x14ac:dyDescent="0.15">
      <c r="A1412" s="1" t="s">
        <v>934</v>
      </c>
      <c r="B1412" s="1" t="s">
        <v>317</v>
      </c>
      <c r="D1412" s="1" t="s">
        <v>318</v>
      </c>
      <c r="E1412" s="1" t="s">
        <v>339</v>
      </c>
      <c r="F1412" s="3">
        <v>0</v>
      </c>
      <c r="I1412" s="24" t="s">
        <v>5057</v>
      </c>
      <c r="J1412" s="24" t="s">
        <v>2919</v>
      </c>
      <c r="K1412" s="3">
        <v>25</v>
      </c>
      <c r="L1412" s="3" t="s">
        <v>6921</v>
      </c>
      <c r="M1412" s="3" t="str">
        <f>HYPERLINK("http://ictvonline.org/taxonomyHistory.asp?taxnode_id=20151824","ICTVonline=20151824")</f>
        <v>ICTVonline=20151824</v>
      </c>
    </row>
    <row r="1413" spans="1:13" x14ac:dyDescent="0.15">
      <c r="A1413" s="1" t="s">
        <v>934</v>
      </c>
      <c r="B1413" s="1" t="s">
        <v>317</v>
      </c>
      <c r="D1413" s="1" t="s">
        <v>318</v>
      </c>
      <c r="E1413" s="1" t="s">
        <v>340</v>
      </c>
      <c r="F1413" s="3">
        <v>0</v>
      </c>
      <c r="I1413" s="24" t="s">
        <v>5057</v>
      </c>
      <c r="J1413" s="24" t="s">
        <v>2919</v>
      </c>
      <c r="K1413" s="3">
        <v>25</v>
      </c>
      <c r="L1413" s="3" t="s">
        <v>6921</v>
      </c>
      <c r="M1413" s="3" t="str">
        <f>HYPERLINK("http://ictvonline.org/taxonomyHistory.asp?taxnode_id=20151825","ICTVonline=20151825")</f>
        <v>ICTVonline=20151825</v>
      </c>
    </row>
    <row r="1414" spans="1:13" x14ac:dyDescent="0.15">
      <c r="A1414" s="1" t="s">
        <v>934</v>
      </c>
      <c r="B1414" s="1" t="s">
        <v>317</v>
      </c>
      <c r="D1414" s="1" t="s">
        <v>318</v>
      </c>
      <c r="E1414" s="1" t="s">
        <v>341</v>
      </c>
      <c r="F1414" s="3">
        <v>0</v>
      </c>
      <c r="I1414" s="24" t="s">
        <v>5057</v>
      </c>
      <c r="J1414" s="24" t="s">
        <v>2919</v>
      </c>
      <c r="K1414" s="3">
        <v>25</v>
      </c>
      <c r="L1414" s="3" t="s">
        <v>6921</v>
      </c>
      <c r="M1414" s="3" t="str">
        <f>HYPERLINK("http://ictvonline.org/taxonomyHistory.asp?taxnode_id=20151826","ICTVonline=20151826")</f>
        <v>ICTVonline=20151826</v>
      </c>
    </row>
    <row r="1415" spans="1:13" x14ac:dyDescent="0.15">
      <c r="A1415" s="1" t="s">
        <v>934</v>
      </c>
      <c r="B1415" s="1" t="s">
        <v>317</v>
      </c>
      <c r="D1415" s="1" t="s">
        <v>318</v>
      </c>
      <c r="E1415" s="1" t="s">
        <v>342</v>
      </c>
      <c r="F1415" s="3">
        <v>0</v>
      </c>
      <c r="I1415" s="24" t="s">
        <v>5057</v>
      </c>
      <c r="J1415" s="24" t="s">
        <v>2919</v>
      </c>
      <c r="K1415" s="3">
        <v>25</v>
      </c>
      <c r="L1415" s="3" t="s">
        <v>6921</v>
      </c>
      <c r="M1415" s="3" t="str">
        <f>HYPERLINK("http://ictvonline.org/taxonomyHistory.asp?taxnode_id=20151827","ICTVonline=20151827")</f>
        <v>ICTVonline=20151827</v>
      </c>
    </row>
    <row r="1416" spans="1:13" x14ac:dyDescent="0.15">
      <c r="A1416" s="1" t="s">
        <v>934</v>
      </c>
      <c r="B1416" s="1" t="s">
        <v>317</v>
      </c>
      <c r="D1416" s="1" t="s">
        <v>318</v>
      </c>
      <c r="E1416" s="1" t="s">
        <v>463</v>
      </c>
      <c r="F1416" s="3">
        <v>0</v>
      </c>
      <c r="I1416" s="24" t="s">
        <v>5057</v>
      </c>
      <c r="J1416" s="24" t="s">
        <v>2919</v>
      </c>
      <c r="K1416" s="3">
        <v>25</v>
      </c>
      <c r="L1416" s="3" t="s">
        <v>6921</v>
      </c>
      <c r="M1416" s="3" t="str">
        <f>HYPERLINK("http://ictvonline.org/taxonomyHistory.asp?taxnode_id=20151828","ICTVonline=20151828")</f>
        <v>ICTVonline=20151828</v>
      </c>
    </row>
    <row r="1417" spans="1:13" x14ac:dyDescent="0.15">
      <c r="A1417" s="1" t="s">
        <v>934</v>
      </c>
      <c r="B1417" s="1" t="s">
        <v>317</v>
      </c>
      <c r="D1417" s="1" t="s">
        <v>318</v>
      </c>
      <c r="E1417" s="1" t="s">
        <v>464</v>
      </c>
      <c r="F1417" s="3">
        <v>0</v>
      </c>
      <c r="I1417" s="24" t="s">
        <v>5057</v>
      </c>
      <c r="J1417" s="24" t="s">
        <v>2919</v>
      </c>
      <c r="K1417" s="3">
        <v>25</v>
      </c>
      <c r="L1417" s="3" t="s">
        <v>6921</v>
      </c>
      <c r="M1417" s="3" t="str">
        <f>HYPERLINK("http://ictvonline.org/taxonomyHistory.asp?taxnode_id=20151829","ICTVonline=20151829")</f>
        <v>ICTVonline=20151829</v>
      </c>
    </row>
    <row r="1418" spans="1:13" x14ac:dyDescent="0.15">
      <c r="A1418" s="1" t="s">
        <v>934</v>
      </c>
      <c r="B1418" s="1" t="s">
        <v>317</v>
      </c>
      <c r="D1418" s="1" t="s">
        <v>318</v>
      </c>
      <c r="E1418" s="1" t="s">
        <v>465</v>
      </c>
      <c r="F1418" s="3">
        <v>0</v>
      </c>
      <c r="I1418" s="24" t="s">
        <v>5057</v>
      </c>
      <c r="J1418" s="24" t="s">
        <v>2919</v>
      </c>
      <c r="K1418" s="3">
        <v>25</v>
      </c>
      <c r="L1418" s="3" t="s">
        <v>6921</v>
      </c>
      <c r="M1418" s="3" t="str">
        <f>HYPERLINK("http://ictvonline.org/taxonomyHistory.asp?taxnode_id=20151830","ICTVonline=20151830")</f>
        <v>ICTVonline=20151830</v>
      </c>
    </row>
    <row r="1419" spans="1:13" x14ac:dyDescent="0.15">
      <c r="A1419" s="1" t="s">
        <v>934</v>
      </c>
      <c r="B1419" s="1" t="s">
        <v>317</v>
      </c>
      <c r="D1419" s="1" t="s">
        <v>318</v>
      </c>
      <c r="E1419" s="1" t="s">
        <v>466</v>
      </c>
      <c r="F1419" s="3">
        <v>0</v>
      </c>
      <c r="I1419" s="24" t="s">
        <v>5057</v>
      </c>
      <c r="J1419" s="24" t="s">
        <v>2919</v>
      </c>
      <c r="K1419" s="3">
        <v>25</v>
      </c>
      <c r="L1419" s="3" t="s">
        <v>6921</v>
      </c>
      <c r="M1419" s="3" t="str">
        <f>HYPERLINK("http://ictvonline.org/taxonomyHistory.asp?taxnode_id=20151831","ICTVonline=20151831")</f>
        <v>ICTVonline=20151831</v>
      </c>
    </row>
    <row r="1420" spans="1:13" x14ac:dyDescent="0.15">
      <c r="A1420" s="1" t="s">
        <v>934</v>
      </c>
      <c r="B1420" s="1" t="s">
        <v>317</v>
      </c>
      <c r="D1420" s="1" t="s">
        <v>318</v>
      </c>
      <c r="E1420" s="1" t="s">
        <v>1563</v>
      </c>
      <c r="F1420" s="3">
        <v>0</v>
      </c>
      <c r="I1420" s="24" t="s">
        <v>5057</v>
      </c>
      <c r="J1420" s="24" t="s">
        <v>2919</v>
      </c>
      <c r="K1420" s="3">
        <v>25</v>
      </c>
      <c r="L1420" s="3" t="s">
        <v>6921</v>
      </c>
      <c r="M1420" s="3" t="str">
        <f>HYPERLINK("http://ictvonline.org/taxonomyHistory.asp?taxnode_id=20151832","ICTVonline=20151832")</f>
        <v>ICTVonline=20151832</v>
      </c>
    </row>
    <row r="1421" spans="1:13" x14ac:dyDescent="0.15">
      <c r="A1421" s="1" t="s">
        <v>934</v>
      </c>
      <c r="B1421" s="1" t="s">
        <v>317</v>
      </c>
      <c r="D1421" s="1" t="s">
        <v>319</v>
      </c>
      <c r="E1421" s="1" t="s">
        <v>1998</v>
      </c>
      <c r="F1421" s="3">
        <v>1</v>
      </c>
      <c r="I1421" s="24" t="s">
        <v>5057</v>
      </c>
      <c r="J1421" s="24" t="s">
        <v>2921</v>
      </c>
      <c r="K1421" s="3">
        <v>25</v>
      </c>
      <c r="L1421" s="3" t="s">
        <v>6921</v>
      </c>
      <c r="M1421" s="3" t="str">
        <f>HYPERLINK("http://ictvonline.org/taxonomyHistory.asp?taxnode_id=20151834","ICTVonline=20151834")</f>
        <v>ICTVonline=20151834</v>
      </c>
    </row>
    <row r="1422" spans="1:13" x14ac:dyDescent="0.15">
      <c r="A1422" s="1" t="s">
        <v>934</v>
      </c>
      <c r="B1422" s="1" t="s">
        <v>317</v>
      </c>
      <c r="D1422" s="1" t="s">
        <v>319</v>
      </c>
      <c r="E1422" s="1" t="s">
        <v>1976</v>
      </c>
      <c r="F1422" s="3">
        <v>0</v>
      </c>
      <c r="I1422" s="24" t="s">
        <v>5057</v>
      </c>
      <c r="J1422" s="24" t="s">
        <v>2919</v>
      </c>
      <c r="K1422" s="3">
        <v>25</v>
      </c>
      <c r="L1422" s="3" t="s">
        <v>6921</v>
      </c>
      <c r="M1422" s="3" t="str">
        <f>HYPERLINK("http://ictvonline.org/taxonomyHistory.asp?taxnode_id=20151835","ICTVonline=20151835")</f>
        <v>ICTVonline=20151835</v>
      </c>
    </row>
    <row r="1423" spans="1:13" x14ac:dyDescent="0.15">
      <c r="A1423" s="1" t="s">
        <v>934</v>
      </c>
      <c r="B1423" s="1" t="s">
        <v>317</v>
      </c>
      <c r="D1423" s="1" t="s">
        <v>319</v>
      </c>
      <c r="E1423" s="1" t="s">
        <v>1977</v>
      </c>
      <c r="F1423" s="3">
        <v>0</v>
      </c>
      <c r="I1423" s="24" t="s">
        <v>5057</v>
      </c>
      <c r="J1423" s="24" t="s">
        <v>2919</v>
      </c>
      <c r="K1423" s="3">
        <v>25</v>
      </c>
      <c r="L1423" s="3" t="s">
        <v>6921</v>
      </c>
      <c r="M1423" s="3" t="str">
        <f>HYPERLINK("http://ictvonline.org/taxonomyHistory.asp?taxnode_id=20151836","ICTVonline=20151836")</f>
        <v>ICTVonline=20151836</v>
      </c>
    </row>
    <row r="1424" spans="1:13" x14ac:dyDescent="0.15">
      <c r="A1424" s="1" t="s">
        <v>934</v>
      </c>
      <c r="B1424" s="1" t="s">
        <v>317</v>
      </c>
      <c r="D1424" s="1" t="s">
        <v>319</v>
      </c>
      <c r="E1424" s="1" t="s">
        <v>1978</v>
      </c>
      <c r="F1424" s="3">
        <v>0</v>
      </c>
      <c r="I1424" s="24" t="s">
        <v>5057</v>
      </c>
      <c r="J1424" s="24" t="s">
        <v>2919</v>
      </c>
      <c r="K1424" s="3">
        <v>25</v>
      </c>
      <c r="L1424" s="3" t="s">
        <v>6921</v>
      </c>
      <c r="M1424" s="3" t="str">
        <f>HYPERLINK("http://ictvonline.org/taxonomyHistory.asp?taxnode_id=20151837","ICTVonline=20151837")</f>
        <v>ICTVonline=20151837</v>
      </c>
    </row>
    <row r="1425" spans="1:13" x14ac:dyDescent="0.15">
      <c r="A1425" s="1" t="s">
        <v>934</v>
      </c>
      <c r="B1425" s="1" t="s">
        <v>317</v>
      </c>
      <c r="D1425" s="1" t="s">
        <v>319</v>
      </c>
      <c r="E1425" s="1" t="s">
        <v>2001</v>
      </c>
      <c r="F1425" s="3">
        <v>0</v>
      </c>
      <c r="I1425" s="24" t="s">
        <v>5057</v>
      </c>
      <c r="J1425" s="24" t="s">
        <v>2919</v>
      </c>
      <c r="K1425" s="3">
        <v>25</v>
      </c>
      <c r="L1425" s="3" t="s">
        <v>6921</v>
      </c>
      <c r="M1425" s="3" t="str">
        <f>HYPERLINK("http://ictvonline.org/taxonomyHistory.asp?taxnode_id=20151838","ICTVonline=20151838")</f>
        <v>ICTVonline=20151838</v>
      </c>
    </row>
    <row r="1426" spans="1:13" x14ac:dyDescent="0.15">
      <c r="A1426" s="1" t="s">
        <v>934</v>
      </c>
      <c r="B1426" s="1" t="s">
        <v>317</v>
      </c>
      <c r="D1426" s="1" t="s">
        <v>319</v>
      </c>
      <c r="E1426" s="1" t="s">
        <v>2002</v>
      </c>
      <c r="F1426" s="3">
        <v>0</v>
      </c>
      <c r="I1426" s="24" t="s">
        <v>5057</v>
      </c>
      <c r="J1426" s="24" t="s">
        <v>2919</v>
      </c>
      <c r="K1426" s="3">
        <v>25</v>
      </c>
      <c r="L1426" s="3" t="s">
        <v>6921</v>
      </c>
      <c r="M1426" s="3" t="str">
        <f>HYPERLINK("http://ictvonline.org/taxonomyHistory.asp?taxnode_id=20151839","ICTVonline=20151839")</f>
        <v>ICTVonline=20151839</v>
      </c>
    </row>
    <row r="1427" spans="1:13" x14ac:dyDescent="0.15">
      <c r="A1427" s="1" t="s">
        <v>934</v>
      </c>
      <c r="B1427" s="1" t="s">
        <v>317</v>
      </c>
      <c r="D1427" s="1" t="s">
        <v>319</v>
      </c>
      <c r="E1427" s="1" t="s">
        <v>1663</v>
      </c>
      <c r="F1427" s="3">
        <v>0</v>
      </c>
      <c r="I1427" s="24" t="s">
        <v>5057</v>
      </c>
      <c r="J1427" s="24" t="s">
        <v>2919</v>
      </c>
      <c r="K1427" s="3">
        <v>25</v>
      </c>
      <c r="L1427" s="3" t="s">
        <v>6921</v>
      </c>
      <c r="M1427" s="3" t="str">
        <f>HYPERLINK("http://ictvonline.org/taxonomyHistory.asp?taxnode_id=20151840","ICTVonline=20151840")</f>
        <v>ICTVonline=20151840</v>
      </c>
    </row>
    <row r="1428" spans="1:13" x14ac:dyDescent="0.15">
      <c r="A1428" s="1" t="s">
        <v>934</v>
      </c>
      <c r="B1428" s="1" t="s">
        <v>317</v>
      </c>
      <c r="D1428" s="1" t="s">
        <v>319</v>
      </c>
      <c r="E1428" s="1" t="s">
        <v>1664</v>
      </c>
      <c r="F1428" s="3">
        <v>0</v>
      </c>
      <c r="I1428" s="24" t="s">
        <v>5057</v>
      </c>
      <c r="J1428" s="24" t="s">
        <v>2919</v>
      </c>
      <c r="K1428" s="3">
        <v>25</v>
      </c>
      <c r="L1428" s="3" t="s">
        <v>6921</v>
      </c>
      <c r="M1428" s="3" t="str">
        <f>HYPERLINK("http://ictvonline.org/taxonomyHistory.asp?taxnode_id=20151841","ICTVonline=20151841")</f>
        <v>ICTVonline=20151841</v>
      </c>
    </row>
    <row r="1429" spans="1:13" x14ac:dyDescent="0.15">
      <c r="A1429" s="1" t="s">
        <v>934</v>
      </c>
      <c r="B1429" s="1" t="s">
        <v>317</v>
      </c>
      <c r="D1429" s="1" t="s">
        <v>319</v>
      </c>
      <c r="E1429" s="1" t="s">
        <v>1665</v>
      </c>
      <c r="F1429" s="3">
        <v>0</v>
      </c>
      <c r="I1429" s="24" t="s">
        <v>5057</v>
      </c>
      <c r="J1429" s="24" t="s">
        <v>2919</v>
      </c>
      <c r="K1429" s="3">
        <v>25</v>
      </c>
      <c r="L1429" s="3" t="s">
        <v>6921</v>
      </c>
      <c r="M1429" s="3" t="str">
        <f>HYPERLINK("http://ictvonline.org/taxonomyHistory.asp?taxnode_id=20151842","ICTVonline=20151842")</f>
        <v>ICTVonline=20151842</v>
      </c>
    </row>
    <row r="1430" spans="1:13" x14ac:dyDescent="0.15">
      <c r="A1430" s="1" t="s">
        <v>934</v>
      </c>
      <c r="B1430" s="1" t="s">
        <v>317</v>
      </c>
      <c r="D1430" s="1" t="s">
        <v>319</v>
      </c>
      <c r="E1430" s="1" t="s">
        <v>23</v>
      </c>
      <c r="F1430" s="3">
        <v>0</v>
      </c>
      <c r="I1430" s="24" t="s">
        <v>5057</v>
      </c>
      <c r="J1430" s="24" t="s">
        <v>2919</v>
      </c>
      <c r="K1430" s="3">
        <v>26</v>
      </c>
      <c r="L1430" s="3" t="s">
        <v>6922</v>
      </c>
      <c r="M1430" s="3" t="str">
        <f>HYPERLINK("http://ictvonline.org/taxonomyHistory.asp?taxnode_id=20151843","ICTVonline=20151843")</f>
        <v>ICTVonline=20151843</v>
      </c>
    </row>
    <row r="1431" spans="1:13" x14ac:dyDescent="0.15">
      <c r="A1431" s="1" t="s">
        <v>934</v>
      </c>
      <c r="B1431" s="1" t="s">
        <v>317</v>
      </c>
      <c r="D1431" s="1" t="s">
        <v>319</v>
      </c>
      <c r="E1431" s="1" t="s">
        <v>24</v>
      </c>
      <c r="F1431" s="3">
        <v>0</v>
      </c>
      <c r="I1431" s="24" t="s">
        <v>5057</v>
      </c>
      <c r="J1431" s="24" t="s">
        <v>2919</v>
      </c>
      <c r="K1431" s="3">
        <v>26</v>
      </c>
      <c r="L1431" s="3" t="s">
        <v>6922</v>
      </c>
      <c r="M1431" s="3" t="str">
        <f>HYPERLINK("http://ictvonline.org/taxonomyHistory.asp?taxnode_id=20151844","ICTVonline=20151844")</f>
        <v>ICTVonline=20151844</v>
      </c>
    </row>
    <row r="1432" spans="1:13" x14ac:dyDescent="0.15">
      <c r="A1432" s="1" t="s">
        <v>934</v>
      </c>
      <c r="B1432" s="1" t="s">
        <v>317</v>
      </c>
      <c r="D1432" s="1" t="s">
        <v>319</v>
      </c>
      <c r="E1432" s="1" t="s">
        <v>25</v>
      </c>
      <c r="F1432" s="3">
        <v>0</v>
      </c>
      <c r="I1432" s="24" t="s">
        <v>5057</v>
      </c>
      <c r="J1432" s="24" t="s">
        <v>2919</v>
      </c>
      <c r="K1432" s="3">
        <v>26</v>
      </c>
      <c r="L1432" s="3" t="s">
        <v>6922</v>
      </c>
      <c r="M1432" s="3" t="str">
        <f>HYPERLINK("http://ictvonline.org/taxonomyHistory.asp?taxnode_id=20151845","ICTVonline=20151845")</f>
        <v>ICTVonline=20151845</v>
      </c>
    </row>
    <row r="1433" spans="1:13" x14ac:dyDescent="0.15">
      <c r="A1433" s="1" t="s">
        <v>934</v>
      </c>
      <c r="B1433" s="1" t="s">
        <v>317</v>
      </c>
      <c r="D1433" s="1" t="s">
        <v>321</v>
      </c>
      <c r="E1433" s="1" t="s">
        <v>1670</v>
      </c>
      <c r="F1433" s="3">
        <v>1</v>
      </c>
      <c r="I1433" s="24" t="s">
        <v>5057</v>
      </c>
      <c r="J1433" s="24" t="s">
        <v>2921</v>
      </c>
      <c r="K1433" s="3">
        <v>25</v>
      </c>
      <c r="L1433" s="3" t="s">
        <v>6921</v>
      </c>
      <c r="M1433" s="3" t="str">
        <f>HYPERLINK("http://ictvonline.org/taxonomyHistory.asp?taxnode_id=20151847","ICTVonline=20151847")</f>
        <v>ICTVonline=20151847</v>
      </c>
    </row>
    <row r="1434" spans="1:13" x14ac:dyDescent="0.15">
      <c r="A1434" s="1" t="s">
        <v>934</v>
      </c>
      <c r="B1434" s="1" t="s">
        <v>317</v>
      </c>
      <c r="D1434" s="1" t="s">
        <v>1807</v>
      </c>
      <c r="E1434" s="1" t="s">
        <v>506</v>
      </c>
      <c r="F1434" s="3">
        <v>1</v>
      </c>
      <c r="I1434" s="24" t="s">
        <v>5057</v>
      </c>
      <c r="J1434" s="24" t="s">
        <v>2921</v>
      </c>
      <c r="K1434" s="3">
        <v>25</v>
      </c>
      <c r="L1434" s="3" t="s">
        <v>6921</v>
      </c>
      <c r="M1434" s="3" t="str">
        <f>HYPERLINK("http://ictvonline.org/taxonomyHistory.asp?taxnode_id=20151849","ICTVonline=20151849")</f>
        <v>ICTVonline=20151849</v>
      </c>
    </row>
    <row r="1435" spans="1:13" x14ac:dyDescent="0.15">
      <c r="A1435" s="1" t="s">
        <v>934</v>
      </c>
      <c r="B1435" s="1" t="s">
        <v>317</v>
      </c>
      <c r="D1435" s="1" t="s">
        <v>1809</v>
      </c>
      <c r="E1435" s="1" t="s">
        <v>1673</v>
      </c>
      <c r="F1435" s="3">
        <v>1</v>
      </c>
      <c r="I1435" s="24" t="s">
        <v>5057</v>
      </c>
      <c r="J1435" s="24" t="s">
        <v>2921</v>
      </c>
      <c r="K1435" s="3">
        <v>25</v>
      </c>
      <c r="L1435" s="3" t="s">
        <v>6921</v>
      </c>
      <c r="M1435" s="3" t="str">
        <f>HYPERLINK("http://ictvonline.org/taxonomyHistory.asp?taxnode_id=20151851","ICTVonline=20151851")</f>
        <v>ICTVonline=20151851</v>
      </c>
    </row>
    <row r="1436" spans="1:13" x14ac:dyDescent="0.15">
      <c r="A1436" s="1" t="s">
        <v>934</v>
      </c>
      <c r="B1436" s="1" t="s">
        <v>317</v>
      </c>
      <c r="D1436" s="1" t="s">
        <v>1809</v>
      </c>
      <c r="E1436" s="1" t="s">
        <v>26</v>
      </c>
      <c r="F1436" s="3">
        <v>0</v>
      </c>
      <c r="I1436" s="24" t="s">
        <v>5057</v>
      </c>
      <c r="J1436" s="24" t="s">
        <v>2919</v>
      </c>
      <c r="K1436" s="3">
        <v>26</v>
      </c>
      <c r="L1436" s="3" t="s">
        <v>6923</v>
      </c>
      <c r="M1436" s="3" t="str">
        <f>HYPERLINK("http://ictvonline.org/taxonomyHistory.asp?taxnode_id=20151852","ICTVonline=20151852")</f>
        <v>ICTVonline=20151852</v>
      </c>
    </row>
    <row r="1437" spans="1:13" x14ac:dyDescent="0.15">
      <c r="A1437" s="1" t="s">
        <v>934</v>
      </c>
      <c r="B1437" s="1" t="s">
        <v>317</v>
      </c>
      <c r="D1437" s="1" t="s">
        <v>320</v>
      </c>
      <c r="E1437" s="1" t="s">
        <v>2006</v>
      </c>
      <c r="F1437" s="3">
        <v>1</v>
      </c>
      <c r="I1437" s="24" t="s">
        <v>5057</v>
      </c>
      <c r="J1437" s="24" t="s">
        <v>2921</v>
      </c>
      <c r="K1437" s="3">
        <v>25</v>
      </c>
      <c r="L1437" s="3" t="s">
        <v>6921</v>
      </c>
      <c r="M1437" s="3" t="str">
        <f>HYPERLINK("http://ictvonline.org/taxonomyHistory.asp?taxnode_id=20151854","ICTVonline=20151854")</f>
        <v>ICTVonline=20151854</v>
      </c>
    </row>
    <row r="1438" spans="1:13" x14ac:dyDescent="0.15">
      <c r="A1438" s="1" t="s">
        <v>934</v>
      </c>
      <c r="B1438" s="1" t="s">
        <v>317</v>
      </c>
      <c r="D1438" s="1" t="s">
        <v>320</v>
      </c>
      <c r="E1438" s="1" t="s">
        <v>2007</v>
      </c>
      <c r="F1438" s="3">
        <v>0</v>
      </c>
      <c r="I1438" s="24" t="s">
        <v>5057</v>
      </c>
      <c r="J1438" s="24" t="s">
        <v>2919</v>
      </c>
      <c r="K1438" s="3">
        <v>25</v>
      </c>
      <c r="L1438" s="3" t="s">
        <v>6921</v>
      </c>
      <c r="M1438" s="3" t="str">
        <f>HYPERLINK("http://ictvonline.org/taxonomyHistory.asp?taxnode_id=20151855","ICTVonline=20151855")</f>
        <v>ICTVonline=20151855</v>
      </c>
    </row>
    <row r="1439" spans="1:13" x14ac:dyDescent="0.15">
      <c r="A1439" s="1" t="s">
        <v>934</v>
      </c>
      <c r="B1439" s="1" t="s">
        <v>317</v>
      </c>
      <c r="D1439" s="1" t="s">
        <v>320</v>
      </c>
      <c r="E1439" s="1" t="s">
        <v>33</v>
      </c>
      <c r="F1439" s="3">
        <v>0</v>
      </c>
      <c r="I1439" s="24" t="s">
        <v>5057</v>
      </c>
      <c r="J1439" s="24" t="s">
        <v>2919</v>
      </c>
      <c r="K1439" s="3">
        <v>26</v>
      </c>
      <c r="L1439" s="3" t="s">
        <v>6924</v>
      </c>
      <c r="M1439" s="3" t="str">
        <f>HYPERLINK("http://ictvonline.org/taxonomyHistory.asp?taxnode_id=20151856","ICTVonline=20151856")</f>
        <v>ICTVonline=20151856</v>
      </c>
    </row>
    <row r="1440" spans="1:13" x14ac:dyDescent="0.15">
      <c r="A1440" s="1" t="s">
        <v>934</v>
      </c>
      <c r="B1440" s="1" t="s">
        <v>317</v>
      </c>
      <c r="D1440" s="1" t="s">
        <v>320</v>
      </c>
      <c r="E1440" s="1" t="s">
        <v>34</v>
      </c>
      <c r="F1440" s="3">
        <v>0</v>
      </c>
      <c r="I1440" s="24" t="s">
        <v>5057</v>
      </c>
      <c r="J1440" s="24" t="s">
        <v>2919</v>
      </c>
      <c r="K1440" s="3">
        <v>26</v>
      </c>
      <c r="L1440" s="3" t="s">
        <v>6924</v>
      </c>
      <c r="M1440" s="3" t="str">
        <f>HYPERLINK("http://ictvonline.org/taxonomyHistory.asp?taxnode_id=20151857","ICTVonline=20151857")</f>
        <v>ICTVonline=20151857</v>
      </c>
    </row>
    <row r="1441" spans="1:13" x14ac:dyDescent="0.15">
      <c r="A1441" s="1" t="s">
        <v>934</v>
      </c>
      <c r="B1441" s="1" t="s">
        <v>317</v>
      </c>
      <c r="D1441" s="1" t="s">
        <v>320</v>
      </c>
      <c r="E1441" s="1" t="s">
        <v>35</v>
      </c>
      <c r="F1441" s="3">
        <v>0</v>
      </c>
      <c r="I1441" s="24" t="s">
        <v>5057</v>
      </c>
      <c r="J1441" s="24" t="s">
        <v>2919</v>
      </c>
      <c r="K1441" s="3">
        <v>26</v>
      </c>
      <c r="L1441" s="3" t="s">
        <v>6924</v>
      </c>
      <c r="M1441" s="3" t="str">
        <f>HYPERLINK("http://ictvonline.org/taxonomyHistory.asp?taxnode_id=20151858","ICTVonline=20151858")</f>
        <v>ICTVonline=20151858</v>
      </c>
    </row>
    <row r="1442" spans="1:13" x14ac:dyDescent="0.15">
      <c r="A1442" s="1" t="s">
        <v>934</v>
      </c>
      <c r="B1442" s="1" t="s">
        <v>317</v>
      </c>
      <c r="D1442" s="1" t="s">
        <v>320</v>
      </c>
      <c r="E1442" s="1" t="s">
        <v>36</v>
      </c>
      <c r="F1442" s="3">
        <v>0</v>
      </c>
      <c r="I1442" s="24" t="s">
        <v>5057</v>
      </c>
      <c r="J1442" s="24" t="s">
        <v>2919</v>
      </c>
      <c r="K1442" s="3">
        <v>26</v>
      </c>
      <c r="L1442" s="3" t="s">
        <v>6924</v>
      </c>
      <c r="M1442" s="3" t="str">
        <f>HYPERLINK("http://ictvonline.org/taxonomyHistory.asp?taxnode_id=20151859","ICTVonline=20151859")</f>
        <v>ICTVonline=20151859</v>
      </c>
    </row>
    <row r="1443" spans="1:13" x14ac:dyDescent="0.15">
      <c r="A1443" s="1" t="s">
        <v>934</v>
      </c>
      <c r="B1443" s="1" t="s">
        <v>317</v>
      </c>
      <c r="D1443" s="1" t="s">
        <v>320</v>
      </c>
      <c r="E1443" s="1" t="s">
        <v>37</v>
      </c>
      <c r="F1443" s="3">
        <v>0</v>
      </c>
      <c r="I1443" s="24" t="s">
        <v>5057</v>
      </c>
      <c r="J1443" s="24" t="s">
        <v>2919</v>
      </c>
      <c r="K1443" s="3">
        <v>26</v>
      </c>
      <c r="L1443" s="3" t="s">
        <v>6924</v>
      </c>
      <c r="M1443" s="3" t="str">
        <f>HYPERLINK("http://ictvonline.org/taxonomyHistory.asp?taxnode_id=20151860","ICTVonline=20151860")</f>
        <v>ICTVonline=20151860</v>
      </c>
    </row>
    <row r="1444" spans="1:13" x14ac:dyDescent="0.15">
      <c r="A1444" s="1" t="s">
        <v>934</v>
      </c>
      <c r="B1444" s="1" t="s">
        <v>317</v>
      </c>
      <c r="D1444" s="1" t="s">
        <v>320</v>
      </c>
      <c r="E1444" s="1" t="s">
        <v>38</v>
      </c>
      <c r="F1444" s="3">
        <v>0</v>
      </c>
      <c r="I1444" s="24" t="s">
        <v>5057</v>
      </c>
      <c r="J1444" s="24" t="s">
        <v>2919</v>
      </c>
      <c r="K1444" s="3">
        <v>26</v>
      </c>
      <c r="L1444" s="3" t="s">
        <v>6924</v>
      </c>
      <c r="M1444" s="3" t="str">
        <f>HYPERLINK("http://ictvonline.org/taxonomyHistory.asp?taxnode_id=20151861","ICTVonline=20151861")</f>
        <v>ICTVonline=20151861</v>
      </c>
    </row>
    <row r="1445" spans="1:13" x14ac:dyDescent="0.15">
      <c r="A1445" s="1" t="s">
        <v>934</v>
      </c>
      <c r="B1445" s="1" t="s">
        <v>317</v>
      </c>
      <c r="D1445" s="1" t="s">
        <v>320</v>
      </c>
      <c r="E1445" s="1" t="s">
        <v>39</v>
      </c>
      <c r="F1445" s="3">
        <v>0</v>
      </c>
      <c r="I1445" s="24" t="s">
        <v>5057</v>
      </c>
      <c r="J1445" s="24" t="s">
        <v>2919</v>
      </c>
      <c r="K1445" s="3">
        <v>26</v>
      </c>
      <c r="L1445" s="3" t="s">
        <v>6924</v>
      </c>
      <c r="M1445" s="3" t="str">
        <f>HYPERLINK("http://ictvonline.org/taxonomyHistory.asp?taxnode_id=20151862","ICTVonline=20151862")</f>
        <v>ICTVonline=20151862</v>
      </c>
    </row>
    <row r="1446" spans="1:13" x14ac:dyDescent="0.15">
      <c r="A1446" s="1" t="s">
        <v>934</v>
      </c>
      <c r="B1446" s="1" t="s">
        <v>317</v>
      </c>
      <c r="D1446" s="1" t="s">
        <v>320</v>
      </c>
      <c r="E1446" s="1" t="s">
        <v>27</v>
      </c>
      <c r="F1446" s="3">
        <v>0</v>
      </c>
      <c r="I1446" s="24" t="s">
        <v>5057</v>
      </c>
      <c r="J1446" s="24" t="s">
        <v>2919</v>
      </c>
      <c r="K1446" s="3">
        <v>26</v>
      </c>
      <c r="L1446" s="3" t="s">
        <v>6924</v>
      </c>
      <c r="M1446" s="3" t="str">
        <f>HYPERLINK("http://ictvonline.org/taxonomyHistory.asp?taxnode_id=20151863","ICTVonline=20151863")</f>
        <v>ICTVonline=20151863</v>
      </c>
    </row>
    <row r="1447" spans="1:13" x14ac:dyDescent="0.15">
      <c r="A1447" s="1" t="s">
        <v>934</v>
      </c>
      <c r="B1447" s="1" t="s">
        <v>317</v>
      </c>
      <c r="D1447" s="1" t="s">
        <v>320</v>
      </c>
      <c r="E1447" s="1" t="s">
        <v>28</v>
      </c>
      <c r="F1447" s="3">
        <v>0</v>
      </c>
      <c r="I1447" s="24" t="s">
        <v>5057</v>
      </c>
      <c r="J1447" s="24" t="s">
        <v>2919</v>
      </c>
      <c r="K1447" s="3">
        <v>26</v>
      </c>
      <c r="L1447" s="3" t="s">
        <v>6924</v>
      </c>
      <c r="M1447" s="3" t="str">
        <f>HYPERLINK("http://ictvonline.org/taxonomyHistory.asp?taxnode_id=20151864","ICTVonline=20151864")</f>
        <v>ICTVonline=20151864</v>
      </c>
    </row>
    <row r="1448" spans="1:13" x14ac:dyDescent="0.15">
      <c r="A1448" s="1" t="s">
        <v>934</v>
      </c>
      <c r="B1448" s="1" t="s">
        <v>317</v>
      </c>
      <c r="D1448" s="1" t="s">
        <v>320</v>
      </c>
      <c r="E1448" s="1" t="s">
        <v>29</v>
      </c>
      <c r="F1448" s="3">
        <v>0</v>
      </c>
      <c r="I1448" s="24" t="s">
        <v>5057</v>
      </c>
      <c r="J1448" s="24" t="s">
        <v>2919</v>
      </c>
      <c r="K1448" s="3">
        <v>26</v>
      </c>
      <c r="L1448" s="3" t="s">
        <v>6924</v>
      </c>
      <c r="M1448" s="3" t="str">
        <f>HYPERLINK("http://ictvonline.org/taxonomyHistory.asp?taxnode_id=20151865","ICTVonline=20151865")</f>
        <v>ICTVonline=20151865</v>
      </c>
    </row>
    <row r="1449" spans="1:13" x14ac:dyDescent="0.15">
      <c r="A1449" s="1" t="s">
        <v>934</v>
      </c>
      <c r="B1449" s="1" t="s">
        <v>317</v>
      </c>
      <c r="D1449" s="1" t="s">
        <v>320</v>
      </c>
      <c r="E1449" s="1" t="s">
        <v>30</v>
      </c>
      <c r="F1449" s="3">
        <v>0</v>
      </c>
      <c r="I1449" s="24" t="s">
        <v>5057</v>
      </c>
      <c r="J1449" s="24" t="s">
        <v>2919</v>
      </c>
      <c r="K1449" s="3">
        <v>26</v>
      </c>
      <c r="L1449" s="3" t="s">
        <v>6924</v>
      </c>
      <c r="M1449" s="3" t="str">
        <f>HYPERLINK("http://ictvonline.org/taxonomyHistory.asp?taxnode_id=20151866","ICTVonline=20151866")</f>
        <v>ICTVonline=20151866</v>
      </c>
    </row>
    <row r="1450" spans="1:13" x14ac:dyDescent="0.15">
      <c r="A1450" s="1" t="s">
        <v>934</v>
      </c>
      <c r="B1450" s="1" t="s">
        <v>317</v>
      </c>
      <c r="D1450" s="1" t="s">
        <v>320</v>
      </c>
      <c r="E1450" s="1" t="s">
        <v>31</v>
      </c>
      <c r="F1450" s="3">
        <v>0</v>
      </c>
      <c r="I1450" s="24" t="s">
        <v>5057</v>
      </c>
      <c r="J1450" s="24" t="s">
        <v>2919</v>
      </c>
      <c r="K1450" s="3">
        <v>26</v>
      </c>
      <c r="L1450" s="3" t="s">
        <v>6924</v>
      </c>
      <c r="M1450" s="3" t="str">
        <f>HYPERLINK("http://ictvonline.org/taxonomyHistory.asp?taxnode_id=20151867","ICTVonline=20151867")</f>
        <v>ICTVonline=20151867</v>
      </c>
    </row>
    <row r="1451" spans="1:13" x14ac:dyDescent="0.15">
      <c r="A1451" s="1" t="s">
        <v>934</v>
      </c>
      <c r="B1451" s="1" t="s">
        <v>317</v>
      </c>
      <c r="D1451" s="1" t="s">
        <v>320</v>
      </c>
      <c r="E1451" s="1" t="s">
        <v>32</v>
      </c>
      <c r="F1451" s="3">
        <v>0</v>
      </c>
      <c r="I1451" s="24" t="s">
        <v>5057</v>
      </c>
      <c r="J1451" s="24" t="s">
        <v>2919</v>
      </c>
      <c r="K1451" s="3">
        <v>26</v>
      </c>
      <c r="L1451" s="3" t="s">
        <v>6924</v>
      </c>
      <c r="M1451" s="3" t="str">
        <f>HYPERLINK("http://ictvonline.org/taxonomyHistory.asp?taxnode_id=20151868","ICTVonline=20151868")</f>
        <v>ICTVonline=20151868</v>
      </c>
    </row>
    <row r="1452" spans="1:13" x14ac:dyDescent="0.15">
      <c r="A1452" s="1" t="s">
        <v>934</v>
      </c>
      <c r="B1452" s="1" t="s">
        <v>317</v>
      </c>
      <c r="D1452" s="1" t="s">
        <v>2088</v>
      </c>
      <c r="E1452" s="1" t="s">
        <v>2089</v>
      </c>
      <c r="F1452" s="3">
        <v>1</v>
      </c>
      <c r="I1452" s="24" t="s">
        <v>5057</v>
      </c>
      <c r="J1452" s="24" t="s">
        <v>2920</v>
      </c>
      <c r="K1452" s="3">
        <v>30</v>
      </c>
      <c r="L1452" s="3" t="s">
        <v>5058</v>
      </c>
      <c r="M1452" s="3" t="str">
        <f>HYPERLINK("http://ictvonline.org/taxonomyHistory.asp?taxnode_id=20152330","ICTVonline=20152330")</f>
        <v>ICTVonline=20152330</v>
      </c>
    </row>
    <row r="1453" spans="1:13" x14ac:dyDescent="0.15">
      <c r="A1453" s="1" t="s">
        <v>934</v>
      </c>
      <c r="B1453" s="1" t="s">
        <v>317</v>
      </c>
      <c r="D1453" s="1" t="s">
        <v>1811</v>
      </c>
      <c r="E1453" s="1" t="s">
        <v>40</v>
      </c>
      <c r="F1453" s="3">
        <v>1</v>
      </c>
      <c r="I1453" s="24" t="s">
        <v>5057</v>
      </c>
      <c r="J1453" s="24" t="s">
        <v>2924</v>
      </c>
      <c r="K1453" s="3">
        <v>26</v>
      </c>
      <c r="L1453" s="3" t="s">
        <v>6925</v>
      </c>
      <c r="M1453" s="3" t="str">
        <f>HYPERLINK("http://ictvonline.org/taxonomyHistory.asp?taxnode_id=20151870","ICTVonline=20151870")</f>
        <v>ICTVonline=20151870</v>
      </c>
    </row>
    <row r="1454" spans="1:13" x14ac:dyDescent="0.15">
      <c r="A1454" s="1" t="s">
        <v>934</v>
      </c>
      <c r="B1454" s="1" t="s">
        <v>317</v>
      </c>
      <c r="D1454" s="1" t="s">
        <v>1811</v>
      </c>
      <c r="E1454" s="1" t="s">
        <v>41</v>
      </c>
      <c r="F1454" s="3">
        <v>0</v>
      </c>
      <c r="I1454" s="24" t="s">
        <v>5057</v>
      </c>
      <c r="J1454" s="24" t="s">
        <v>2924</v>
      </c>
      <c r="K1454" s="3">
        <v>26</v>
      </c>
      <c r="L1454" s="3" t="s">
        <v>6925</v>
      </c>
      <c r="M1454" s="3" t="str">
        <f>HYPERLINK("http://ictvonline.org/taxonomyHistory.asp?taxnode_id=20151871","ICTVonline=20151871")</f>
        <v>ICTVonline=20151871</v>
      </c>
    </row>
    <row r="1455" spans="1:13" x14ac:dyDescent="0.15">
      <c r="A1455" s="1" t="s">
        <v>934</v>
      </c>
      <c r="B1455" s="1" t="s">
        <v>317</v>
      </c>
      <c r="D1455" s="1" t="s">
        <v>42</v>
      </c>
      <c r="E1455" s="1" t="s">
        <v>5059</v>
      </c>
      <c r="F1455" s="3">
        <v>1</v>
      </c>
      <c r="I1455" s="24" t="s">
        <v>5057</v>
      </c>
      <c r="J1455" s="24" t="s">
        <v>2924</v>
      </c>
      <c r="K1455" s="3">
        <v>30</v>
      </c>
      <c r="L1455" s="3" t="s">
        <v>5060</v>
      </c>
      <c r="M1455" s="3" t="str">
        <f>HYPERLINK("http://ictvonline.org/taxonomyHistory.asp?taxnode_id=20151873","ICTVonline=20151873")</f>
        <v>ICTVonline=20151873</v>
      </c>
    </row>
    <row r="1456" spans="1:13" x14ac:dyDescent="0.15">
      <c r="A1456" s="1" t="s">
        <v>934</v>
      </c>
      <c r="B1456" s="1" t="s">
        <v>317</v>
      </c>
      <c r="D1456" s="1" t="s">
        <v>42</v>
      </c>
      <c r="E1456" s="1" t="s">
        <v>5061</v>
      </c>
      <c r="F1456" s="3">
        <v>0</v>
      </c>
      <c r="G1456" s="24" t="s">
        <v>7502</v>
      </c>
      <c r="H1456" s="24" t="s">
        <v>6707</v>
      </c>
      <c r="I1456" s="24" t="s">
        <v>5057</v>
      </c>
      <c r="J1456" s="24" t="s">
        <v>2919</v>
      </c>
      <c r="K1456" s="3">
        <v>30</v>
      </c>
      <c r="L1456" s="3" t="s">
        <v>5060</v>
      </c>
      <c r="M1456" s="3" t="str">
        <f>HYPERLINK("http://ictvonline.org/taxonomyHistory.asp?taxnode_id=20151874","ICTVonline=20151874")</f>
        <v>ICTVonline=20151874</v>
      </c>
    </row>
    <row r="1457" spans="1:13" x14ac:dyDescent="0.15">
      <c r="A1457" s="1" t="s">
        <v>934</v>
      </c>
      <c r="B1457" s="1" t="s">
        <v>317</v>
      </c>
      <c r="D1457" s="1" t="s">
        <v>43</v>
      </c>
      <c r="E1457" s="1" t="s">
        <v>44</v>
      </c>
      <c r="F1457" s="3">
        <v>1</v>
      </c>
      <c r="I1457" s="24" t="s">
        <v>5057</v>
      </c>
      <c r="J1457" s="24" t="s">
        <v>2921</v>
      </c>
      <c r="K1457" s="3">
        <v>26</v>
      </c>
      <c r="L1457" s="3" t="s">
        <v>6926</v>
      </c>
      <c r="M1457" s="3" t="str">
        <f>HYPERLINK("http://ictvonline.org/taxonomyHistory.asp?taxnode_id=20151876","ICTVonline=20151876")</f>
        <v>ICTVonline=20151876</v>
      </c>
    </row>
    <row r="1458" spans="1:13" x14ac:dyDescent="0.15">
      <c r="A1458" s="1" t="s">
        <v>934</v>
      </c>
      <c r="B1458" s="1" t="s">
        <v>317</v>
      </c>
      <c r="D1458" s="1" t="s">
        <v>1810</v>
      </c>
      <c r="E1458" s="1" t="s">
        <v>1674</v>
      </c>
      <c r="F1458" s="3">
        <v>1</v>
      </c>
      <c r="I1458" s="24" t="s">
        <v>5057</v>
      </c>
      <c r="J1458" s="24" t="s">
        <v>2921</v>
      </c>
      <c r="K1458" s="3">
        <v>25</v>
      </c>
      <c r="L1458" s="3" t="s">
        <v>6921</v>
      </c>
      <c r="M1458" s="3" t="str">
        <f>HYPERLINK("http://ictvonline.org/taxonomyHistory.asp?taxnode_id=20151878","ICTVonline=20151878")</f>
        <v>ICTVonline=20151878</v>
      </c>
    </row>
    <row r="1459" spans="1:13" x14ac:dyDescent="0.15">
      <c r="A1459" s="1" t="s">
        <v>934</v>
      </c>
      <c r="B1459" s="1" t="s">
        <v>317</v>
      </c>
      <c r="D1459" s="1" t="s">
        <v>1808</v>
      </c>
      <c r="E1459" s="1" t="s">
        <v>507</v>
      </c>
      <c r="F1459" s="3">
        <v>1</v>
      </c>
      <c r="I1459" s="24" t="s">
        <v>5057</v>
      </c>
      <c r="J1459" s="24" t="s">
        <v>2921</v>
      </c>
      <c r="K1459" s="3">
        <v>25</v>
      </c>
      <c r="L1459" s="3" t="s">
        <v>6921</v>
      </c>
      <c r="M1459" s="3" t="str">
        <f>HYPERLINK("http://ictvonline.org/taxonomyHistory.asp?taxnode_id=20151880","ICTVonline=20151880")</f>
        <v>ICTVonline=20151880</v>
      </c>
    </row>
    <row r="1460" spans="1:13" x14ac:dyDescent="0.15">
      <c r="A1460" s="1" t="s">
        <v>934</v>
      </c>
      <c r="B1460" s="1" t="s">
        <v>1102</v>
      </c>
      <c r="D1460" s="1" t="s">
        <v>2819</v>
      </c>
      <c r="E1460" s="1" t="s">
        <v>2820</v>
      </c>
      <c r="F1460" s="3">
        <v>0</v>
      </c>
      <c r="I1460" s="24" t="s">
        <v>5062</v>
      </c>
      <c r="J1460" s="24" t="s">
        <v>2923</v>
      </c>
      <c r="K1460" s="3">
        <v>29</v>
      </c>
      <c r="L1460" s="3" t="s">
        <v>6927</v>
      </c>
      <c r="M1460" s="3" t="str">
        <f>HYPERLINK("http://ictvonline.org/taxonomyHistory.asp?taxnode_id=20151884","ICTVonline=20151884")</f>
        <v>ICTVonline=20151884</v>
      </c>
    </row>
    <row r="1461" spans="1:13" x14ac:dyDescent="0.15">
      <c r="A1461" s="1" t="s">
        <v>934</v>
      </c>
      <c r="B1461" s="1" t="s">
        <v>1102</v>
      </c>
      <c r="D1461" s="1" t="s">
        <v>2819</v>
      </c>
      <c r="E1461" s="1" t="s">
        <v>6708</v>
      </c>
      <c r="F1461" s="3">
        <v>0</v>
      </c>
      <c r="I1461" s="24" t="s">
        <v>5062</v>
      </c>
      <c r="J1461" s="24" t="s">
        <v>2923</v>
      </c>
      <c r="K1461" s="3">
        <v>29</v>
      </c>
      <c r="L1461" s="3" t="s">
        <v>6927</v>
      </c>
      <c r="M1461" s="3" t="str">
        <f>HYPERLINK("http://ictvonline.org/taxonomyHistory.asp?taxnode_id=20151885","ICTVonline=20151885")</f>
        <v>ICTVonline=20151885</v>
      </c>
    </row>
    <row r="1462" spans="1:13" x14ac:dyDescent="0.15">
      <c r="A1462" s="1" t="s">
        <v>934</v>
      </c>
      <c r="B1462" s="1" t="s">
        <v>1102</v>
      </c>
      <c r="D1462" s="1" t="s">
        <v>2819</v>
      </c>
      <c r="E1462" s="1" t="s">
        <v>2821</v>
      </c>
      <c r="F1462" s="3">
        <v>0</v>
      </c>
      <c r="I1462" s="24" t="s">
        <v>5062</v>
      </c>
      <c r="J1462" s="24" t="s">
        <v>2923</v>
      </c>
      <c r="K1462" s="3">
        <v>29</v>
      </c>
      <c r="L1462" s="3" t="s">
        <v>6927</v>
      </c>
      <c r="M1462" s="3" t="str">
        <f>HYPERLINK("http://ictvonline.org/taxonomyHistory.asp?taxnode_id=20151886","ICTVonline=20151886")</f>
        <v>ICTVonline=20151886</v>
      </c>
    </row>
    <row r="1463" spans="1:13" x14ac:dyDescent="0.15">
      <c r="A1463" s="1" t="s">
        <v>934</v>
      </c>
      <c r="B1463" s="1" t="s">
        <v>1102</v>
      </c>
      <c r="D1463" s="1" t="s">
        <v>2819</v>
      </c>
      <c r="E1463" s="1" t="s">
        <v>2822</v>
      </c>
      <c r="F1463" s="3">
        <v>0</v>
      </c>
      <c r="I1463" s="24" t="s">
        <v>5062</v>
      </c>
      <c r="J1463" s="24" t="s">
        <v>2923</v>
      </c>
      <c r="K1463" s="3">
        <v>29</v>
      </c>
      <c r="L1463" s="3" t="s">
        <v>6927</v>
      </c>
      <c r="M1463" s="3" t="str">
        <f>HYPERLINK("http://ictvonline.org/taxonomyHistory.asp?taxnode_id=20151887","ICTVonline=20151887")</f>
        <v>ICTVonline=20151887</v>
      </c>
    </row>
    <row r="1464" spans="1:13" x14ac:dyDescent="0.15">
      <c r="A1464" s="1" t="s">
        <v>934</v>
      </c>
      <c r="B1464" s="1" t="s">
        <v>1102</v>
      </c>
      <c r="D1464" s="1" t="s">
        <v>2819</v>
      </c>
      <c r="E1464" s="1" t="s">
        <v>2823</v>
      </c>
      <c r="F1464" s="3">
        <v>0</v>
      </c>
      <c r="I1464" s="24" t="s">
        <v>5062</v>
      </c>
      <c r="J1464" s="24" t="s">
        <v>2923</v>
      </c>
      <c r="K1464" s="3">
        <v>29</v>
      </c>
      <c r="L1464" s="3" t="s">
        <v>6927</v>
      </c>
      <c r="M1464" s="3" t="str">
        <f>HYPERLINK("http://ictvonline.org/taxonomyHistory.asp?taxnode_id=20151888","ICTVonline=20151888")</f>
        <v>ICTVonline=20151888</v>
      </c>
    </row>
    <row r="1465" spans="1:13" x14ac:dyDescent="0.15">
      <c r="A1465" s="1" t="s">
        <v>934</v>
      </c>
      <c r="B1465" s="1" t="s">
        <v>1102</v>
      </c>
      <c r="D1465" s="1" t="s">
        <v>2819</v>
      </c>
      <c r="E1465" s="1" t="s">
        <v>2824</v>
      </c>
      <c r="F1465" s="3">
        <v>0</v>
      </c>
      <c r="I1465" s="24" t="s">
        <v>5062</v>
      </c>
      <c r="J1465" s="24" t="s">
        <v>2923</v>
      </c>
      <c r="K1465" s="3">
        <v>29</v>
      </c>
      <c r="L1465" s="3" t="s">
        <v>6927</v>
      </c>
      <c r="M1465" s="3" t="str">
        <f>HYPERLINK("http://ictvonline.org/taxonomyHistory.asp?taxnode_id=20151889","ICTVonline=20151889")</f>
        <v>ICTVonline=20151889</v>
      </c>
    </row>
    <row r="1466" spans="1:13" x14ac:dyDescent="0.15">
      <c r="A1466" s="1" t="s">
        <v>934</v>
      </c>
      <c r="B1466" s="1" t="s">
        <v>1102</v>
      </c>
      <c r="D1466" s="1" t="s">
        <v>2819</v>
      </c>
      <c r="E1466" s="1" t="s">
        <v>5063</v>
      </c>
      <c r="F1466" s="3">
        <v>0</v>
      </c>
      <c r="G1466" s="24" t="s">
        <v>7503</v>
      </c>
      <c r="H1466" s="24" t="s">
        <v>5064</v>
      </c>
      <c r="I1466" s="24" t="s">
        <v>5062</v>
      </c>
      <c r="J1466" s="24" t="s">
        <v>2919</v>
      </c>
      <c r="K1466" s="3">
        <v>30</v>
      </c>
      <c r="L1466" s="3" t="s">
        <v>6928</v>
      </c>
      <c r="M1466" s="3" t="str">
        <f>HYPERLINK("http://ictvonline.org/taxonomyHistory.asp?taxnode_id=20151911","ICTVonline=20151911")</f>
        <v>ICTVonline=20151911</v>
      </c>
    </row>
    <row r="1467" spans="1:13" x14ac:dyDescent="0.15">
      <c r="A1467" s="1" t="s">
        <v>934</v>
      </c>
      <c r="B1467" s="1" t="s">
        <v>1102</v>
      </c>
      <c r="D1467" s="1" t="s">
        <v>2819</v>
      </c>
      <c r="E1467" s="1" t="s">
        <v>2825</v>
      </c>
      <c r="F1467" s="3">
        <v>0</v>
      </c>
      <c r="I1467" s="24" t="s">
        <v>5062</v>
      </c>
      <c r="J1467" s="24" t="s">
        <v>2923</v>
      </c>
      <c r="K1467" s="3">
        <v>29</v>
      </c>
      <c r="L1467" s="3" t="s">
        <v>6927</v>
      </c>
      <c r="M1467" s="3" t="str">
        <f>HYPERLINK("http://ictvonline.org/taxonomyHistory.asp?taxnode_id=20151890","ICTVonline=20151890")</f>
        <v>ICTVonline=20151890</v>
      </c>
    </row>
    <row r="1468" spans="1:13" x14ac:dyDescent="0.15">
      <c r="A1468" s="1" t="s">
        <v>934</v>
      </c>
      <c r="B1468" s="1" t="s">
        <v>1102</v>
      </c>
      <c r="D1468" s="1" t="s">
        <v>2819</v>
      </c>
      <c r="E1468" s="1" t="s">
        <v>2826</v>
      </c>
      <c r="F1468" s="3">
        <v>0</v>
      </c>
      <c r="I1468" s="24" t="s">
        <v>5062</v>
      </c>
      <c r="J1468" s="24" t="s">
        <v>2923</v>
      </c>
      <c r="K1468" s="3">
        <v>29</v>
      </c>
      <c r="L1468" s="3" t="s">
        <v>6927</v>
      </c>
      <c r="M1468" s="3" t="str">
        <f>HYPERLINK("http://ictvonline.org/taxonomyHistory.asp?taxnode_id=20151891","ICTVonline=20151891")</f>
        <v>ICTVonline=20151891</v>
      </c>
    </row>
    <row r="1469" spans="1:13" x14ac:dyDescent="0.15">
      <c r="A1469" s="1" t="s">
        <v>934</v>
      </c>
      <c r="B1469" s="1" t="s">
        <v>1102</v>
      </c>
      <c r="D1469" s="1" t="s">
        <v>2819</v>
      </c>
      <c r="E1469" s="1" t="s">
        <v>6709</v>
      </c>
      <c r="F1469" s="3">
        <v>0</v>
      </c>
      <c r="I1469" s="24" t="s">
        <v>5062</v>
      </c>
      <c r="J1469" s="24" t="s">
        <v>2923</v>
      </c>
      <c r="K1469" s="3">
        <v>29</v>
      </c>
      <c r="L1469" s="3" t="s">
        <v>6927</v>
      </c>
      <c r="M1469" s="3" t="str">
        <f>HYPERLINK("http://ictvonline.org/taxonomyHistory.asp?taxnode_id=20151892","ICTVonline=20151892")</f>
        <v>ICTVonline=20151892</v>
      </c>
    </row>
    <row r="1470" spans="1:13" x14ac:dyDescent="0.15">
      <c r="A1470" s="1" t="s">
        <v>934</v>
      </c>
      <c r="B1470" s="1" t="s">
        <v>1102</v>
      </c>
      <c r="D1470" s="1" t="s">
        <v>2819</v>
      </c>
      <c r="E1470" s="1" t="s">
        <v>2827</v>
      </c>
      <c r="F1470" s="3">
        <v>0</v>
      </c>
      <c r="I1470" s="24" t="s">
        <v>5062</v>
      </c>
      <c r="J1470" s="24" t="s">
        <v>2923</v>
      </c>
      <c r="K1470" s="3">
        <v>29</v>
      </c>
      <c r="L1470" s="3" t="s">
        <v>6927</v>
      </c>
      <c r="M1470" s="3" t="str">
        <f>HYPERLINK("http://ictvonline.org/taxonomyHistory.asp?taxnode_id=20151893","ICTVonline=20151893")</f>
        <v>ICTVonline=20151893</v>
      </c>
    </row>
    <row r="1471" spans="1:13" x14ac:dyDescent="0.15">
      <c r="A1471" s="1" t="s">
        <v>934</v>
      </c>
      <c r="B1471" s="1" t="s">
        <v>1102</v>
      </c>
      <c r="D1471" s="1" t="s">
        <v>2819</v>
      </c>
      <c r="E1471" s="1" t="s">
        <v>2828</v>
      </c>
      <c r="F1471" s="3">
        <v>0</v>
      </c>
      <c r="I1471" s="24" t="s">
        <v>5062</v>
      </c>
      <c r="J1471" s="24" t="s">
        <v>2923</v>
      </c>
      <c r="K1471" s="3">
        <v>29</v>
      </c>
      <c r="L1471" s="3" t="s">
        <v>6927</v>
      </c>
      <c r="M1471" s="3" t="str">
        <f>HYPERLINK("http://ictvonline.org/taxonomyHistory.asp?taxnode_id=20151894","ICTVonline=20151894")</f>
        <v>ICTVonline=20151894</v>
      </c>
    </row>
    <row r="1472" spans="1:13" x14ac:dyDescent="0.15">
      <c r="A1472" s="1" t="s">
        <v>934</v>
      </c>
      <c r="B1472" s="1" t="s">
        <v>1102</v>
      </c>
      <c r="D1472" s="1" t="s">
        <v>2819</v>
      </c>
      <c r="E1472" s="1" t="s">
        <v>2829</v>
      </c>
      <c r="F1472" s="3">
        <v>0</v>
      </c>
      <c r="I1472" s="24" t="s">
        <v>5062</v>
      </c>
      <c r="J1472" s="24" t="s">
        <v>2923</v>
      </c>
      <c r="K1472" s="3">
        <v>29</v>
      </c>
      <c r="L1472" s="3" t="s">
        <v>6927</v>
      </c>
      <c r="M1472" s="3" t="str">
        <f>HYPERLINK("http://ictvonline.org/taxonomyHistory.asp?taxnode_id=20151895","ICTVonline=20151895")</f>
        <v>ICTVonline=20151895</v>
      </c>
    </row>
    <row r="1473" spans="1:13" x14ac:dyDescent="0.15">
      <c r="A1473" s="1" t="s">
        <v>934</v>
      </c>
      <c r="B1473" s="1" t="s">
        <v>1102</v>
      </c>
      <c r="D1473" s="1" t="s">
        <v>2819</v>
      </c>
      <c r="E1473" s="1" t="s">
        <v>2830</v>
      </c>
      <c r="F1473" s="3">
        <v>0</v>
      </c>
      <c r="I1473" s="24" t="s">
        <v>5062</v>
      </c>
      <c r="J1473" s="24" t="s">
        <v>2923</v>
      </c>
      <c r="K1473" s="3">
        <v>29</v>
      </c>
      <c r="L1473" s="3" t="s">
        <v>6927</v>
      </c>
      <c r="M1473" s="3" t="str">
        <f>HYPERLINK("http://ictvonline.org/taxonomyHistory.asp?taxnode_id=20151896","ICTVonline=20151896")</f>
        <v>ICTVonline=20151896</v>
      </c>
    </row>
    <row r="1474" spans="1:13" x14ac:dyDescent="0.15">
      <c r="A1474" s="1" t="s">
        <v>934</v>
      </c>
      <c r="B1474" s="1" t="s">
        <v>1102</v>
      </c>
      <c r="D1474" s="1" t="s">
        <v>2819</v>
      </c>
      <c r="E1474" s="1" t="s">
        <v>2831</v>
      </c>
      <c r="F1474" s="3">
        <v>0</v>
      </c>
      <c r="G1474" s="24" t="s">
        <v>3275</v>
      </c>
      <c r="H1474" s="24" t="s">
        <v>3276</v>
      </c>
      <c r="I1474" s="24" t="s">
        <v>5062</v>
      </c>
      <c r="J1474" s="24" t="s">
        <v>2919</v>
      </c>
      <c r="K1474" s="3">
        <v>29</v>
      </c>
      <c r="L1474" s="3" t="s">
        <v>6929</v>
      </c>
      <c r="M1474" s="3" t="str">
        <f>HYPERLINK("http://ictvonline.org/taxonomyHistory.asp?taxnode_id=20151897","ICTVonline=20151897")</f>
        <v>ICTVonline=20151897</v>
      </c>
    </row>
    <row r="1475" spans="1:13" x14ac:dyDescent="0.15">
      <c r="A1475" s="1" t="s">
        <v>934</v>
      </c>
      <c r="B1475" s="1" t="s">
        <v>1102</v>
      </c>
      <c r="D1475" s="1" t="s">
        <v>2819</v>
      </c>
      <c r="E1475" s="1" t="s">
        <v>2832</v>
      </c>
      <c r="F1475" s="3">
        <v>1</v>
      </c>
      <c r="I1475" s="24" t="s">
        <v>5062</v>
      </c>
      <c r="J1475" s="24" t="s">
        <v>2923</v>
      </c>
      <c r="K1475" s="3">
        <v>29</v>
      </c>
      <c r="L1475" s="3" t="s">
        <v>6927</v>
      </c>
      <c r="M1475" s="3" t="str">
        <f>HYPERLINK("http://ictvonline.org/taxonomyHistory.asp?taxnode_id=20151898","ICTVonline=20151898")</f>
        <v>ICTVonline=20151898</v>
      </c>
    </row>
    <row r="1476" spans="1:13" x14ac:dyDescent="0.15">
      <c r="A1476" s="1" t="s">
        <v>934</v>
      </c>
      <c r="B1476" s="1" t="s">
        <v>1102</v>
      </c>
      <c r="D1476" s="1" t="s">
        <v>2819</v>
      </c>
      <c r="E1476" s="1" t="s">
        <v>2833</v>
      </c>
      <c r="F1476" s="3">
        <v>0</v>
      </c>
      <c r="I1476" s="24" t="s">
        <v>5062</v>
      </c>
      <c r="J1476" s="24" t="s">
        <v>2923</v>
      </c>
      <c r="K1476" s="3">
        <v>29</v>
      </c>
      <c r="L1476" s="3" t="s">
        <v>6927</v>
      </c>
      <c r="M1476" s="3" t="str">
        <f>HYPERLINK("http://ictvonline.org/taxonomyHistory.asp?taxnode_id=20151899","ICTVonline=20151899")</f>
        <v>ICTVonline=20151899</v>
      </c>
    </row>
    <row r="1477" spans="1:13" x14ac:dyDescent="0.15">
      <c r="A1477" s="1" t="s">
        <v>934</v>
      </c>
      <c r="B1477" s="1" t="s">
        <v>1102</v>
      </c>
      <c r="D1477" s="1" t="s">
        <v>2819</v>
      </c>
      <c r="E1477" s="1" t="s">
        <v>5065</v>
      </c>
      <c r="F1477" s="3">
        <v>0</v>
      </c>
      <c r="G1477" s="24" t="s">
        <v>7504</v>
      </c>
      <c r="H1477" s="24" t="s">
        <v>5066</v>
      </c>
      <c r="I1477" s="24" t="s">
        <v>5062</v>
      </c>
      <c r="J1477" s="24" t="s">
        <v>2919</v>
      </c>
      <c r="K1477" s="3">
        <v>30</v>
      </c>
      <c r="L1477" s="3" t="s">
        <v>6928</v>
      </c>
      <c r="M1477" s="3" t="str">
        <f>HYPERLINK("http://ictvonline.org/taxonomyHistory.asp?taxnode_id=20151912","ICTVonline=20151912")</f>
        <v>ICTVonline=20151912</v>
      </c>
    </row>
    <row r="1478" spans="1:13" x14ac:dyDescent="0.15">
      <c r="A1478" s="1" t="s">
        <v>934</v>
      </c>
      <c r="B1478" s="1" t="s">
        <v>1102</v>
      </c>
      <c r="D1478" s="1" t="s">
        <v>2819</v>
      </c>
      <c r="E1478" s="1" t="s">
        <v>2834</v>
      </c>
      <c r="F1478" s="3">
        <v>0</v>
      </c>
      <c r="G1478" s="24" t="s">
        <v>3277</v>
      </c>
      <c r="H1478" s="24" t="s">
        <v>3278</v>
      </c>
      <c r="I1478" s="24" t="s">
        <v>5062</v>
      </c>
      <c r="J1478" s="24" t="s">
        <v>2919</v>
      </c>
      <c r="K1478" s="3">
        <v>29</v>
      </c>
      <c r="L1478" s="3" t="s">
        <v>6929</v>
      </c>
      <c r="M1478" s="3" t="str">
        <f>HYPERLINK("http://ictvonline.org/taxonomyHistory.asp?taxnode_id=20151900","ICTVonline=20151900")</f>
        <v>ICTVonline=20151900</v>
      </c>
    </row>
    <row r="1479" spans="1:13" x14ac:dyDescent="0.15">
      <c r="A1479" s="1" t="s">
        <v>934</v>
      </c>
      <c r="B1479" s="1" t="s">
        <v>1102</v>
      </c>
      <c r="D1479" s="1" t="s">
        <v>2819</v>
      </c>
      <c r="E1479" s="1" t="s">
        <v>2835</v>
      </c>
      <c r="F1479" s="3">
        <v>0</v>
      </c>
      <c r="I1479" s="24" t="s">
        <v>5062</v>
      </c>
      <c r="J1479" s="24" t="s">
        <v>2923</v>
      </c>
      <c r="K1479" s="3">
        <v>29</v>
      </c>
      <c r="L1479" s="3" t="s">
        <v>6927</v>
      </c>
      <c r="M1479" s="3" t="str">
        <f>HYPERLINK("http://ictvonline.org/taxonomyHistory.asp?taxnode_id=20151901","ICTVonline=20151901")</f>
        <v>ICTVonline=20151901</v>
      </c>
    </row>
    <row r="1480" spans="1:13" x14ac:dyDescent="0.15">
      <c r="A1480" s="1" t="s">
        <v>934</v>
      </c>
      <c r="B1480" s="1" t="s">
        <v>1102</v>
      </c>
      <c r="D1480" s="1" t="s">
        <v>2819</v>
      </c>
      <c r="E1480" s="1" t="s">
        <v>2836</v>
      </c>
      <c r="F1480" s="3">
        <v>0</v>
      </c>
      <c r="I1480" s="24" t="s">
        <v>5062</v>
      </c>
      <c r="J1480" s="24" t="s">
        <v>2923</v>
      </c>
      <c r="K1480" s="3">
        <v>29</v>
      </c>
      <c r="L1480" s="3" t="s">
        <v>6927</v>
      </c>
      <c r="M1480" s="3" t="str">
        <f>HYPERLINK("http://ictvonline.org/taxonomyHistory.asp?taxnode_id=20151902","ICTVonline=20151902")</f>
        <v>ICTVonline=20151902</v>
      </c>
    </row>
    <row r="1481" spans="1:13" x14ac:dyDescent="0.15">
      <c r="A1481" s="1" t="s">
        <v>934</v>
      </c>
      <c r="B1481" s="1" t="s">
        <v>1102</v>
      </c>
      <c r="D1481" s="1" t="s">
        <v>2819</v>
      </c>
      <c r="E1481" s="1" t="s">
        <v>5067</v>
      </c>
      <c r="F1481" s="3">
        <v>0</v>
      </c>
      <c r="G1481" s="24" t="s">
        <v>7505</v>
      </c>
      <c r="H1481" s="24" t="s">
        <v>5068</v>
      </c>
      <c r="I1481" s="24" t="s">
        <v>5062</v>
      </c>
      <c r="J1481" s="24" t="s">
        <v>2919</v>
      </c>
      <c r="K1481" s="3">
        <v>30</v>
      </c>
      <c r="L1481" s="3" t="s">
        <v>6928</v>
      </c>
      <c r="M1481" s="3" t="str">
        <f>HYPERLINK("http://ictvonline.org/taxonomyHistory.asp?taxnode_id=20151913","ICTVonline=20151913")</f>
        <v>ICTVonline=20151913</v>
      </c>
    </row>
    <row r="1482" spans="1:13" x14ac:dyDescent="0.15">
      <c r="A1482" s="1" t="s">
        <v>934</v>
      </c>
      <c r="B1482" s="1" t="s">
        <v>1102</v>
      </c>
      <c r="D1482" s="1" t="s">
        <v>2819</v>
      </c>
      <c r="E1482" s="1" t="s">
        <v>2837</v>
      </c>
      <c r="F1482" s="3">
        <v>0</v>
      </c>
      <c r="I1482" s="24" t="s">
        <v>5062</v>
      </c>
      <c r="J1482" s="24" t="s">
        <v>2923</v>
      </c>
      <c r="K1482" s="3">
        <v>29</v>
      </c>
      <c r="L1482" s="3" t="s">
        <v>6927</v>
      </c>
      <c r="M1482" s="3" t="str">
        <f>HYPERLINK("http://ictvonline.org/taxonomyHistory.asp?taxnode_id=20151903","ICTVonline=20151903")</f>
        <v>ICTVonline=20151903</v>
      </c>
    </row>
    <row r="1483" spans="1:13" x14ac:dyDescent="0.15">
      <c r="A1483" s="1" t="s">
        <v>934</v>
      </c>
      <c r="B1483" s="1" t="s">
        <v>1102</v>
      </c>
      <c r="D1483" s="1" t="s">
        <v>2819</v>
      </c>
      <c r="E1483" s="1" t="s">
        <v>6710</v>
      </c>
      <c r="F1483" s="3">
        <v>0</v>
      </c>
      <c r="I1483" s="24" t="s">
        <v>5062</v>
      </c>
      <c r="J1483" s="24" t="s">
        <v>2923</v>
      </c>
      <c r="K1483" s="3">
        <v>29</v>
      </c>
      <c r="L1483" s="3" t="s">
        <v>6927</v>
      </c>
      <c r="M1483" s="3" t="str">
        <f>HYPERLINK("http://ictvonline.org/taxonomyHistory.asp?taxnode_id=20151904","ICTVonline=20151904")</f>
        <v>ICTVonline=20151904</v>
      </c>
    </row>
    <row r="1484" spans="1:13" x14ac:dyDescent="0.15">
      <c r="A1484" s="1" t="s">
        <v>934</v>
      </c>
      <c r="B1484" s="1" t="s">
        <v>1102</v>
      </c>
      <c r="D1484" s="1" t="s">
        <v>2819</v>
      </c>
      <c r="E1484" s="1" t="s">
        <v>6711</v>
      </c>
      <c r="F1484" s="3">
        <v>0</v>
      </c>
      <c r="I1484" s="24" t="s">
        <v>5062</v>
      </c>
      <c r="J1484" s="24" t="s">
        <v>2923</v>
      </c>
      <c r="K1484" s="3">
        <v>29</v>
      </c>
      <c r="L1484" s="3" t="s">
        <v>6927</v>
      </c>
      <c r="M1484" s="3" t="str">
        <f>HYPERLINK("http://ictvonline.org/taxonomyHistory.asp?taxnode_id=20151905","ICTVonline=20151905")</f>
        <v>ICTVonline=20151905</v>
      </c>
    </row>
    <row r="1485" spans="1:13" x14ac:dyDescent="0.15">
      <c r="A1485" s="1" t="s">
        <v>934</v>
      </c>
      <c r="B1485" s="1" t="s">
        <v>1102</v>
      </c>
      <c r="D1485" s="1" t="s">
        <v>2819</v>
      </c>
      <c r="E1485" s="1" t="s">
        <v>2838</v>
      </c>
      <c r="F1485" s="3">
        <v>0</v>
      </c>
      <c r="I1485" s="24" t="s">
        <v>5062</v>
      </c>
      <c r="J1485" s="24" t="s">
        <v>2923</v>
      </c>
      <c r="K1485" s="3">
        <v>29</v>
      </c>
      <c r="L1485" s="3" t="s">
        <v>6927</v>
      </c>
      <c r="M1485" s="3" t="str">
        <f>HYPERLINK("http://ictvonline.org/taxonomyHistory.asp?taxnode_id=20151906","ICTVonline=20151906")</f>
        <v>ICTVonline=20151906</v>
      </c>
    </row>
    <row r="1486" spans="1:13" x14ac:dyDescent="0.15">
      <c r="A1486" s="1" t="s">
        <v>934</v>
      </c>
      <c r="B1486" s="1" t="s">
        <v>1102</v>
      </c>
      <c r="D1486" s="1" t="s">
        <v>2819</v>
      </c>
      <c r="E1486" s="1" t="s">
        <v>6712</v>
      </c>
      <c r="F1486" s="3">
        <v>0</v>
      </c>
      <c r="I1486" s="24" t="s">
        <v>5062</v>
      </c>
      <c r="J1486" s="24" t="s">
        <v>2923</v>
      </c>
      <c r="K1486" s="3">
        <v>29</v>
      </c>
      <c r="L1486" s="3" t="s">
        <v>6927</v>
      </c>
      <c r="M1486" s="3" t="str">
        <f>HYPERLINK("http://ictvonline.org/taxonomyHistory.asp?taxnode_id=20151907","ICTVonline=20151907")</f>
        <v>ICTVonline=20151907</v>
      </c>
    </row>
    <row r="1487" spans="1:13" x14ac:dyDescent="0.15">
      <c r="A1487" s="1" t="s">
        <v>934</v>
      </c>
      <c r="B1487" s="1" t="s">
        <v>1102</v>
      </c>
      <c r="D1487" s="1" t="s">
        <v>2819</v>
      </c>
      <c r="E1487" s="1" t="s">
        <v>2839</v>
      </c>
      <c r="F1487" s="3">
        <v>0</v>
      </c>
      <c r="I1487" s="24" t="s">
        <v>5062</v>
      </c>
      <c r="J1487" s="24" t="s">
        <v>2923</v>
      </c>
      <c r="K1487" s="3">
        <v>29</v>
      </c>
      <c r="L1487" s="3" t="s">
        <v>6927</v>
      </c>
      <c r="M1487" s="3" t="str">
        <f>HYPERLINK("http://ictvonline.org/taxonomyHistory.asp?taxnode_id=20151908","ICTVonline=20151908")</f>
        <v>ICTVonline=20151908</v>
      </c>
    </row>
    <row r="1488" spans="1:13" x14ac:dyDescent="0.15">
      <c r="A1488" s="1" t="s">
        <v>934</v>
      </c>
      <c r="B1488" s="1" t="s">
        <v>1102</v>
      </c>
      <c r="D1488" s="1" t="s">
        <v>2819</v>
      </c>
      <c r="E1488" s="1" t="s">
        <v>2840</v>
      </c>
      <c r="F1488" s="3">
        <v>0</v>
      </c>
      <c r="I1488" s="24" t="s">
        <v>5062</v>
      </c>
      <c r="J1488" s="24" t="s">
        <v>2923</v>
      </c>
      <c r="K1488" s="3">
        <v>29</v>
      </c>
      <c r="L1488" s="3" t="s">
        <v>6927</v>
      </c>
      <c r="M1488" s="3" t="str">
        <f>HYPERLINK("http://ictvonline.org/taxonomyHistory.asp?taxnode_id=20151909","ICTVonline=20151909")</f>
        <v>ICTVonline=20151909</v>
      </c>
    </row>
    <row r="1489" spans="1:13" x14ac:dyDescent="0.15">
      <c r="A1489" s="1" t="s">
        <v>934</v>
      </c>
      <c r="B1489" s="1" t="s">
        <v>1102</v>
      </c>
      <c r="D1489" s="1" t="s">
        <v>2819</v>
      </c>
      <c r="E1489" s="1" t="s">
        <v>5069</v>
      </c>
      <c r="F1489" s="3">
        <v>0</v>
      </c>
      <c r="G1489" s="24" t="s">
        <v>7506</v>
      </c>
      <c r="H1489" s="24" t="s">
        <v>8000</v>
      </c>
      <c r="I1489" s="24" t="s">
        <v>5062</v>
      </c>
      <c r="J1489" s="24" t="s">
        <v>2919</v>
      </c>
      <c r="K1489" s="3">
        <v>30</v>
      </c>
      <c r="L1489" s="3" t="s">
        <v>6928</v>
      </c>
      <c r="M1489" s="3" t="str">
        <f>HYPERLINK("http://ictvonline.org/taxonomyHistory.asp?taxnode_id=20151914","ICTVonline=20151914")</f>
        <v>ICTVonline=20151914</v>
      </c>
    </row>
    <row r="1490" spans="1:13" x14ac:dyDescent="0.15">
      <c r="A1490" s="1" t="s">
        <v>934</v>
      </c>
      <c r="B1490" s="1" t="s">
        <v>1102</v>
      </c>
      <c r="D1490" s="1" t="s">
        <v>2819</v>
      </c>
      <c r="E1490" s="1" t="s">
        <v>2841</v>
      </c>
      <c r="F1490" s="3">
        <v>0</v>
      </c>
      <c r="I1490" s="24" t="s">
        <v>5062</v>
      </c>
      <c r="J1490" s="24" t="s">
        <v>2923</v>
      </c>
      <c r="K1490" s="3">
        <v>29</v>
      </c>
      <c r="L1490" s="3" t="s">
        <v>6927</v>
      </c>
      <c r="M1490" s="3" t="str">
        <f>HYPERLINK("http://ictvonline.org/taxonomyHistory.asp?taxnode_id=20151910","ICTVonline=20151910")</f>
        <v>ICTVonline=20151910</v>
      </c>
    </row>
    <row r="1491" spans="1:13" x14ac:dyDescent="0.15">
      <c r="A1491" s="1" t="s">
        <v>934</v>
      </c>
      <c r="B1491" s="1" t="s">
        <v>1102</v>
      </c>
      <c r="D1491" s="1" t="s">
        <v>2842</v>
      </c>
      <c r="E1491" s="1" t="s">
        <v>2843</v>
      </c>
      <c r="F1491" s="3">
        <v>1</v>
      </c>
      <c r="G1491" s="24" t="s">
        <v>3279</v>
      </c>
      <c r="H1491" s="24" t="s">
        <v>3280</v>
      </c>
      <c r="I1491" s="24" t="s">
        <v>5062</v>
      </c>
      <c r="J1491" s="24" t="s">
        <v>2919</v>
      </c>
      <c r="K1491" s="3">
        <v>29</v>
      </c>
      <c r="L1491" s="3" t="s">
        <v>6930</v>
      </c>
      <c r="M1491" s="3" t="str">
        <f>HYPERLINK("http://ictvonline.org/taxonomyHistory.asp?taxnode_id=20151916","ICTVonline=20151916")</f>
        <v>ICTVonline=20151916</v>
      </c>
    </row>
    <row r="1492" spans="1:13" x14ac:dyDescent="0.15">
      <c r="A1492" s="1" t="s">
        <v>934</v>
      </c>
      <c r="B1492" s="1" t="s">
        <v>1102</v>
      </c>
      <c r="D1492" s="1" t="s">
        <v>2842</v>
      </c>
      <c r="E1492" s="1" t="s">
        <v>2844</v>
      </c>
      <c r="F1492" s="3">
        <v>0</v>
      </c>
      <c r="G1492" s="24" t="s">
        <v>3281</v>
      </c>
      <c r="H1492" s="24" t="s">
        <v>3282</v>
      </c>
      <c r="I1492" s="24" t="s">
        <v>5062</v>
      </c>
      <c r="J1492" s="24" t="s">
        <v>2919</v>
      </c>
      <c r="K1492" s="3">
        <v>29</v>
      </c>
      <c r="L1492" s="3" t="s">
        <v>6930</v>
      </c>
      <c r="M1492" s="3" t="str">
        <f>HYPERLINK("http://ictvonline.org/taxonomyHistory.asp?taxnode_id=20151917","ICTVonline=20151917")</f>
        <v>ICTVonline=20151917</v>
      </c>
    </row>
    <row r="1493" spans="1:13" x14ac:dyDescent="0.15">
      <c r="A1493" s="1" t="s">
        <v>934</v>
      </c>
      <c r="B1493" s="1" t="s">
        <v>1102</v>
      </c>
      <c r="D1493" s="1" t="s">
        <v>2842</v>
      </c>
      <c r="E1493" s="1" t="s">
        <v>2845</v>
      </c>
      <c r="F1493" s="3">
        <v>0</v>
      </c>
      <c r="G1493" s="24" t="s">
        <v>3283</v>
      </c>
      <c r="H1493" s="24" t="s">
        <v>3284</v>
      </c>
      <c r="I1493" s="24" t="s">
        <v>5062</v>
      </c>
      <c r="J1493" s="24" t="s">
        <v>2919</v>
      </c>
      <c r="K1493" s="3">
        <v>29</v>
      </c>
      <c r="L1493" s="3" t="s">
        <v>6930</v>
      </c>
      <c r="M1493" s="3" t="str">
        <f>HYPERLINK("http://ictvonline.org/taxonomyHistory.asp?taxnode_id=20151918","ICTVonline=20151918")</f>
        <v>ICTVonline=20151918</v>
      </c>
    </row>
    <row r="1494" spans="1:13" x14ac:dyDescent="0.15">
      <c r="A1494" s="1" t="s">
        <v>934</v>
      </c>
      <c r="B1494" s="1" t="s">
        <v>1924</v>
      </c>
      <c r="D1494" s="1" t="s">
        <v>1925</v>
      </c>
      <c r="E1494" s="1" t="s">
        <v>681</v>
      </c>
      <c r="F1494" s="3">
        <v>0</v>
      </c>
      <c r="I1494" s="24" t="s">
        <v>2965</v>
      </c>
      <c r="J1494" s="24" t="s">
        <v>2919</v>
      </c>
      <c r="K1494" s="3">
        <v>18</v>
      </c>
      <c r="L1494" s="3" t="s">
        <v>2929</v>
      </c>
      <c r="M1494" s="3" t="str">
        <f>HYPERLINK("http://ictvonline.org/taxonomyHistory.asp?taxnode_id=20151923","ICTVonline=20151923")</f>
        <v>ICTVonline=20151923</v>
      </c>
    </row>
    <row r="1495" spans="1:13" x14ac:dyDescent="0.15">
      <c r="A1495" s="1" t="s">
        <v>934</v>
      </c>
      <c r="B1495" s="1" t="s">
        <v>1924</v>
      </c>
      <c r="D1495" s="1" t="s">
        <v>1925</v>
      </c>
      <c r="E1495" s="1" t="s">
        <v>682</v>
      </c>
      <c r="F1495" s="3">
        <v>1</v>
      </c>
      <c r="I1495" s="24" t="s">
        <v>2965</v>
      </c>
      <c r="J1495" s="24" t="s">
        <v>2924</v>
      </c>
      <c r="K1495" s="3">
        <v>18</v>
      </c>
      <c r="L1495" s="3" t="s">
        <v>2929</v>
      </c>
      <c r="M1495" s="3" t="str">
        <f>HYPERLINK("http://ictvonline.org/taxonomyHistory.asp?taxnode_id=20151924","ICTVonline=20151924")</f>
        <v>ICTVonline=20151924</v>
      </c>
    </row>
    <row r="1496" spans="1:13" x14ac:dyDescent="0.15">
      <c r="A1496" s="1" t="s">
        <v>934</v>
      </c>
      <c r="B1496" s="1" t="s">
        <v>1924</v>
      </c>
      <c r="D1496" s="1" t="s">
        <v>1925</v>
      </c>
      <c r="E1496" s="1" t="s">
        <v>1425</v>
      </c>
      <c r="F1496" s="3">
        <v>0</v>
      </c>
      <c r="I1496" s="24" t="s">
        <v>2965</v>
      </c>
      <c r="J1496" s="24" t="s">
        <v>2924</v>
      </c>
      <c r="K1496" s="3">
        <v>18</v>
      </c>
      <c r="L1496" s="3" t="s">
        <v>2929</v>
      </c>
      <c r="M1496" s="3" t="str">
        <f>HYPERLINK("http://ictvonline.org/taxonomyHistory.asp?taxnode_id=20151925","ICTVonline=20151925")</f>
        <v>ICTVonline=20151925</v>
      </c>
    </row>
    <row r="1497" spans="1:13" x14ac:dyDescent="0.15">
      <c r="A1497" s="1" t="s">
        <v>934</v>
      </c>
      <c r="B1497" s="1" t="s">
        <v>1924</v>
      </c>
      <c r="D1497" s="1" t="s">
        <v>5070</v>
      </c>
      <c r="E1497" s="1" t="s">
        <v>680</v>
      </c>
      <c r="F1497" s="3">
        <v>1</v>
      </c>
      <c r="I1497" s="24" t="s">
        <v>2965</v>
      </c>
      <c r="J1497" s="24" t="s">
        <v>2920</v>
      </c>
      <c r="K1497" s="3">
        <v>30</v>
      </c>
      <c r="L1497" s="3" t="s">
        <v>6931</v>
      </c>
      <c r="M1497" s="3" t="str">
        <f>HYPERLINK("http://ictvonline.org/taxonomyHistory.asp?taxnode_id=20151922","ICTVonline=20151922")</f>
        <v>ICTVonline=20151922</v>
      </c>
    </row>
    <row r="1498" spans="1:13" x14ac:dyDescent="0.15">
      <c r="A1498" s="1" t="s">
        <v>934</v>
      </c>
      <c r="B1498" s="1" t="s">
        <v>685</v>
      </c>
      <c r="D1498" s="1" t="s">
        <v>686</v>
      </c>
      <c r="E1498" s="1" t="s">
        <v>687</v>
      </c>
      <c r="F1498" s="3">
        <v>1</v>
      </c>
      <c r="I1498" s="24" t="s">
        <v>2965</v>
      </c>
      <c r="J1498" s="24" t="s">
        <v>2920</v>
      </c>
      <c r="K1498" s="3">
        <v>17</v>
      </c>
      <c r="L1498" s="3" t="s">
        <v>2928</v>
      </c>
      <c r="M1498" s="3" t="str">
        <f>HYPERLINK("http://ictvonline.org/taxonomyHistory.asp?taxnode_id=20151930","ICTVonline=20151930")</f>
        <v>ICTVonline=20151930</v>
      </c>
    </row>
    <row r="1499" spans="1:13" x14ac:dyDescent="0.15">
      <c r="A1499" s="1" t="s">
        <v>934</v>
      </c>
      <c r="B1499" s="1" t="s">
        <v>688</v>
      </c>
      <c r="D1499" s="1" t="s">
        <v>689</v>
      </c>
      <c r="E1499" s="1" t="s">
        <v>45</v>
      </c>
      <c r="F1499" s="3">
        <v>1</v>
      </c>
      <c r="I1499" s="24" t="s">
        <v>3265</v>
      </c>
      <c r="J1499" s="24" t="s">
        <v>2924</v>
      </c>
      <c r="K1499" s="3">
        <v>26</v>
      </c>
      <c r="L1499" s="3" t="s">
        <v>6932</v>
      </c>
      <c r="M1499" s="3" t="str">
        <f>HYPERLINK("http://ictvonline.org/taxonomyHistory.asp?taxnode_id=20151934","ICTVonline=20151934")</f>
        <v>ICTVonline=20151934</v>
      </c>
    </row>
    <row r="1500" spans="1:13" x14ac:dyDescent="0.15">
      <c r="A1500" s="1" t="s">
        <v>934</v>
      </c>
      <c r="B1500" s="1" t="s">
        <v>688</v>
      </c>
      <c r="D1500" s="1" t="s">
        <v>689</v>
      </c>
      <c r="E1500" s="1" t="s">
        <v>46</v>
      </c>
      <c r="F1500" s="3">
        <v>0</v>
      </c>
      <c r="I1500" s="24" t="s">
        <v>3265</v>
      </c>
      <c r="J1500" s="24" t="s">
        <v>2924</v>
      </c>
      <c r="K1500" s="3">
        <v>26</v>
      </c>
      <c r="L1500" s="3" t="s">
        <v>6932</v>
      </c>
      <c r="M1500" s="3" t="str">
        <f>HYPERLINK("http://ictvonline.org/taxonomyHistory.asp?taxnode_id=20151935","ICTVonline=20151935")</f>
        <v>ICTVonline=20151935</v>
      </c>
    </row>
    <row r="1501" spans="1:13" x14ac:dyDescent="0.15">
      <c r="A1501" s="1" t="s">
        <v>934</v>
      </c>
      <c r="B1501" s="1" t="s">
        <v>688</v>
      </c>
      <c r="D1501" s="1" t="s">
        <v>689</v>
      </c>
      <c r="E1501" s="1" t="s">
        <v>47</v>
      </c>
      <c r="F1501" s="3">
        <v>0</v>
      </c>
      <c r="I1501" s="24" t="s">
        <v>3265</v>
      </c>
      <c r="J1501" s="24" t="s">
        <v>2924</v>
      </c>
      <c r="K1501" s="3">
        <v>26</v>
      </c>
      <c r="L1501" s="3" t="s">
        <v>6932</v>
      </c>
      <c r="M1501" s="3" t="str">
        <f>HYPERLINK("http://ictvonline.org/taxonomyHistory.asp?taxnode_id=20151936","ICTVonline=20151936")</f>
        <v>ICTVonline=20151936</v>
      </c>
    </row>
    <row r="1502" spans="1:13" x14ac:dyDescent="0.15">
      <c r="A1502" s="1" t="s">
        <v>934</v>
      </c>
      <c r="B1502" s="1" t="s">
        <v>688</v>
      </c>
      <c r="D1502" s="1" t="s">
        <v>596</v>
      </c>
      <c r="E1502" s="1" t="s">
        <v>48</v>
      </c>
      <c r="F1502" s="3">
        <v>1</v>
      </c>
      <c r="I1502" s="24" t="s">
        <v>3265</v>
      </c>
      <c r="J1502" s="24" t="s">
        <v>2924</v>
      </c>
      <c r="K1502" s="3">
        <v>26</v>
      </c>
      <c r="L1502" s="3" t="s">
        <v>6933</v>
      </c>
      <c r="M1502" s="3" t="str">
        <f>HYPERLINK("http://ictvonline.org/taxonomyHistory.asp?taxnode_id=20151938","ICTVonline=20151938")</f>
        <v>ICTVonline=20151938</v>
      </c>
    </row>
    <row r="1503" spans="1:13" x14ac:dyDescent="0.15">
      <c r="A1503" s="1" t="s">
        <v>934</v>
      </c>
      <c r="B1503" s="1" t="s">
        <v>688</v>
      </c>
      <c r="D1503" s="1" t="s">
        <v>596</v>
      </c>
      <c r="E1503" s="1" t="s">
        <v>59</v>
      </c>
      <c r="F1503" s="3">
        <v>0</v>
      </c>
      <c r="I1503" s="24" t="s">
        <v>3265</v>
      </c>
      <c r="J1503" s="24" t="s">
        <v>2924</v>
      </c>
      <c r="K1503" s="3">
        <v>26</v>
      </c>
      <c r="L1503" s="3" t="s">
        <v>6933</v>
      </c>
      <c r="M1503" s="3" t="str">
        <f>HYPERLINK("http://ictvonline.org/taxonomyHistory.asp?taxnode_id=20151939","ICTVonline=20151939")</f>
        <v>ICTVonline=20151939</v>
      </c>
    </row>
    <row r="1504" spans="1:13" x14ac:dyDescent="0.15">
      <c r="A1504" s="1" t="s">
        <v>934</v>
      </c>
      <c r="B1504" s="1" t="s">
        <v>688</v>
      </c>
      <c r="D1504" s="1" t="s">
        <v>596</v>
      </c>
      <c r="E1504" s="1" t="s">
        <v>60</v>
      </c>
      <c r="F1504" s="3">
        <v>0</v>
      </c>
      <c r="I1504" s="24" t="s">
        <v>3265</v>
      </c>
      <c r="J1504" s="24" t="s">
        <v>2924</v>
      </c>
      <c r="K1504" s="3">
        <v>26</v>
      </c>
      <c r="L1504" s="3" t="s">
        <v>6933</v>
      </c>
      <c r="M1504" s="3" t="str">
        <f>HYPERLINK("http://ictvonline.org/taxonomyHistory.asp?taxnode_id=20151940","ICTVonline=20151940")</f>
        <v>ICTVonline=20151940</v>
      </c>
    </row>
    <row r="1505" spans="1:13" x14ac:dyDescent="0.15">
      <c r="A1505" s="1" t="s">
        <v>934</v>
      </c>
      <c r="B1505" s="1" t="s">
        <v>688</v>
      </c>
      <c r="D1505" s="1" t="s">
        <v>596</v>
      </c>
      <c r="E1505" s="1" t="s">
        <v>61</v>
      </c>
      <c r="F1505" s="3">
        <v>0</v>
      </c>
      <c r="I1505" s="24" t="s">
        <v>3265</v>
      </c>
      <c r="J1505" s="24" t="s">
        <v>2919</v>
      </c>
      <c r="K1505" s="3">
        <v>26</v>
      </c>
      <c r="L1505" s="3" t="s">
        <v>6933</v>
      </c>
      <c r="M1505" s="3" t="str">
        <f>HYPERLINK("http://ictvonline.org/taxonomyHistory.asp?taxnode_id=20151941","ICTVonline=20151941")</f>
        <v>ICTVonline=20151941</v>
      </c>
    </row>
    <row r="1506" spans="1:13" x14ac:dyDescent="0.15">
      <c r="A1506" s="1" t="s">
        <v>934</v>
      </c>
      <c r="B1506" s="1" t="s">
        <v>688</v>
      </c>
      <c r="D1506" s="1" t="s">
        <v>596</v>
      </c>
      <c r="E1506" s="1" t="s">
        <v>62</v>
      </c>
      <c r="F1506" s="3">
        <v>0</v>
      </c>
      <c r="I1506" s="24" t="s">
        <v>3265</v>
      </c>
      <c r="J1506" s="24" t="s">
        <v>2919</v>
      </c>
      <c r="K1506" s="3">
        <v>26</v>
      </c>
      <c r="L1506" s="3" t="s">
        <v>6933</v>
      </c>
      <c r="M1506" s="3" t="str">
        <f>HYPERLINK("http://ictvonline.org/taxonomyHistory.asp?taxnode_id=20151942","ICTVonline=20151942")</f>
        <v>ICTVonline=20151942</v>
      </c>
    </row>
    <row r="1507" spans="1:13" x14ac:dyDescent="0.15">
      <c r="A1507" s="1" t="s">
        <v>934</v>
      </c>
      <c r="B1507" s="1" t="s">
        <v>688</v>
      </c>
      <c r="D1507" s="1" t="s">
        <v>596</v>
      </c>
      <c r="E1507" s="1" t="s">
        <v>63</v>
      </c>
      <c r="F1507" s="3">
        <v>0</v>
      </c>
      <c r="I1507" s="24" t="s">
        <v>3265</v>
      </c>
      <c r="J1507" s="24" t="s">
        <v>2919</v>
      </c>
      <c r="K1507" s="3">
        <v>26</v>
      </c>
      <c r="L1507" s="3" t="s">
        <v>6933</v>
      </c>
      <c r="M1507" s="3" t="str">
        <f>HYPERLINK("http://ictvonline.org/taxonomyHistory.asp?taxnode_id=20151943","ICTVonline=20151943")</f>
        <v>ICTVonline=20151943</v>
      </c>
    </row>
    <row r="1508" spans="1:13" x14ac:dyDescent="0.15">
      <c r="A1508" s="1" t="s">
        <v>934</v>
      </c>
      <c r="B1508" s="1" t="s">
        <v>688</v>
      </c>
      <c r="D1508" s="1" t="s">
        <v>596</v>
      </c>
      <c r="E1508" s="1" t="s">
        <v>64</v>
      </c>
      <c r="F1508" s="3">
        <v>0</v>
      </c>
      <c r="I1508" s="24" t="s">
        <v>3265</v>
      </c>
      <c r="J1508" s="24" t="s">
        <v>2919</v>
      </c>
      <c r="K1508" s="3">
        <v>26</v>
      </c>
      <c r="L1508" s="3" t="s">
        <v>6933</v>
      </c>
      <c r="M1508" s="3" t="str">
        <f>HYPERLINK("http://ictvonline.org/taxonomyHistory.asp?taxnode_id=20151944","ICTVonline=20151944")</f>
        <v>ICTVonline=20151944</v>
      </c>
    </row>
    <row r="1509" spans="1:13" x14ac:dyDescent="0.15">
      <c r="A1509" s="1" t="s">
        <v>934</v>
      </c>
      <c r="B1509" s="1" t="s">
        <v>688</v>
      </c>
      <c r="D1509" s="1" t="s">
        <v>596</v>
      </c>
      <c r="E1509" s="1" t="s">
        <v>65</v>
      </c>
      <c r="F1509" s="3">
        <v>0</v>
      </c>
      <c r="I1509" s="24" t="s">
        <v>3265</v>
      </c>
      <c r="J1509" s="24" t="s">
        <v>2919</v>
      </c>
      <c r="K1509" s="3">
        <v>26</v>
      </c>
      <c r="L1509" s="3" t="s">
        <v>6933</v>
      </c>
      <c r="M1509" s="3" t="str">
        <f>HYPERLINK("http://ictvonline.org/taxonomyHistory.asp?taxnode_id=20151945","ICTVonline=20151945")</f>
        <v>ICTVonline=20151945</v>
      </c>
    </row>
    <row r="1510" spans="1:13" x14ac:dyDescent="0.15">
      <c r="A1510" s="1" t="s">
        <v>934</v>
      </c>
      <c r="B1510" s="1" t="s">
        <v>688</v>
      </c>
      <c r="D1510" s="1" t="s">
        <v>596</v>
      </c>
      <c r="E1510" s="1" t="s">
        <v>66</v>
      </c>
      <c r="F1510" s="3">
        <v>0</v>
      </c>
      <c r="I1510" s="24" t="s">
        <v>3265</v>
      </c>
      <c r="J1510" s="24" t="s">
        <v>2919</v>
      </c>
      <c r="K1510" s="3">
        <v>26</v>
      </c>
      <c r="L1510" s="3" t="s">
        <v>6933</v>
      </c>
      <c r="M1510" s="3" t="str">
        <f>HYPERLINK("http://ictvonline.org/taxonomyHistory.asp?taxnode_id=20151946","ICTVonline=20151946")</f>
        <v>ICTVonline=20151946</v>
      </c>
    </row>
    <row r="1511" spans="1:13" x14ac:dyDescent="0.15">
      <c r="A1511" s="1" t="s">
        <v>934</v>
      </c>
      <c r="B1511" s="1" t="s">
        <v>688</v>
      </c>
      <c r="D1511" s="1" t="s">
        <v>596</v>
      </c>
      <c r="E1511" s="1" t="s">
        <v>49</v>
      </c>
      <c r="F1511" s="3">
        <v>0</v>
      </c>
      <c r="I1511" s="24" t="s">
        <v>3265</v>
      </c>
      <c r="J1511" s="24" t="s">
        <v>2924</v>
      </c>
      <c r="K1511" s="3">
        <v>26</v>
      </c>
      <c r="L1511" s="3" t="s">
        <v>6933</v>
      </c>
      <c r="M1511" s="3" t="str">
        <f>HYPERLINK("http://ictvonline.org/taxonomyHistory.asp?taxnode_id=20151947","ICTVonline=20151947")</f>
        <v>ICTVonline=20151947</v>
      </c>
    </row>
    <row r="1512" spans="1:13" x14ac:dyDescent="0.15">
      <c r="A1512" s="1" t="s">
        <v>934</v>
      </c>
      <c r="B1512" s="1" t="s">
        <v>688</v>
      </c>
      <c r="D1512" s="1" t="s">
        <v>596</v>
      </c>
      <c r="E1512" s="1" t="s">
        <v>50</v>
      </c>
      <c r="F1512" s="3">
        <v>0</v>
      </c>
      <c r="I1512" s="24" t="s">
        <v>3265</v>
      </c>
      <c r="J1512" s="24" t="s">
        <v>2919</v>
      </c>
      <c r="K1512" s="3">
        <v>26</v>
      </c>
      <c r="L1512" s="3" t="s">
        <v>6933</v>
      </c>
      <c r="M1512" s="3" t="str">
        <f>HYPERLINK("http://ictvonline.org/taxonomyHistory.asp?taxnode_id=20151948","ICTVonline=20151948")</f>
        <v>ICTVonline=20151948</v>
      </c>
    </row>
    <row r="1513" spans="1:13" x14ac:dyDescent="0.15">
      <c r="A1513" s="1" t="s">
        <v>934</v>
      </c>
      <c r="B1513" s="1" t="s">
        <v>688</v>
      </c>
      <c r="D1513" s="1" t="s">
        <v>596</v>
      </c>
      <c r="E1513" s="1" t="s">
        <v>51</v>
      </c>
      <c r="F1513" s="3">
        <v>0</v>
      </c>
      <c r="I1513" s="24" t="s">
        <v>3265</v>
      </c>
      <c r="J1513" s="24" t="s">
        <v>2919</v>
      </c>
      <c r="K1513" s="3">
        <v>26</v>
      </c>
      <c r="L1513" s="3" t="s">
        <v>6933</v>
      </c>
      <c r="M1513" s="3" t="str">
        <f>HYPERLINK("http://ictvonline.org/taxonomyHistory.asp?taxnode_id=20151949","ICTVonline=20151949")</f>
        <v>ICTVonline=20151949</v>
      </c>
    </row>
    <row r="1514" spans="1:13" x14ac:dyDescent="0.15">
      <c r="A1514" s="1" t="s">
        <v>934</v>
      </c>
      <c r="B1514" s="1" t="s">
        <v>688</v>
      </c>
      <c r="D1514" s="1" t="s">
        <v>596</v>
      </c>
      <c r="E1514" s="1" t="s">
        <v>52</v>
      </c>
      <c r="F1514" s="3">
        <v>0</v>
      </c>
      <c r="I1514" s="24" t="s">
        <v>3265</v>
      </c>
      <c r="J1514" s="24" t="s">
        <v>2924</v>
      </c>
      <c r="K1514" s="3">
        <v>26</v>
      </c>
      <c r="L1514" s="3" t="s">
        <v>6933</v>
      </c>
      <c r="M1514" s="3" t="str">
        <f>HYPERLINK("http://ictvonline.org/taxonomyHistory.asp?taxnode_id=20151950","ICTVonline=20151950")</f>
        <v>ICTVonline=20151950</v>
      </c>
    </row>
    <row r="1515" spans="1:13" x14ac:dyDescent="0.15">
      <c r="A1515" s="1" t="s">
        <v>934</v>
      </c>
      <c r="B1515" s="1" t="s">
        <v>688</v>
      </c>
      <c r="D1515" s="1" t="s">
        <v>596</v>
      </c>
      <c r="E1515" s="1" t="s">
        <v>53</v>
      </c>
      <c r="F1515" s="3">
        <v>0</v>
      </c>
      <c r="I1515" s="24" t="s">
        <v>3265</v>
      </c>
      <c r="J1515" s="24" t="s">
        <v>2919</v>
      </c>
      <c r="K1515" s="3">
        <v>26</v>
      </c>
      <c r="L1515" s="3" t="s">
        <v>6933</v>
      </c>
      <c r="M1515" s="3" t="str">
        <f>HYPERLINK("http://ictvonline.org/taxonomyHistory.asp?taxnode_id=20151951","ICTVonline=20151951")</f>
        <v>ICTVonline=20151951</v>
      </c>
    </row>
    <row r="1516" spans="1:13" x14ac:dyDescent="0.15">
      <c r="A1516" s="1" t="s">
        <v>934</v>
      </c>
      <c r="B1516" s="1" t="s">
        <v>688</v>
      </c>
      <c r="D1516" s="1" t="s">
        <v>596</v>
      </c>
      <c r="E1516" s="1" t="s">
        <v>54</v>
      </c>
      <c r="F1516" s="3">
        <v>0</v>
      </c>
      <c r="I1516" s="24" t="s">
        <v>3265</v>
      </c>
      <c r="J1516" s="24" t="s">
        <v>2919</v>
      </c>
      <c r="K1516" s="3">
        <v>26</v>
      </c>
      <c r="L1516" s="3" t="s">
        <v>6933</v>
      </c>
      <c r="M1516" s="3" t="str">
        <f>HYPERLINK("http://ictvonline.org/taxonomyHistory.asp?taxnode_id=20151952","ICTVonline=20151952")</f>
        <v>ICTVonline=20151952</v>
      </c>
    </row>
    <row r="1517" spans="1:13" x14ac:dyDescent="0.15">
      <c r="A1517" s="1" t="s">
        <v>934</v>
      </c>
      <c r="B1517" s="1" t="s">
        <v>688</v>
      </c>
      <c r="D1517" s="1" t="s">
        <v>596</v>
      </c>
      <c r="E1517" s="1" t="s">
        <v>55</v>
      </c>
      <c r="F1517" s="3">
        <v>0</v>
      </c>
      <c r="I1517" s="24" t="s">
        <v>3265</v>
      </c>
      <c r="J1517" s="24" t="s">
        <v>2919</v>
      </c>
      <c r="K1517" s="3">
        <v>26</v>
      </c>
      <c r="L1517" s="3" t="s">
        <v>6933</v>
      </c>
      <c r="M1517" s="3" t="str">
        <f>HYPERLINK("http://ictvonline.org/taxonomyHistory.asp?taxnode_id=20151953","ICTVonline=20151953")</f>
        <v>ICTVonline=20151953</v>
      </c>
    </row>
    <row r="1518" spans="1:13" x14ac:dyDescent="0.15">
      <c r="A1518" s="1" t="s">
        <v>934</v>
      </c>
      <c r="B1518" s="1" t="s">
        <v>688</v>
      </c>
      <c r="D1518" s="1" t="s">
        <v>596</v>
      </c>
      <c r="E1518" s="1" t="s">
        <v>56</v>
      </c>
      <c r="F1518" s="3">
        <v>0</v>
      </c>
      <c r="I1518" s="24" t="s">
        <v>3265</v>
      </c>
      <c r="J1518" s="24" t="s">
        <v>2919</v>
      </c>
      <c r="K1518" s="3">
        <v>26</v>
      </c>
      <c r="L1518" s="3" t="s">
        <v>6933</v>
      </c>
      <c r="M1518" s="3" t="str">
        <f>HYPERLINK("http://ictvonline.org/taxonomyHistory.asp?taxnode_id=20151954","ICTVonline=20151954")</f>
        <v>ICTVonline=20151954</v>
      </c>
    </row>
    <row r="1519" spans="1:13" x14ac:dyDescent="0.15">
      <c r="A1519" s="1" t="s">
        <v>934</v>
      </c>
      <c r="B1519" s="1" t="s">
        <v>688</v>
      </c>
      <c r="D1519" s="1" t="s">
        <v>596</v>
      </c>
      <c r="E1519" s="1" t="s">
        <v>57</v>
      </c>
      <c r="F1519" s="3">
        <v>0</v>
      </c>
      <c r="I1519" s="24" t="s">
        <v>3265</v>
      </c>
      <c r="J1519" s="24" t="s">
        <v>2919</v>
      </c>
      <c r="K1519" s="3">
        <v>26</v>
      </c>
      <c r="L1519" s="3" t="s">
        <v>6933</v>
      </c>
      <c r="M1519" s="3" t="str">
        <f>HYPERLINK("http://ictvonline.org/taxonomyHistory.asp?taxnode_id=20151955","ICTVonline=20151955")</f>
        <v>ICTVonline=20151955</v>
      </c>
    </row>
    <row r="1520" spans="1:13" x14ac:dyDescent="0.15">
      <c r="A1520" s="1" t="s">
        <v>934</v>
      </c>
      <c r="B1520" s="1" t="s">
        <v>688</v>
      </c>
      <c r="D1520" s="1" t="s">
        <v>596</v>
      </c>
      <c r="E1520" s="1" t="s">
        <v>58</v>
      </c>
      <c r="F1520" s="3">
        <v>0</v>
      </c>
      <c r="I1520" s="24" t="s">
        <v>3265</v>
      </c>
      <c r="J1520" s="24" t="s">
        <v>2919</v>
      </c>
      <c r="K1520" s="3">
        <v>26</v>
      </c>
      <c r="L1520" s="3" t="s">
        <v>6933</v>
      </c>
      <c r="M1520" s="3" t="str">
        <f>HYPERLINK("http://ictvonline.org/taxonomyHistory.asp?taxnode_id=20151956","ICTVonline=20151956")</f>
        <v>ICTVonline=20151956</v>
      </c>
    </row>
    <row r="1521" spans="1:13" x14ac:dyDescent="0.15">
      <c r="A1521" s="1" t="s">
        <v>934</v>
      </c>
      <c r="B1521" s="1" t="s">
        <v>571</v>
      </c>
      <c r="D1521" s="1" t="s">
        <v>572</v>
      </c>
      <c r="E1521" s="1" t="s">
        <v>573</v>
      </c>
      <c r="F1521" s="3">
        <v>1</v>
      </c>
      <c r="G1521" s="24" t="s">
        <v>5071</v>
      </c>
      <c r="H1521" s="24" t="s">
        <v>5072</v>
      </c>
      <c r="I1521" s="24" t="s">
        <v>3285</v>
      </c>
      <c r="J1521" s="24" t="s">
        <v>2920</v>
      </c>
      <c r="K1521" s="3">
        <v>17</v>
      </c>
      <c r="L1521" s="3" t="s">
        <v>2928</v>
      </c>
      <c r="M1521" s="3" t="str">
        <f>HYPERLINK("http://ictvonline.org/taxonomyHistory.asp?taxnode_id=20151960","ICTVonline=20151960")</f>
        <v>ICTVonline=20151960</v>
      </c>
    </row>
    <row r="1522" spans="1:13" x14ac:dyDescent="0.15">
      <c r="A1522" s="1" t="s">
        <v>934</v>
      </c>
      <c r="B1522" s="1" t="s">
        <v>571</v>
      </c>
      <c r="D1522" s="1" t="s">
        <v>574</v>
      </c>
      <c r="E1522" s="1" t="s">
        <v>575</v>
      </c>
      <c r="F1522" s="3">
        <v>1</v>
      </c>
      <c r="G1522" s="24" t="s">
        <v>5073</v>
      </c>
      <c r="H1522" s="24" t="s">
        <v>6713</v>
      </c>
      <c r="I1522" s="24" t="s">
        <v>3285</v>
      </c>
      <c r="J1522" s="24" t="s">
        <v>2921</v>
      </c>
      <c r="K1522" s="3">
        <v>24</v>
      </c>
      <c r="L1522" s="3" t="s">
        <v>6934</v>
      </c>
      <c r="M1522" s="3" t="str">
        <f>HYPERLINK("http://ictvonline.org/taxonomyHistory.asp?taxnode_id=20151962","ICTVonline=20151962")</f>
        <v>ICTVonline=20151962</v>
      </c>
    </row>
    <row r="1523" spans="1:13" x14ac:dyDescent="0.15">
      <c r="A1523" s="1" t="s">
        <v>934</v>
      </c>
      <c r="B1523" s="1" t="s">
        <v>571</v>
      </c>
      <c r="D1523" s="1" t="s">
        <v>576</v>
      </c>
      <c r="E1523" s="1" t="s">
        <v>577</v>
      </c>
      <c r="F1523" s="3">
        <v>0</v>
      </c>
      <c r="G1523" s="24" t="s">
        <v>5074</v>
      </c>
      <c r="H1523" s="24" t="s">
        <v>5075</v>
      </c>
      <c r="I1523" s="24" t="s">
        <v>3285</v>
      </c>
      <c r="J1523" s="24" t="s">
        <v>2919</v>
      </c>
      <c r="K1523" s="3">
        <v>17</v>
      </c>
      <c r="L1523" s="3" t="s">
        <v>2928</v>
      </c>
      <c r="M1523" s="3" t="str">
        <f>HYPERLINK("http://ictvonline.org/taxonomyHistory.asp?taxnode_id=20151964","ICTVonline=20151964")</f>
        <v>ICTVonline=20151964</v>
      </c>
    </row>
    <row r="1524" spans="1:13" x14ac:dyDescent="0.15">
      <c r="A1524" s="1" t="s">
        <v>934</v>
      </c>
      <c r="B1524" s="1" t="s">
        <v>571</v>
      </c>
      <c r="D1524" s="1" t="s">
        <v>576</v>
      </c>
      <c r="E1524" s="1" t="s">
        <v>1840</v>
      </c>
      <c r="F1524" s="3">
        <v>1</v>
      </c>
      <c r="G1524" s="24" t="s">
        <v>5076</v>
      </c>
      <c r="H1524" s="24" t="s">
        <v>5077</v>
      </c>
      <c r="I1524" s="24" t="s">
        <v>3285</v>
      </c>
      <c r="J1524" s="24" t="s">
        <v>2922</v>
      </c>
      <c r="K1524" s="3">
        <v>17</v>
      </c>
      <c r="L1524" s="3" t="s">
        <v>2928</v>
      </c>
      <c r="M1524" s="3" t="str">
        <f>HYPERLINK("http://ictvonline.org/taxonomyHistory.asp?taxnode_id=20151965","ICTVonline=20151965")</f>
        <v>ICTVonline=20151965</v>
      </c>
    </row>
    <row r="1525" spans="1:13" x14ac:dyDescent="0.15">
      <c r="A1525" s="1" t="s">
        <v>934</v>
      </c>
      <c r="B1525" s="1" t="s">
        <v>1841</v>
      </c>
      <c r="D1525" s="1" t="s">
        <v>1842</v>
      </c>
      <c r="E1525" s="1" t="s">
        <v>714</v>
      </c>
      <c r="F1525" s="3">
        <v>0</v>
      </c>
      <c r="I1525" s="24" t="s">
        <v>2965</v>
      </c>
      <c r="J1525" s="24" t="s">
        <v>2920</v>
      </c>
      <c r="K1525" s="3">
        <v>24</v>
      </c>
      <c r="L1525" s="3" t="s">
        <v>6935</v>
      </c>
      <c r="M1525" s="3" t="str">
        <f>HYPERLINK("http://ictvonline.org/taxonomyHistory.asp?taxnode_id=20151969","ICTVonline=20151969")</f>
        <v>ICTVonline=20151969</v>
      </c>
    </row>
    <row r="1526" spans="1:13" x14ac:dyDescent="0.15">
      <c r="A1526" s="1" t="s">
        <v>934</v>
      </c>
      <c r="B1526" s="1" t="s">
        <v>1841</v>
      </c>
      <c r="D1526" s="1" t="s">
        <v>1842</v>
      </c>
      <c r="E1526" s="1" t="s">
        <v>715</v>
      </c>
      <c r="F1526" s="3">
        <v>0</v>
      </c>
      <c r="I1526" s="24" t="s">
        <v>2965</v>
      </c>
      <c r="J1526" s="24" t="s">
        <v>2920</v>
      </c>
      <c r="K1526" s="3">
        <v>24</v>
      </c>
      <c r="L1526" s="3" t="s">
        <v>6935</v>
      </c>
      <c r="M1526" s="3" t="str">
        <f>HYPERLINK("http://ictvonline.org/taxonomyHistory.asp?taxnode_id=20151970","ICTVonline=20151970")</f>
        <v>ICTVonline=20151970</v>
      </c>
    </row>
    <row r="1527" spans="1:13" x14ac:dyDescent="0.15">
      <c r="A1527" s="1" t="s">
        <v>934</v>
      </c>
      <c r="B1527" s="1" t="s">
        <v>1841</v>
      </c>
      <c r="D1527" s="1" t="s">
        <v>1842</v>
      </c>
      <c r="E1527" s="1" t="s">
        <v>5078</v>
      </c>
      <c r="F1527" s="3">
        <v>0</v>
      </c>
      <c r="I1527" s="24" t="s">
        <v>2965</v>
      </c>
      <c r="J1527" s="24" t="s">
        <v>2924</v>
      </c>
      <c r="K1527" s="3">
        <v>30</v>
      </c>
      <c r="L1527" s="3" t="s">
        <v>5079</v>
      </c>
      <c r="M1527" s="3" t="str">
        <f>HYPERLINK("http://ictvonline.org/taxonomyHistory.asp?taxnode_id=20151971","ICTVonline=20151971")</f>
        <v>ICTVonline=20151971</v>
      </c>
    </row>
    <row r="1528" spans="1:13" x14ac:dyDescent="0.15">
      <c r="A1528" s="1" t="s">
        <v>934</v>
      </c>
      <c r="B1528" s="1" t="s">
        <v>1841</v>
      </c>
      <c r="D1528" s="1" t="s">
        <v>1842</v>
      </c>
      <c r="E1528" s="1" t="s">
        <v>5080</v>
      </c>
      <c r="F1528" s="3">
        <v>0</v>
      </c>
      <c r="G1528" s="24" t="s">
        <v>7507</v>
      </c>
      <c r="H1528" s="24" t="s">
        <v>5080</v>
      </c>
      <c r="I1528" s="24" t="s">
        <v>2965</v>
      </c>
      <c r="J1528" s="24" t="s">
        <v>2919</v>
      </c>
      <c r="K1528" s="3">
        <v>30</v>
      </c>
      <c r="L1528" s="3" t="s">
        <v>5079</v>
      </c>
      <c r="M1528" s="3" t="str">
        <f>HYPERLINK("http://ictvonline.org/taxonomyHistory.asp?taxnode_id=20152003","ICTVonline=20152003")</f>
        <v>ICTVonline=20152003</v>
      </c>
    </row>
    <row r="1529" spans="1:13" x14ac:dyDescent="0.15">
      <c r="A1529" s="1" t="s">
        <v>934</v>
      </c>
      <c r="B1529" s="1" t="s">
        <v>1841</v>
      </c>
      <c r="D1529" s="1" t="s">
        <v>1842</v>
      </c>
      <c r="E1529" s="1" t="s">
        <v>2362</v>
      </c>
      <c r="F1529" s="3">
        <v>0</v>
      </c>
      <c r="I1529" s="24" t="s">
        <v>2965</v>
      </c>
      <c r="J1529" s="24" t="s">
        <v>2919</v>
      </c>
      <c r="K1529" s="3">
        <v>27</v>
      </c>
      <c r="L1529" s="3" t="s">
        <v>6936</v>
      </c>
      <c r="M1529" s="3" t="str">
        <f>HYPERLINK("http://ictvonline.org/taxonomyHistory.asp?taxnode_id=20151972","ICTVonline=20151972")</f>
        <v>ICTVonline=20151972</v>
      </c>
    </row>
    <row r="1530" spans="1:13" x14ac:dyDescent="0.15">
      <c r="A1530" s="1" t="s">
        <v>934</v>
      </c>
      <c r="B1530" s="1" t="s">
        <v>1841</v>
      </c>
      <c r="D1530" s="1" t="s">
        <v>1842</v>
      </c>
      <c r="E1530" s="1" t="s">
        <v>1858</v>
      </c>
      <c r="F1530" s="3">
        <v>0</v>
      </c>
      <c r="I1530" s="24" t="s">
        <v>2965</v>
      </c>
      <c r="J1530" s="24" t="s">
        <v>2920</v>
      </c>
      <c r="K1530" s="3">
        <v>24</v>
      </c>
      <c r="L1530" s="3" t="s">
        <v>6935</v>
      </c>
      <c r="M1530" s="3" t="str">
        <f>HYPERLINK("http://ictvonline.org/taxonomyHistory.asp?taxnode_id=20151973","ICTVonline=20151973")</f>
        <v>ICTVonline=20151973</v>
      </c>
    </row>
    <row r="1531" spans="1:13" x14ac:dyDescent="0.15">
      <c r="A1531" s="1" t="s">
        <v>934</v>
      </c>
      <c r="B1531" s="1" t="s">
        <v>1841</v>
      </c>
      <c r="D1531" s="1" t="s">
        <v>1842</v>
      </c>
      <c r="E1531" s="1" t="s">
        <v>716</v>
      </c>
      <c r="F1531" s="3">
        <v>1</v>
      </c>
      <c r="I1531" s="24" t="s">
        <v>2965</v>
      </c>
      <c r="J1531" s="24" t="s">
        <v>2920</v>
      </c>
      <c r="K1531" s="3">
        <v>24</v>
      </c>
      <c r="L1531" s="3" t="s">
        <v>6935</v>
      </c>
      <c r="M1531" s="3" t="str">
        <f>HYPERLINK("http://ictvonline.org/taxonomyHistory.asp?taxnode_id=20151974","ICTVonline=20151974")</f>
        <v>ICTVonline=20151974</v>
      </c>
    </row>
    <row r="1532" spans="1:13" x14ac:dyDescent="0.15">
      <c r="A1532" s="1" t="s">
        <v>934</v>
      </c>
      <c r="B1532" s="1" t="s">
        <v>1841</v>
      </c>
      <c r="D1532" s="1" t="s">
        <v>1842</v>
      </c>
      <c r="E1532" s="1" t="s">
        <v>717</v>
      </c>
      <c r="F1532" s="3">
        <v>0</v>
      </c>
      <c r="I1532" s="24" t="s">
        <v>2965</v>
      </c>
      <c r="J1532" s="24" t="s">
        <v>2920</v>
      </c>
      <c r="K1532" s="3">
        <v>24</v>
      </c>
      <c r="L1532" s="3" t="s">
        <v>6935</v>
      </c>
      <c r="M1532" s="3" t="str">
        <f>HYPERLINK("http://ictvonline.org/taxonomyHistory.asp?taxnode_id=20151975","ICTVonline=20151975")</f>
        <v>ICTVonline=20151975</v>
      </c>
    </row>
    <row r="1533" spans="1:13" x14ac:dyDescent="0.15">
      <c r="A1533" s="1" t="s">
        <v>934</v>
      </c>
      <c r="B1533" s="1" t="s">
        <v>1841</v>
      </c>
      <c r="D1533" s="1" t="s">
        <v>1842</v>
      </c>
      <c r="E1533" s="1" t="s">
        <v>718</v>
      </c>
      <c r="F1533" s="3">
        <v>0</v>
      </c>
      <c r="I1533" s="24" t="s">
        <v>2965</v>
      </c>
      <c r="J1533" s="24" t="s">
        <v>2920</v>
      </c>
      <c r="K1533" s="3">
        <v>24</v>
      </c>
      <c r="L1533" s="3" t="s">
        <v>6935</v>
      </c>
      <c r="M1533" s="3" t="str">
        <f>HYPERLINK("http://ictvonline.org/taxonomyHistory.asp?taxnode_id=20151976","ICTVonline=20151976")</f>
        <v>ICTVonline=20151976</v>
      </c>
    </row>
    <row r="1534" spans="1:13" x14ac:dyDescent="0.15">
      <c r="A1534" s="1" t="s">
        <v>934</v>
      </c>
      <c r="B1534" s="1" t="s">
        <v>1841</v>
      </c>
      <c r="D1534" s="1" t="s">
        <v>1842</v>
      </c>
      <c r="E1534" s="1" t="s">
        <v>719</v>
      </c>
      <c r="F1534" s="3">
        <v>0</v>
      </c>
      <c r="I1534" s="24" t="s">
        <v>2965</v>
      </c>
      <c r="J1534" s="24" t="s">
        <v>2920</v>
      </c>
      <c r="K1534" s="3">
        <v>24</v>
      </c>
      <c r="L1534" s="3" t="s">
        <v>6935</v>
      </c>
      <c r="M1534" s="3" t="str">
        <f>HYPERLINK("http://ictvonline.org/taxonomyHistory.asp?taxnode_id=20151977","ICTVonline=20151977")</f>
        <v>ICTVonline=20151977</v>
      </c>
    </row>
    <row r="1535" spans="1:13" x14ac:dyDescent="0.15">
      <c r="A1535" s="1" t="s">
        <v>934</v>
      </c>
      <c r="B1535" s="1" t="s">
        <v>1841</v>
      </c>
      <c r="D1535" s="1" t="s">
        <v>1842</v>
      </c>
      <c r="E1535" s="1" t="s">
        <v>1862</v>
      </c>
      <c r="F1535" s="3">
        <v>0</v>
      </c>
      <c r="I1535" s="24" t="s">
        <v>2965</v>
      </c>
      <c r="J1535" s="24" t="s">
        <v>2920</v>
      </c>
      <c r="K1535" s="3">
        <v>24</v>
      </c>
      <c r="L1535" s="3" t="s">
        <v>6935</v>
      </c>
      <c r="M1535" s="3" t="str">
        <f>HYPERLINK("http://ictvonline.org/taxonomyHistory.asp?taxnode_id=20151978","ICTVonline=20151978")</f>
        <v>ICTVonline=20151978</v>
      </c>
    </row>
    <row r="1536" spans="1:13" x14ac:dyDescent="0.15">
      <c r="A1536" s="1" t="s">
        <v>934</v>
      </c>
      <c r="B1536" s="1" t="s">
        <v>1841</v>
      </c>
      <c r="D1536" s="1" t="s">
        <v>1842</v>
      </c>
      <c r="E1536" s="1" t="s">
        <v>1864</v>
      </c>
      <c r="F1536" s="3">
        <v>0</v>
      </c>
      <c r="I1536" s="24" t="s">
        <v>2965</v>
      </c>
      <c r="J1536" s="24" t="s">
        <v>2920</v>
      </c>
      <c r="K1536" s="3">
        <v>24</v>
      </c>
      <c r="L1536" s="3" t="s">
        <v>6935</v>
      </c>
      <c r="M1536" s="3" t="str">
        <f>HYPERLINK("http://ictvonline.org/taxonomyHistory.asp?taxnode_id=20151979","ICTVonline=20151979")</f>
        <v>ICTVonline=20151979</v>
      </c>
    </row>
    <row r="1537" spans="1:13" x14ac:dyDescent="0.15">
      <c r="A1537" s="1" t="s">
        <v>934</v>
      </c>
      <c r="B1537" s="1" t="s">
        <v>1841</v>
      </c>
      <c r="D1537" s="1" t="s">
        <v>1842</v>
      </c>
      <c r="E1537" s="1" t="s">
        <v>2363</v>
      </c>
      <c r="F1537" s="3">
        <v>0</v>
      </c>
      <c r="I1537" s="24" t="s">
        <v>2965</v>
      </c>
      <c r="J1537" s="24" t="s">
        <v>2919</v>
      </c>
      <c r="K1537" s="3">
        <v>27</v>
      </c>
      <c r="L1537" s="3" t="s">
        <v>6936</v>
      </c>
      <c r="M1537" s="3" t="str">
        <f>HYPERLINK("http://ictvonline.org/taxonomyHistory.asp?taxnode_id=20151980","ICTVonline=20151980")</f>
        <v>ICTVonline=20151980</v>
      </c>
    </row>
    <row r="1538" spans="1:13" x14ac:dyDescent="0.15">
      <c r="A1538" s="1" t="s">
        <v>934</v>
      </c>
      <c r="B1538" s="1" t="s">
        <v>1841</v>
      </c>
      <c r="D1538" s="1" t="s">
        <v>1842</v>
      </c>
      <c r="E1538" s="1" t="s">
        <v>5081</v>
      </c>
      <c r="F1538" s="3">
        <v>0</v>
      </c>
      <c r="G1538" s="24" t="s">
        <v>7508</v>
      </c>
      <c r="H1538" s="24" t="s">
        <v>5082</v>
      </c>
      <c r="I1538" s="24" t="s">
        <v>2965</v>
      </c>
      <c r="J1538" s="24" t="s">
        <v>2919</v>
      </c>
      <c r="K1538" s="3">
        <v>30</v>
      </c>
      <c r="L1538" s="3" t="s">
        <v>6937</v>
      </c>
      <c r="M1538" s="3" t="str">
        <f>HYPERLINK("http://ictvonline.org/taxonomyHistory.asp?taxnode_id=20152002","ICTVonline=20152002")</f>
        <v>ICTVonline=20152002</v>
      </c>
    </row>
    <row r="1539" spans="1:13" x14ac:dyDescent="0.15">
      <c r="A1539" s="1" t="s">
        <v>934</v>
      </c>
      <c r="B1539" s="1" t="s">
        <v>1841</v>
      </c>
      <c r="D1539" s="1" t="s">
        <v>1842</v>
      </c>
      <c r="E1539" s="1" t="s">
        <v>2364</v>
      </c>
      <c r="F1539" s="3">
        <v>0</v>
      </c>
      <c r="I1539" s="24" t="s">
        <v>2965</v>
      </c>
      <c r="J1539" s="24" t="s">
        <v>2919</v>
      </c>
      <c r="K1539" s="3">
        <v>27</v>
      </c>
      <c r="L1539" s="3" t="s">
        <v>6936</v>
      </c>
      <c r="M1539" s="3" t="str">
        <f>HYPERLINK("http://ictvonline.org/taxonomyHistory.asp?taxnode_id=20151981","ICTVonline=20151981")</f>
        <v>ICTVonline=20151981</v>
      </c>
    </row>
    <row r="1540" spans="1:13" x14ac:dyDescent="0.15">
      <c r="A1540" s="1" t="s">
        <v>934</v>
      </c>
      <c r="B1540" s="1" t="s">
        <v>1841</v>
      </c>
      <c r="D1540" s="1" t="s">
        <v>1842</v>
      </c>
      <c r="E1540" s="1" t="s">
        <v>1865</v>
      </c>
      <c r="F1540" s="3">
        <v>0</v>
      </c>
      <c r="I1540" s="24" t="s">
        <v>2965</v>
      </c>
      <c r="J1540" s="24" t="s">
        <v>2923</v>
      </c>
      <c r="K1540" s="3">
        <v>24</v>
      </c>
      <c r="L1540" s="3" t="s">
        <v>6935</v>
      </c>
      <c r="M1540" s="3" t="str">
        <f>HYPERLINK("http://ictvonline.org/taxonomyHistory.asp?taxnode_id=20151982","ICTVonline=20151982")</f>
        <v>ICTVonline=20151982</v>
      </c>
    </row>
    <row r="1541" spans="1:13" x14ac:dyDescent="0.15">
      <c r="A1541" s="1" t="s">
        <v>934</v>
      </c>
      <c r="B1541" s="1" t="s">
        <v>1841</v>
      </c>
      <c r="D1541" s="1" t="s">
        <v>1842</v>
      </c>
      <c r="E1541" s="1" t="s">
        <v>1866</v>
      </c>
      <c r="F1541" s="3">
        <v>0</v>
      </c>
      <c r="I1541" s="24" t="s">
        <v>2965</v>
      </c>
      <c r="J1541" s="24" t="s">
        <v>2920</v>
      </c>
      <c r="K1541" s="3">
        <v>24</v>
      </c>
      <c r="L1541" s="3" t="s">
        <v>6935</v>
      </c>
      <c r="M1541" s="3" t="str">
        <f>HYPERLINK("http://ictvonline.org/taxonomyHistory.asp?taxnode_id=20151983","ICTVonline=20151983")</f>
        <v>ICTVonline=20151983</v>
      </c>
    </row>
    <row r="1542" spans="1:13" x14ac:dyDescent="0.15">
      <c r="A1542" s="1" t="s">
        <v>934</v>
      </c>
      <c r="B1542" s="1" t="s">
        <v>1841</v>
      </c>
      <c r="D1542" s="1" t="s">
        <v>1842</v>
      </c>
      <c r="E1542" s="1" t="s">
        <v>2365</v>
      </c>
      <c r="F1542" s="3">
        <v>0</v>
      </c>
      <c r="I1542" s="24" t="s">
        <v>2965</v>
      </c>
      <c r="J1542" s="24" t="s">
        <v>2919</v>
      </c>
      <c r="K1542" s="3">
        <v>27</v>
      </c>
      <c r="L1542" s="3" t="s">
        <v>6936</v>
      </c>
      <c r="M1542" s="3" t="str">
        <f>HYPERLINK("http://ictvonline.org/taxonomyHistory.asp?taxnode_id=20151984","ICTVonline=20151984")</f>
        <v>ICTVonline=20151984</v>
      </c>
    </row>
    <row r="1543" spans="1:13" x14ac:dyDescent="0.15">
      <c r="A1543" s="1" t="s">
        <v>934</v>
      </c>
      <c r="B1543" s="1" t="s">
        <v>1841</v>
      </c>
      <c r="D1543" s="1" t="s">
        <v>1842</v>
      </c>
      <c r="E1543" s="1" t="s">
        <v>1867</v>
      </c>
      <c r="F1543" s="3">
        <v>0</v>
      </c>
      <c r="I1543" s="24" t="s">
        <v>2965</v>
      </c>
      <c r="J1543" s="24" t="s">
        <v>2931</v>
      </c>
      <c r="K1543" s="3">
        <v>29</v>
      </c>
      <c r="L1543" s="3" t="s">
        <v>6938</v>
      </c>
      <c r="M1543" s="3" t="str">
        <f>HYPERLINK("http://ictvonline.org/taxonomyHistory.asp?taxnode_id=20151985","ICTVonline=20151985")</f>
        <v>ICTVonline=20151985</v>
      </c>
    </row>
    <row r="1544" spans="1:13" x14ac:dyDescent="0.15">
      <c r="A1544" s="1" t="s">
        <v>934</v>
      </c>
      <c r="B1544" s="1" t="s">
        <v>1841</v>
      </c>
      <c r="D1544" s="1" t="s">
        <v>1842</v>
      </c>
      <c r="E1544" s="1" t="s">
        <v>2366</v>
      </c>
      <c r="F1544" s="3">
        <v>0</v>
      </c>
      <c r="I1544" s="24" t="s">
        <v>2965</v>
      </c>
      <c r="J1544" s="24" t="s">
        <v>2919</v>
      </c>
      <c r="K1544" s="3">
        <v>27</v>
      </c>
      <c r="L1544" s="3" t="s">
        <v>6936</v>
      </c>
      <c r="M1544" s="3" t="str">
        <f>HYPERLINK("http://ictvonline.org/taxonomyHistory.asp?taxnode_id=20151986","ICTVonline=20151986")</f>
        <v>ICTVonline=20151986</v>
      </c>
    </row>
    <row r="1545" spans="1:13" x14ac:dyDescent="0.15">
      <c r="A1545" s="1" t="s">
        <v>934</v>
      </c>
      <c r="B1545" s="1" t="s">
        <v>1841</v>
      </c>
      <c r="D1545" s="1" t="s">
        <v>1842</v>
      </c>
      <c r="E1545" s="1" t="s">
        <v>2367</v>
      </c>
      <c r="F1545" s="3">
        <v>0</v>
      </c>
      <c r="I1545" s="24" t="s">
        <v>2965</v>
      </c>
      <c r="J1545" s="24" t="s">
        <v>2919</v>
      </c>
      <c r="K1545" s="3">
        <v>27</v>
      </c>
      <c r="L1545" s="3" t="s">
        <v>6936</v>
      </c>
      <c r="M1545" s="3" t="str">
        <f>HYPERLINK("http://ictvonline.org/taxonomyHistory.asp?taxnode_id=20151987","ICTVonline=20151987")</f>
        <v>ICTVonline=20151987</v>
      </c>
    </row>
    <row r="1546" spans="1:13" x14ac:dyDescent="0.15">
      <c r="A1546" s="1" t="s">
        <v>934</v>
      </c>
      <c r="B1546" s="1" t="s">
        <v>1841</v>
      </c>
      <c r="D1546" s="1" t="s">
        <v>1842</v>
      </c>
      <c r="E1546" s="1" t="s">
        <v>1868</v>
      </c>
      <c r="F1546" s="3">
        <v>0</v>
      </c>
      <c r="I1546" s="24" t="s">
        <v>2965</v>
      </c>
      <c r="J1546" s="24" t="s">
        <v>2920</v>
      </c>
      <c r="K1546" s="3">
        <v>24</v>
      </c>
      <c r="L1546" s="3" t="s">
        <v>6935</v>
      </c>
      <c r="M1546" s="3" t="str">
        <f>HYPERLINK("http://ictvonline.org/taxonomyHistory.asp?taxnode_id=20151988","ICTVonline=20151988")</f>
        <v>ICTVonline=20151988</v>
      </c>
    </row>
    <row r="1547" spans="1:13" x14ac:dyDescent="0.15">
      <c r="A1547" s="1" t="s">
        <v>934</v>
      </c>
      <c r="B1547" s="1" t="s">
        <v>1841</v>
      </c>
      <c r="D1547" s="1" t="s">
        <v>1842</v>
      </c>
      <c r="E1547" s="1" t="s">
        <v>722</v>
      </c>
      <c r="F1547" s="3">
        <v>0</v>
      </c>
      <c r="I1547" s="24" t="s">
        <v>2965</v>
      </c>
      <c r="J1547" s="24" t="s">
        <v>2920</v>
      </c>
      <c r="K1547" s="3">
        <v>24</v>
      </c>
      <c r="L1547" s="3" t="s">
        <v>6935</v>
      </c>
      <c r="M1547" s="3" t="str">
        <f>HYPERLINK("http://ictvonline.org/taxonomyHistory.asp?taxnode_id=20151989","ICTVonline=20151989")</f>
        <v>ICTVonline=20151989</v>
      </c>
    </row>
    <row r="1548" spans="1:13" x14ac:dyDescent="0.15">
      <c r="A1548" s="1" t="s">
        <v>934</v>
      </c>
      <c r="B1548" s="1" t="s">
        <v>1841</v>
      </c>
      <c r="D1548" s="1" t="s">
        <v>1842</v>
      </c>
      <c r="E1548" s="1" t="s">
        <v>723</v>
      </c>
      <c r="F1548" s="3">
        <v>0</v>
      </c>
      <c r="I1548" s="24" t="s">
        <v>2965</v>
      </c>
      <c r="J1548" s="24" t="s">
        <v>2920</v>
      </c>
      <c r="K1548" s="3">
        <v>24</v>
      </c>
      <c r="L1548" s="3" t="s">
        <v>6935</v>
      </c>
      <c r="M1548" s="3" t="str">
        <f>HYPERLINK("http://ictvonline.org/taxonomyHistory.asp?taxnode_id=20151990","ICTVonline=20151990")</f>
        <v>ICTVonline=20151990</v>
      </c>
    </row>
    <row r="1549" spans="1:13" x14ac:dyDescent="0.15">
      <c r="A1549" s="1" t="s">
        <v>934</v>
      </c>
      <c r="B1549" s="1" t="s">
        <v>1841</v>
      </c>
      <c r="D1549" s="1" t="s">
        <v>1842</v>
      </c>
      <c r="E1549" s="1" t="s">
        <v>724</v>
      </c>
      <c r="F1549" s="3">
        <v>0</v>
      </c>
      <c r="I1549" s="24" t="s">
        <v>2965</v>
      </c>
      <c r="J1549" s="24" t="s">
        <v>2920</v>
      </c>
      <c r="K1549" s="3">
        <v>24</v>
      </c>
      <c r="L1549" s="3" t="s">
        <v>6935</v>
      </c>
      <c r="M1549" s="3" t="str">
        <f>HYPERLINK("http://ictvonline.org/taxonomyHistory.asp?taxnode_id=20151991","ICTVonline=20151991")</f>
        <v>ICTVonline=20151991</v>
      </c>
    </row>
    <row r="1550" spans="1:13" x14ac:dyDescent="0.15">
      <c r="A1550" s="1" t="s">
        <v>934</v>
      </c>
      <c r="B1550" s="1" t="s">
        <v>1841</v>
      </c>
      <c r="D1550" s="1" t="s">
        <v>1842</v>
      </c>
      <c r="E1550" s="1" t="s">
        <v>2368</v>
      </c>
      <c r="F1550" s="3">
        <v>0</v>
      </c>
      <c r="I1550" s="24" t="s">
        <v>2965</v>
      </c>
      <c r="J1550" s="24" t="s">
        <v>2919</v>
      </c>
      <c r="K1550" s="3">
        <v>27</v>
      </c>
      <c r="L1550" s="3" t="s">
        <v>6936</v>
      </c>
      <c r="M1550" s="3" t="str">
        <f>HYPERLINK("http://ictvonline.org/taxonomyHistory.asp?taxnode_id=20151992","ICTVonline=20151992")</f>
        <v>ICTVonline=20151992</v>
      </c>
    </row>
    <row r="1551" spans="1:13" x14ac:dyDescent="0.15">
      <c r="A1551" s="1" t="s">
        <v>934</v>
      </c>
      <c r="B1551" s="1" t="s">
        <v>1841</v>
      </c>
      <c r="D1551" s="1" t="s">
        <v>1842</v>
      </c>
      <c r="E1551" s="1" t="s">
        <v>725</v>
      </c>
      <c r="F1551" s="3">
        <v>0</v>
      </c>
      <c r="I1551" s="24" t="s">
        <v>2965</v>
      </c>
      <c r="J1551" s="24" t="s">
        <v>2920</v>
      </c>
      <c r="K1551" s="3">
        <v>24</v>
      </c>
      <c r="L1551" s="3" t="s">
        <v>6935</v>
      </c>
      <c r="M1551" s="3" t="str">
        <f>HYPERLINK("http://ictvonline.org/taxonomyHistory.asp?taxnode_id=20151993","ICTVonline=20151993")</f>
        <v>ICTVonline=20151993</v>
      </c>
    </row>
    <row r="1552" spans="1:13" x14ac:dyDescent="0.15">
      <c r="A1552" s="1" t="s">
        <v>934</v>
      </c>
      <c r="B1552" s="1" t="s">
        <v>1841</v>
      </c>
      <c r="D1552" s="1" t="s">
        <v>1842</v>
      </c>
      <c r="E1552" s="1" t="s">
        <v>726</v>
      </c>
      <c r="F1552" s="3">
        <v>0</v>
      </c>
      <c r="I1552" s="24" t="s">
        <v>2965</v>
      </c>
      <c r="J1552" s="24" t="s">
        <v>2920</v>
      </c>
      <c r="K1552" s="3">
        <v>24</v>
      </c>
      <c r="L1552" s="3" t="s">
        <v>6935</v>
      </c>
      <c r="M1552" s="3" t="str">
        <f>HYPERLINK("http://ictvonline.org/taxonomyHistory.asp?taxnode_id=20151994","ICTVonline=20151994")</f>
        <v>ICTVonline=20151994</v>
      </c>
    </row>
    <row r="1553" spans="1:13" x14ac:dyDescent="0.15">
      <c r="A1553" s="1" t="s">
        <v>934</v>
      </c>
      <c r="B1553" s="1" t="s">
        <v>1841</v>
      </c>
      <c r="D1553" s="1" t="s">
        <v>1842</v>
      </c>
      <c r="E1553" s="1" t="s">
        <v>830</v>
      </c>
      <c r="F1553" s="3">
        <v>0</v>
      </c>
      <c r="I1553" s="24" t="s">
        <v>2965</v>
      </c>
      <c r="J1553" s="24" t="s">
        <v>2920</v>
      </c>
      <c r="K1553" s="3">
        <v>24</v>
      </c>
      <c r="L1553" s="3" t="s">
        <v>6935</v>
      </c>
      <c r="M1553" s="3" t="str">
        <f>HYPERLINK("http://ictvonline.org/taxonomyHistory.asp?taxnode_id=20151995","ICTVonline=20151995")</f>
        <v>ICTVonline=20151995</v>
      </c>
    </row>
    <row r="1554" spans="1:13" x14ac:dyDescent="0.15">
      <c r="A1554" s="1" t="s">
        <v>934</v>
      </c>
      <c r="B1554" s="1" t="s">
        <v>1841</v>
      </c>
      <c r="D1554" s="1" t="s">
        <v>1842</v>
      </c>
      <c r="E1554" s="1" t="s">
        <v>831</v>
      </c>
      <c r="F1554" s="3">
        <v>0</v>
      </c>
      <c r="I1554" s="24" t="s">
        <v>2965</v>
      </c>
      <c r="J1554" s="24" t="s">
        <v>2920</v>
      </c>
      <c r="K1554" s="3">
        <v>24</v>
      </c>
      <c r="L1554" s="3" t="s">
        <v>6935</v>
      </c>
      <c r="M1554" s="3" t="str">
        <f>HYPERLINK("http://ictvonline.org/taxonomyHistory.asp?taxnode_id=20151996","ICTVonline=20151996")</f>
        <v>ICTVonline=20151996</v>
      </c>
    </row>
    <row r="1555" spans="1:13" x14ac:dyDescent="0.15">
      <c r="A1555" s="1" t="s">
        <v>934</v>
      </c>
      <c r="B1555" s="1" t="s">
        <v>1841</v>
      </c>
      <c r="D1555" s="1" t="s">
        <v>1842</v>
      </c>
      <c r="E1555" s="1" t="s">
        <v>832</v>
      </c>
      <c r="F1555" s="3">
        <v>0</v>
      </c>
      <c r="I1555" s="24" t="s">
        <v>2965</v>
      </c>
      <c r="J1555" s="24" t="s">
        <v>2920</v>
      </c>
      <c r="K1555" s="3">
        <v>24</v>
      </c>
      <c r="L1555" s="3" t="s">
        <v>6935</v>
      </c>
      <c r="M1555" s="3" t="str">
        <f>HYPERLINK("http://ictvonline.org/taxonomyHistory.asp?taxnode_id=20151997","ICTVonline=20151997")</f>
        <v>ICTVonline=20151997</v>
      </c>
    </row>
    <row r="1556" spans="1:13" x14ac:dyDescent="0.15">
      <c r="A1556" s="1" t="s">
        <v>934</v>
      </c>
      <c r="B1556" s="1" t="s">
        <v>1841</v>
      </c>
      <c r="D1556" s="1" t="s">
        <v>1842</v>
      </c>
      <c r="E1556" s="1" t="s">
        <v>5083</v>
      </c>
      <c r="F1556" s="3">
        <v>0</v>
      </c>
      <c r="G1556" s="24" t="s">
        <v>7509</v>
      </c>
      <c r="H1556" s="24" t="s">
        <v>5084</v>
      </c>
      <c r="I1556" s="24" t="s">
        <v>2965</v>
      </c>
      <c r="J1556" s="24" t="s">
        <v>2919</v>
      </c>
      <c r="K1556" s="3">
        <v>30</v>
      </c>
      <c r="L1556" s="3" t="s">
        <v>6939</v>
      </c>
      <c r="M1556" s="3" t="str">
        <f>HYPERLINK("http://ictvonline.org/taxonomyHistory.asp?taxnode_id=20152001","ICTVonline=20152001")</f>
        <v>ICTVonline=20152001</v>
      </c>
    </row>
    <row r="1557" spans="1:13" x14ac:dyDescent="0.15">
      <c r="A1557" s="1" t="s">
        <v>934</v>
      </c>
      <c r="B1557" s="1" t="s">
        <v>1841</v>
      </c>
      <c r="D1557" s="1" t="s">
        <v>1842</v>
      </c>
      <c r="E1557" s="1" t="s">
        <v>833</v>
      </c>
      <c r="F1557" s="3">
        <v>0</v>
      </c>
      <c r="I1557" s="24" t="s">
        <v>2965</v>
      </c>
      <c r="J1557" s="24" t="s">
        <v>2920</v>
      </c>
      <c r="K1557" s="3">
        <v>24</v>
      </c>
      <c r="L1557" s="3" t="s">
        <v>6935</v>
      </c>
      <c r="M1557" s="3" t="str">
        <f>HYPERLINK("http://ictvonline.org/taxonomyHistory.asp?taxnode_id=20151998","ICTVonline=20151998")</f>
        <v>ICTVonline=20151998</v>
      </c>
    </row>
    <row r="1558" spans="1:13" x14ac:dyDescent="0.15">
      <c r="A1558" s="1" t="s">
        <v>934</v>
      </c>
      <c r="B1558" s="1" t="s">
        <v>1841</v>
      </c>
      <c r="D1558" s="1" t="s">
        <v>1842</v>
      </c>
      <c r="E1558" s="1" t="s">
        <v>834</v>
      </c>
      <c r="F1558" s="3">
        <v>0</v>
      </c>
      <c r="I1558" s="24" t="s">
        <v>2965</v>
      </c>
      <c r="J1558" s="24" t="s">
        <v>2920</v>
      </c>
      <c r="K1558" s="3">
        <v>24</v>
      </c>
      <c r="L1558" s="3" t="s">
        <v>6935</v>
      </c>
      <c r="M1558" s="3" t="str">
        <f>HYPERLINK("http://ictvonline.org/taxonomyHistory.asp?taxnode_id=20151999","ICTVonline=20151999")</f>
        <v>ICTVonline=20151999</v>
      </c>
    </row>
    <row r="1559" spans="1:13" x14ac:dyDescent="0.15">
      <c r="A1559" s="1" t="s">
        <v>934</v>
      </c>
      <c r="B1559" s="1" t="s">
        <v>1841</v>
      </c>
      <c r="D1559" s="1" t="s">
        <v>1842</v>
      </c>
      <c r="E1559" s="1" t="s">
        <v>1205</v>
      </c>
      <c r="F1559" s="3">
        <v>0</v>
      </c>
      <c r="I1559" s="24" t="s">
        <v>2965</v>
      </c>
      <c r="J1559" s="24" t="s">
        <v>2920</v>
      </c>
      <c r="K1559" s="3">
        <v>24</v>
      </c>
      <c r="L1559" s="3" t="s">
        <v>6935</v>
      </c>
      <c r="M1559" s="3" t="str">
        <f>HYPERLINK("http://ictvonline.org/taxonomyHistory.asp?taxnode_id=20152000","ICTVonline=20152000")</f>
        <v>ICTVonline=20152000</v>
      </c>
    </row>
    <row r="1560" spans="1:13" x14ac:dyDescent="0.15">
      <c r="A1560" s="1" t="s">
        <v>934</v>
      </c>
      <c r="B1560" s="1" t="s">
        <v>1841</v>
      </c>
      <c r="D1560" s="1" t="s">
        <v>1206</v>
      </c>
      <c r="E1560" s="1" t="s">
        <v>1207</v>
      </c>
      <c r="F1560" s="3">
        <v>0</v>
      </c>
      <c r="I1560" s="24" t="s">
        <v>2965</v>
      </c>
      <c r="J1560" s="24" t="s">
        <v>2920</v>
      </c>
      <c r="K1560" s="3">
        <v>24</v>
      </c>
      <c r="L1560" s="3" t="s">
        <v>6940</v>
      </c>
      <c r="M1560" s="3" t="str">
        <f>HYPERLINK("http://ictvonline.org/taxonomyHistory.asp?taxnode_id=20152005","ICTVonline=20152005")</f>
        <v>ICTVonline=20152005</v>
      </c>
    </row>
    <row r="1561" spans="1:13" x14ac:dyDescent="0.15">
      <c r="A1561" s="1" t="s">
        <v>934</v>
      </c>
      <c r="B1561" s="1" t="s">
        <v>1841</v>
      </c>
      <c r="D1561" s="1" t="s">
        <v>1206</v>
      </c>
      <c r="E1561" s="1" t="s">
        <v>5085</v>
      </c>
      <c r="F1561" s="3">
        <v>0</v>
      </c>
      <c r="G1561" s="24" t="s">
        <v>7510</v>
      </c>
      <c r="H1561" s="24" t="s">
        <v>5086</v>
      </c>
      <c r="I1561" s="24" t="s">
        <v>2965</v>
      </c>
      <c r="J1561" s="24" t="s">
        <v>2919</v>
      </c>
      <c r="K1561" s="3">
        <v>30</v>
      </c>
      <c r="L1561" s="3" t="s">
        <v>6941</v>
      </c>
      <c r="M1561" s="3" t="str">
        <f>HYPERLINK("http://ictvonline.org/taxonomyHistory.asp?taxnode_id=20152021","ICTVonline=20152021")</f>
        <v>ICTVonline=20152021</v>
      </c>
    </row>
    <row r="1562" spans="1:13" x14ac:dyDescent="0.15">
      <c r="A1562" s="1" t="s">
        <v>934</v>
      </c>
      <c r="B1562" s="1" t="s">
        <v>1841</v>
      </c>
      <c r="D1562" s="1" t="s">
        <v>1206</v>
      </c>
      <c r="E1562" s="1" t="s">
        <v>1208</v>
      </c>
      <c r="F1562" s="3">
        <v>0</v>
      </c>
      <c r="I1562" s="24" t="s">
        <v>2965</v>
      </c>
      <c r="J1562" s="24" t="s">
        <v>2920</v>
      </c>
      <c r="K1562" s="3">
        <v>24</v>
      </c>
      <c r="L1562" s="3" t="s">
        <v>6940</v>
      </c>
      <c r="M1562" s="3" t="str">
        <f>HYPERLINK("http://ictvonline.org/taxonomyHistory.asp?taxnode_id=20152006","ICTVonline=20152006")</f>
        <v>ICTVonline=20152006</v>
      </c>
    </row>
    <row r="1563" spans="1:13" x14ac:dyDescent="0.15">
      <c r="A1563" s="1" t="s">
        <v>934</v>
      </c>
      <c r="B1563" s="1" t="s">
        <v>1841</v>
      </c>
      <c r="D1563" s="1" t="s">
        <v>1206</v>
      </c>
      <c r="E1563" s="1" t="s">
        <v>1209</v>
      </c>
      <c r="F1563" s="3">
        <v>0</v>
      </c>
      <c r="I1563" s="24" t="s">
        <v>2965</v>
      </c>
      <c r="J1563" s="24" t="s">
        <v>2920</v>
      </c>
      <c r="K1563" s="3">
        <v>24</v>
      </c>
      <c r="L1563" s="3" t="s">
        <v>6940</v>
      </c>
      <c r="M1563" s="3" t="str">
        <f>HYPERLINK("http://ictvonline.org/taxonomyHistory.asp?taxnode_id=20152007","ICTVonline=20152007")</f>
        <v>ICTVonline=20152007</v>
      </c>
    </row>
    <row r="1564" spans="1:13" x14ac:dyDescent="0.15">
      <c r="A1564" s="1" t="s">
        <v>934</v>
      </c>
      <c r="B1564" s="1" t="s">
        <v>1841</v>
      </c>
      <c r="D1564" s="1" t="s">
        <v>1206</v>
      </c>
      <c r="E1564" s="1" t="s">
        <v>729</v>
      </c>
      <c r="F1564" s="3">
        <v>0</v>
      </c>
      <c r="I1564" s="24" t="s">
        <v>2965</v>
      </c>
      <c r="J1564" s="24" t="s">
        <v>2920</v>
      </c>
      <c r="K1564" s="3">
        <v>24</v>
      </c>
      <c r="L1564" s="3" t="s">
        <v>6940</v>
      </c>
      <c r="M1564" s="3" t="str">
        <f>HYPERLINK("http://ictvonline.org/taxonomyHistory.asp?taxnode_id=20152008","ICTVonline=20152008")</f>
        <v>ICTVonline=20152008</v>
      </c>
    </row>
    <row r="1565" spans="1:13" x14ac:dyDescent="0.15">
      <c r="A1565" s="1" t="s">
        <v>934</v>
      </c>
      <c r="B1565" s="1" t="s">
        <v>1841</v>
      </c>
      <c r="D1565" s="1" t="s">
        <v>1206</v>
      </c>
      <c r="E1565" s="1" t="s">
        <v>730</v>
      </c>
      <c r="F1565" s="3">
        <v>1</v>
      </c>
      <c r="I1565" s="24" t="s">
        <v>2965</v>
      </c>
      <c r="J1565" s="24" t="s">
        <v>2920</v>
      </c>
      <c r="K1565" s="3">
        <v>24</v>
      </c>
      <c r="L1565" s="3" t="s">
        <v>6940</v>
      </c>
      <c r="M1565" s="3" t="str">
        <f>HYPERLINK("http://ictvonline.org/taxonomyHistory.asp?taxnode_id=20152009","ICTVonline=20152009")</f>
        <v>ICTVonline=20152009</v>
      </c>
    </row>
    <row r="1566" spans="1:13" x14ac:dyDescent="0.15">
      <c r="A1566" s="1" t="s">
        <v>934</v>
      </c>
      <c r="B1566" s="1" t="s">
        <v>1841</v>
      </c>
      <c r="D1566" s="1" t="s">
        <v>1206</v>
      </c>
      <c r="E1566" s="1" t="s">
        <v>5087</v>
      </c>
      <c r="F1566" s="3">
        <v>0</v>
      </c>
      <c r="G1566" s="24" t="s">
        <v>7511</v>
      </c>
      <c r="H1566" s="24" t="s">
        <v>5088</v>
      </c>
      <c r="I1566" s="24" t="s">
        <v>2965</v>
      </c>
      <c r="J1566" s="24" t="s">
        <v>2919</v>
      </c>
      <c r="K1566" s="3">
        <v>30</v>
      </c>
      <c r="L1566" s="3" t="s">
        <v>6942</v>
      </c>
      <c r="M1566" s="3" t="str">
        <f>HYPERLINK("http://ictvonline.org/taxonomyHistory.asp?taxnode_id=20152020","ICTVonline=20152020")</f>
        <v>ICTVonline=20152020</v>
      </c>
    </row>
    <row r="1567" spans="1:13" x14ac:dyDescent="0.15">
      <c r="A1567" s="1" t="s">
        <v>934</v>
      </c>
      <c r="B1567" s="1" t="s">
        <v>1841</v>
      </c>
      <c r="D1567" s="1" t="s">
        <v>1206</v>
      </c>
      <c r="E1567" s="1" t="s">
        <v>728</v>
      </c>
      <c r="F1567" s="3">
        <v>0</v>
      </c>
      <c r="I1567" s="24" t="s">
        <v>2965</v>
      </c>
      <c r="J1567" s="24" t="s">
        <v>2920</v>
      </c>
      <c r="K1567" s="3">
        <v>24</v>
      </c>
      <c r="L1567" s="3" t="s">
        <v>6940</v>
      </c>
      <c r="M1567" s="3" t="str">
        <f>HYPERLINK("http://ictvonline.org/taxonomyHistory.asp?taxnode_id=20152010","ICTVonline=20152010")</f>
        <v>ICTVonline=20152010</v>
      </c>
    </row>
    <row r="1568" spans="1:13" x14ac:dyDescent="0.15">
      <c r="A1568" s="1" t="s">
        <v>934</v>
      </c>
      <c r="B1568" s="1" t="s">
        <v>1841</v>
      </c>
      <c r="D1568" s="1" t="s">
        <v>1206</v>
      </c>
      <c r="E1568" s="1" t="s">
        <v>732</v>
      </c>
      <c r="F1568" s="3">
        <v>0</v>
      </c>
      <c r="I1568" s="24" t="s">
        <v>2965</v>
      </c>
      <c r="J1568" s="24" t="s">
        <v>2920</v>
      </c>
      <c r="K1568" s="3">
        <v>24</v>
      </c>
      <c r="L1568" s="3" t="s">
        <v>6940</v>
      </c>
      <c r="M1568" s="3" t="str">
        <f>HYPERLINK("http://ictvonline.org/taxonomyHistory.asp?taxnode_id=20152011","ICTVonline=20152011")</f>
        <v>ICTVonline=20152011</v>
      </c>
    </row>
    <row r="1569" spans="1:13" x14ac:dyDescent="0.15">
      <c r="A1569" s="1" t="s">
        <v>934</v>
      </c>
      <c r="B1569" s="1" t="s">
        <v>1841</v>
      </c>
      <c r="D1569" s="1" t="s">
        <v>1206</v>
      </c>
      <c r="E1569" s="1" t="s">
        <v>1872</v>
      </c>
      <c r="F1569" s="3">
        <v>0</v>
      </c>
      <c r="I1569" s="24" t="s">
        <v>2965</v>
      </c>
      <c r="J1569" s="24" t="s">
        <v>2920</v>
      </c>
      <c r="K1569" s="3">
        <v>24</v>
      </c>
      <c r="L1569" s="3" t="s">
        <v>6940</v>
      </c>
      <c r="M1569" s="3" t="str">
        <f>HYPERLINK("http://ictvonline.org/taxonomyHistory.asp?taxnode_id=20152012","ICTVonline=20152012")</f>
        <v>ICTVonline=20152012</v>
      </c>
    </row>
    <row r="1570" spans="1:13" x14ac:dyDescent="0.15">
      <c r="A1570" s="1" t="s">
        <v>934</v>
      </c>
      <c r="B1570" s="1" t="s">
        <v>1841</v>
      </c>
      <c r="D1570" s="1" t="s">
        <v>1206</v>
      </c>
      <c r="E1570" s="1" t="s">
        <v>1873</v>
      </c>
      <c r="F1570" s="3">
        <v>0</v>
      </c>
      <c r="I1570" s="24" t="s">
        <v>2965</v>
      </c>
      <c r="J1570" s="24" t="s">
        <v>2920</v>
      </c>
      <c r="K1570" s="3">
        <v>24</v>
      </c>
      <c r="L1570" s="3" t="s">
        <v>6940</v>
      </c>
      <c r="M1570" s="3" t="str">
        <f>HYPERLINK("http://ictvonline.org/taxonomyHistory.asp?taxnode_id=20152013","ICTVonline=20152013")</f>
        <v>ICTVonline=20152013</v>
      </c>
    </row>
    <row r="1571" spans="1:13" x14ac:dyDescent="0.15">
      <c r="A1571" s="1" t="s">
        <v>934</v>
      </c>
      <c r="B1571" s="1" t="s">
        <v>1841</v>
      </c>
      <c r="D1571" s="1" t="s">
        <v>1206</v>
      </c>
      <c r="E1571" s="1" t="s">
        <v>643</v>
      </c>
      <c r="F1571" s="3">
        <v>0</v>
      </c>
      <c r="I1571" s="24" t="s">
        <v>2965</v>
      </c>
      <c r="J1571" s="24" t="s">
        <v>2920</v>
      </c>
      <c r="K1571" s="3">
        <v>24</v>
      </c>
      <c r="L1571" s="3" t="s">
        <v>6940</v>
      </c>
      <c r="M1571" s="3" t="str">
        <f>HYPERLINK("http://ictvonline.org/taxonomyHistory.asp?taxnode_id=20152014","ICTVonline=20152014")</f>
        <v>ICTVonline=20152014</v>
      </c>
    </row>
    <row r="1572" spans="1:13" x14ac:dyDescent="0.15">
      <c r="A1572" s="1" t="s">
        <v>934</v>
      </c>
      <c r="B1572" s="1" t="s">
        <v>1841</v>
      </c>
      <c r="D1572" s="1" t="s">
        <v>1206</v>
      </c>
      <c r="E1572" s="1" t="s">
        <v>644</v>
      </c>
      <c r="F1572" s="3">
        <v>0</v>
      </c>
      <c r="I1572" s="24" t="s">
        <v>2965</v>
      </c>
      <c r="J1572" s="24" t="s">
        <v>2920</v>
      </c>
      <c r="K1572" s="3">
        <v>24</v>
      </c>
      <c r="L1572" s="3" t="s">
        <v>6940</v>
      </c>
      <c r="M1572" s="3" t="str">
        <f>HYPERLINK("http://ictvonline.org/taxonomyHistory.asp?taxnode_id=20152015","ICTVonline=20152015")</f>
        <v>ICTVonline=20152015</v>
      </c>
    </row>
    <row r="1573" spans="1:13" x14ac:dyDescent="0.15">
      <c r="A1573" s="1" t="s">
        <v>934</v>
      </c>
      <c r="B1573" s="1" t="s">
        <v>1841</v>
      </c>
      <c r="D1573" s="1" t="s">
        <v>1206</v>
      </c>
      <c r="E1573" s="1" t="s">
        <v>1878</v>
      </c>
      <c r="F1573" s="3">
        <v>0</v>
      </c>
      <c r="I1573" s="24" t="s">
        <v>2965</v>
      </c>
      <c r="J1573" s="24" t="s">
        <v>2920</v>
      </c>
      <c r="K1573" s="3">
        <v>24</v>
      </c>
      <c r="L1573" s="3" t="s">
        <v>6940</v>
      </c>
      <c r="M1573" s="3" t="str">
        <f>HYPERLINK("http://ictvonline.org/taxonomyHistory.asp?taxnode_id=20152016","ICTVonline=20152016")</f>
        <v>ICTVonline=20152016</v>
      </c>
    </row>
    <row r="1574" spans="1:13" x14ac:dyDescent="0.15">
      <c r="A1574" s="1" t="s">
        <v>934</v>
      </c>
      <c r="B1574" s="1" t="s">
        <v>1841</v>
      </c>
      <c r="D1574" s="1" t="s">
        <v>1206</v>
      </c>
      <c r="E1574" s="1" t="s">
        <v>5089</v>
      </c>
      <c r="F1574" s="3">
        <v>0</v>
      </c>
      <c r="G1574" s="24" t="s">
        <v>7512</v>
      </c>
      <c r="H1574" s="24" t="s">
        <v>5090</v>
      </c>
      <c r="I1574" s="24" t="s">
        <v>2965</v>
      </c>
      <c r="J1574" s="24" t="s">
        <v>2919</v>
      </c>
      <c r="K1574" s="3">
        <v>30</v>
      </c>
      <c r="L1574" s="3" t="s">
        <v>6943</v>
      </c>
      <c r="M1574" s="3" t="str">
        <f>HYPERLINK("http://ictvonline.org/taxonomyHistory.asp?taxnode_id=20152019","ICTVonline=20152019")</f>
        <v>ICTVonline=20152019</v>
      </c>
    </row>
    <row r="1575" spans="1:13" x14ac:dyDescent="0.15">
      <c r="A1575" s="1" t="s">
        <v>934</v>
      </c>
      <c r="B1575" s="1" t="s">
        <v>1841</v>
      </c>
      <c r="D1575" s="1" t="s">
        <v>1206</v>
      </c>
      <c r="E1575" s="1" t="s">
        <v>1879</v>
      </c>
      <c r="F1575" s="3">
        <v>0</v>
      </c>
      <c r="I1575" s="24" t="s">
        <v>2965</v>
      </c>
      <c r="J1575" s="24" t="s">
        <v>2920</v>
      </c>
      <c r="K1575" s="3">
        <v>24</v>
      </c>
      <c r="L1575" s="3" t="s">
        <v>6940</v>
      </c>
      <c r="M1575" s="3" t="str">
        <f>HYPERLINK("http://ictvonline.org/taxonomyHistory.asp?taxnode_id=20152017","ICTVonline=20152017")</f>
        <v>ICTVonline=20152017</v>
      </c>
    </row>
    <row r="1576" spans="1:13" x14ac:dyDescent="0.15">
      <c r="A1576" s="1" t="s">
        <v>934</v>
      </c>
      <c r="B1576" s="1" t="s">
        <v>1841</v>
      </c>
      <c r="D1576" s="1" t="s">
        <v>1206</v>
      </c>
      <c r="E1576" s="1" t="s">
        <v>1880</v>
      </c>
      <c r="F1576" s="3">
        <v>0</v>
      </c>
      <c r="I1576" s="24" t="s">
        <v>2965</v>
      </c>
      <c r="J1576" s="24" t="s">
        <v>2920</v>
      </c>
      <c r="K1576" s="3">
        <v>24</v>
      </c>
      <c r="L1576" s="3" t="s">
        <v>6940</v>
      </c>
      <c r="M1576" s="3" t="str">
        <f>HYPERLINK("http://ictvonline.org/taxonomyHistory.asp?taxnode_id=20152018","ICTVonline=20152018")</f>
        <v>ICTVonline=20152018</v>
      </c>
    </row>
    <row r="1577" spans="1:13" x14ac:dyDescent="0.15">
      <c r="A1577" s="1" t="s">
        <v>934</v>
      </c>
      <c r="B1577" s="1" t="s">
        <v>1841</v>
      </c>
      <c r="D1577" s="1" t="s">
        <v>1881</v>
      </c>
      <c r="E1577" s="1" t="s">
        <v>648</v>
      </c>
      <c r="F1577" s="3">
        <v>1</v>
      </c>
      <c r="I1577" s="24" t="s">
        <v>2965</v>
      </c>
      <c r="J1577" s="24" t="s">
        <v>2922</v>
      </c>
      <c r="K1577" s="3">
        <v>24</v>
      </c>
      <c r="L1577" s="3" t="s">
        <v>6944</v>
      </c>
      <c r="M1577" s="3" t="str">
        <f>HYPERLINK("http://ictvonline.org/taxonomyHistory.asp?taxnode_id=20152023","ICTVonline=20152023")</f>
        <v>ICTVonline=20152023</v>
      </c>
    </row>
    <row r="1578" spans="1:13" x14ac:dyDescent="0.15">
      <c r="A1578" s="1" t="s">
        <v>934</v>
      </c>
      <c r="B1578" s="1" t="s">
        <v>1841</v>
      </c>
      <c r="D1578" s="1" t="s">
        <v>649</v>
      </c>
      <c r="E1578" s="1" t="s">
        <v>650</v>
      </c>
      <c r="F1578" s="3">
        <v>1</v>
      </c>
      <c r="I1578" s="24" t="s">
        <v>2965</v>
      </c>
      <c r="J1578" s="24" t="s">
        <v>2934</v>
      </c>
      <c r="K1578" s="3">
        <v>24</v>
      </c>
      <c r="L1578" s="3" t="s">
        <v>6945</v>
      </c>
      <c r="M1578" s="3" t="str">
        <f>HYPERLINK("http://ictvonline.org/taxonomyHistory.asp?taxnode_id=20152025","ICTVonline=20152025")</f>
        <v>ICTVonline=20152025</v>
      </c>
    </row>
    <row r="1579" spans="1:13" x14ac:dyDescent="0.15">
      <c r="A1579" s="1" t="s">
        <v>934</v>
      </c>
      <c r="B1579" s="1" t="s">
        <v>1841</v>
      </c>
      <c r="D1579" s="1" t="s">
        <v>649</v>
      </c>
      <c r="E1579" s="1" t="s">
        <v>1886</v>
      </c>
      <c r="F1579" s="3">
        <v>0</v>
      </c>
      <c r="I1579" s="24" t="s">
        <v>2965</v>
      </c>
      <c r="J1579" s="24" t="s">
        <v>2920</v>
      </c>
      <c r="K1579" s="3">
        <v>24</v>
      </c>
      <c r="L1579" s="3" t="s">
        <v>6945</v>
      </c>
      <c r="M1579" s="3" t="str">
        <f>HYPERLINK("http://ictvonline.org/taxonomyHistory.asp?taxnode_id=20152026","ICTVonline=20152026")</f>
        <v>ICTVonline=20152026</v>
      </c>
    </row>
    <row r="1580" spans="1:13" x14ac:dyDescent="0.15">
      <c r="A1580" s="1" t="s">
        <v>934</v>
      </c>
      <c r="B1580" s="1" t="s">
        <v>1887</v>
      </c>
      <c r="D1580" s="1" t="s">
        <v>1888</v>
      </c>
      <c r="E1580" s="1" t="s">
        <v>1889</v>
      </c>
      <c r="F1580" s="3">
        <v>1</v>
      </c>
      <c r="G1580" s="24" t="s">
        <v>5091</v>
      </c>
      <c r="H1580" s="24" t="s">
        <v>5092</v>
      </c>
      <c r="I1580" s="24" t="s">
        <v>3265</v>
      </c>
      <c r="J1580" s="24" t="s">
        <v>2921</v>
      </c>
      <c r="K1580" s="3">
        <v>13</v>
      </c>
      <c r="L1580" s="3" t="s">
        <v>2932</v>
      </c>
      <c r="M1580" s="3" t="str">
        <f>HYPERLINK("http://ictvonline.org/taxonomyHistory.asp?taxnode_id=20152030","ICTVonline=20152030")</f>
        <v>ICTVonline=20152030</v>
      </c>
    </row>
    <row r="1581" spans="1:13" x14ac:dyDescent="0.15">
      <c r="A1581" s="1" t="s">
        <v>934</v>
      </c>
      <c r="B1581" s="1" t="s">
        <v>2533</v>
      </c>
      <c r="D1581" s="1" t="s">
        <v>1302</v>
      </c>
      <c r="E1581" s="1" t="s">
        <v>1303</v>
      </c>
      <c r="F1581" s="3">
        <v>1</v>
      </c>
      <c r="G1581" s="24" t="s">
        <v>7824</v>
      </c>
      <c r="H1581" s="24" t="s">
        <v>5093</v>
      </c>
      <c r="I1581" s="24" t="s">
        <v>3265</v>
      </c>
      <c r="J1581" s="24" t="s">
        <v>2920</v>
      </c>
      <c r="K1581" s="3">
        <v>28</v>
      </c>
      <c r="L1581" s="3" t="s">
        <v>6946</v>
      </c>
      <c r="M1581" s="3" t="str">
        <f>HYPERLINK("http://ictvonline.org/taxonomyHistory.asp?taxnode_id=20152034","ICTVonline=20152034")</f>
        <v>ICTVonline=20152034</v>
      </c>
    </row>
    <row r="1582" spans="1:13" x14ac:dyDescent="0.15">
      <c r="A1582" s="1" t="s">
        <v>934</v>
      </c>
      <c r="B1582" s="1" t="s">
        <v>2533</v>
      </c>
      <c r="D1582" s="1" t="s">
        <v>1302</v>
      </c>
      <c r="E1582" s="1" t="s">
        <v>1304</v>
      </c>
      <c r="F1582" s="3">
        <v>0</v>
      </c>
      <c r="G1582" s="24" t="s">
        <v>7825</v>
      </c>
      <c r="H1582" s="24" t="s">
        <v>5094</v>
      </c>
      <c r="I1582" s="24" t="s">
        <v>3265</v>
      </c>
      <c r="J1582" s="24" t="s">
        <v>2920</v>
      </c>
      <c r="K1582" s="3">
        <v>28</v>
      </c>
      <c r="L1582" s="3" t="s">
        <v>6946</v>
      </c>
      <c r="M1582" s="3" t="str">
        <f>HYPERLINK("http://ictvonline.org/taxonomyHistory.asp?taxnode_id=20152035","ICTVonline=20152035")</f>
        <v>ICTVonline=20152035</v>
      </c>
    </row>
    <row r="1583" spans="1:13" x14ac:dyDescent="0.15">
      <c r="A1583" s="1" t="s">
        <v>934</v>
      </c>
      <c r="B1583" s="1" t="s">
        <v>2533</v>
      </c>
      <c r="D1583" s="1" t="s">
        <v>1302</v>
      </c>
      <c r="E1583" s="1" t="s">
        <v>2534</v>
      </c>
      <c r="F1583" s="3">
        <v>0</v>
      </c>
      <c r="G1583" s="24" t="s">
        <v>7826</v>
      </c>
      <c r="H1583" s="24" t="s">
        <v>5095</v>
      </c>
      <c r="I1583" s="24" t="s">
        <v>3265</v>
      </c>
      <c r="J1583" s="24" t="s">
        <v>2919</v>
      </c>
      <c r="K1583" s="3">
        <v>28</v>
      </c>
      <c r="L1583" s="3" t="s">
        <v>6946</v>
      </c>
      <c r="M1583" s="3" t="str">
        <f>HYPERLINK("http://ictvonline.org/taxonomyHistory.asp?taxnode_id=20152036","ICTVonline=20152036")</f>
        <v>ICTVonline=20152036</v>
      </c>
    </row>
    <row r="1584" spans="1:13" x14ac:dyDescent="0.15">
      <c r="A1584" s="1" t="s">
        <v>934</v>
      </c>
      <c r="B1584" s="1" t="s">
        <v>2533</v>
      </c>
      <c r="D1584" s="1" t="s">
        <v>1302</v>
      </c>
      <c r="E1584" s="1" t="s">
        <v>2434</v>
      </c>
      <c r="F1584" s="3">
        <v>0</v>
      </c>
      <c r="G1584" s="24" t="s">
        <v>7827</v>
      </c>
      <c r="H1584" s="24" t="s">
        <v>5096</v>
      </c>
      <c r="I1584" s="24" t="s">
        <v>3265</v>
      </c>
      <c r="J1584" s="24" t="s">
        <v>2920</v>
      </c>
      <c r="K1584" s="3">
        <v>28</v>
      </c>
      <c r="L1584" s="3" t="s">
        <v>6946</v>
      </c>
      <c r="M1584" s="3" t="str">
        <f>HYPERLINK("http://ictvonline.org/taxonomyHistory.asp?taxnode_id=20152037","ICTVonline=20152037")</f>
        <v>ICTVonline=20152037</v>
      </c>
    </row>
    <row r="1585" spans="1:13" x14ac:dyDescent="0.15">
      <c r="A1585" s="1" t="s">
        <v>934</v>
      </c>
      <c r="B1585" s="1" t="s">
        <v>667</v>
      </c>
      <c r="D1585" s="1" t="s">
        <v>668</v>
      </c>
      <c r="E1585" s="1" t="s">
        <v>669</v>
      </c>
      <c r="F1585" s="3">
        <v>1</v>
      </c>
      <c r="G1585" s="24" t="s">
        <v>5097</v>
      </c>
      <c r="I1585" s="24" t="s">
        <v>2965</v>
      </c>
      <c r="J1585" s="24" t="s">
        <v>2921</v>
      </c>
      <c r="K1585" s="3">
        <v>25</v>
      </c>
      <c r="L1585" s="3" t="s">
        <v>6947</v>
      </c>
      <c r="M1585" s="3" t="str">
        <f>HYPERLINK("http://ictvonline.org/taxonomyHistory.asp?taxnode_id=20152041","ICTVonline=20152041")</f>
        <v>ICTVonline=20152041</v>
      </c>
    </row>
    <row r="1586" spans="1:13" x14ac:dyDescent="0.15">
      <c r="A1586" s="1" t="s">
        <v>934</v>
      </c>
      <c r="B1586" s="1" t="s">
        <v>67</v>
      </c>
      <c r="D1586" s="1" t="s">
        <v>68</v>
      </c>
      <c r="E1586" s="1" t="s">
        <v>69</v>
      </c>
      <c r="F1586" s="3">
        <v>1</v>
      </c>
      <c r="I1586" s="24" t="s">
        <v>3274</v>
      </c>
      <c r="J1586" s="24" t="s">
        <v>2921</v>
      </c>
      <c r="K1586" s="3">
        <v>26</v>
      </c>
      <c r="L1586" s="3" t="s">
        <v>6948</v>
      </c>
      <c r="M1586" s="3" t="str">
        <f>HYPERLINK("http://ictvonline.org/taxonomyHistory.asp?taxnode_id=20152045","ICTVonline=20152045")</f>
        <v>ICTVonline=20152045</v>
      </c>
    </row>
    <row r="1587" spans="1:13" x14ac:dyDescent="0.15">
      <c r="A1587" s="1" t="s">
        <v>934</v>
      </c>
      <c r="B1587" s="1" t="s">
        <v>1890</v>
      </c>
      <c r="D1587" s="1" t="s">
        <v>1891</v>
      </c>
      <c r="E1587" s="1" t="s">
        <v>1892</v>
      </c>
      <c r="F1587" s="3">
        <v>1</v>
      </c>
      <c r="I1587" s="24" t="s">
        <v>3286</v>
      </c>
      <c r="J1587" s="24" t="s">
        <v>2920</v>
      </c>
      <c r="K1587" s="3">
        <v>13</v>
      </c>
      <c r="L1587" s="3" t="s">
        <v>2932</v>
      </c>
      <c r="M1587" s="3" t="str">
        <f>HYPERLINK("http://ictvonline.org/taxonomyHistory.asp?taxnode_id=20152049","ICTVonline=20152049")</f>
        <v>ICTVonline=20152049</v>
      </c>
    </row>
    <row r="1588" spans="1:13" x14ac:dyDescent="0.15">
      <c r="A1588" s="1" t="s">
        <v>934</v>
      </c>
      <c r="B1588" s="1" t="s">
        <v>1890</v>
      </c>
      <c r="D1588" s="1" t="s">
        <v>1891</v>
      </c>
      <c r="E1588" s="1" t="s">
        <v>1893</v>
      </c>
      <c r="F1588" s="3">
        <v>0</v>
      </c>
      <c r="I1588" s="24" t="s">
        <v>3286</v>
      </c>
      <c r="J1588" s="24" t="s">
        <v>2919</v>
      </c>
      <c r="K1588" s="3">
        <v>23</v>
      </c>
      <c r="L1588" s="3" t="s">
        <v>2933</v>
      </c>
      <c r="M1588" s="3" t="str">
        <f>HYPERLINK("http://ictvonline.org/taxonomyHistory.asp?taxnode_id=20152050","ICTVonline=20152050")</f>
        <v>ICTVonline=20152050</v>
      </c>
    </row>
    <row r="1589" spans="1:13" x14ac:dyDescent="0.15">
      <c r="A1589" s="1" t="s">
        <v>934</v>
      </c>
      <c r="B1589" s="1" t="s">
        <v>1890</v>
      </c>
      <c r="D1589" s="1" t="s">
        <v>1891</v>
      </c>
      <c r="E1589" s="1" t="s">
        <v>1894</v>
      </c>
      <c r="F1589" s="3">
        <v>0</v>
      </c>
      <c r="I1589" s="24" t="s">
        <v>3286</v>
      </c>
      <c r="J1589" s="24" t="s">
        <v>2919</v>
      </c>
      <c r="K1589" s="3">
        <v>18</v>
      </c>
      <c r="L1589" s="3" t="s">
        <v>2929</v>
      </c>
      <c r="M1589" s="3" t="str">
        <f>HYPERLINK("http://ictvonline.org/taxonomyHistory.asp?taxnode_id=20152051","ICTVonline=20152051")</f>
        <v>ICTVonline=20152051</v>
      </c>
    </row>
    <row r="1590" spans="1:13" x14ac:dyDescent="0.15">
      <c r="A1590" s="1" t="s">
        <v>934</v>
      </c>
      <c r="B1590" s="1" t="s">
        <v>1890</v>
      </c>
      <c r="D1590" s="1" t="s">
        <v>1895</v>
      </c>
      <c r="E1590" s="1" t="s">
        <v>1904</v>
      </c>
      <c r="F1590" s="3">
        <v>1</v>
      </c>
      <c r="I1590" s="24" t="s">
        <v>3286</v>
      </c>
      <c r="J1590" s="24" t="s">
        <v>2922</v>
      </c>
      <c r="K1590" s="3">
        <v>13</v>
      </c>
      <c r="L1590" s="3" t="s">
        <v>2932</v>
      </c>
      <c r="M1590" s="3" t="str">
        <f>HYPERLINK("http://ictvonline.org/taxonomyHistory.asp?taxnode_id=20152053","ICTVonline=20152053")</f>
        <v>ICTVonline=20152053</v>
      </c>
    </row>
    <row r="1591" spans="1:13" x14ac:dyDescent="0.15">
      <c r="A1591" s="1" t="s">
        <v>934</v>
      </c>
      <c r="B1591" s="1" t="s">
        <v>1890</v>
      </c>
      <c r="D1591" s="1" t="s">
        <v>1905</v>
      </c>
      <c r="E1591" s="1" t="s">
        <v>1906</v>
      </c>
      <c r="F1591" s="3">
        <v>1</v>
      </c>
      <c r="I1591" s="24" t="s">
        <v>3286</v>
      </c>
      <c r="J1591" s="24" t="s">
        <v>2921</v>
      </c>
      <c r="K1591" s="3">
        <v>24</v>
      </c>
      <c r="L1591" s="3" t="s">
        <v>6949</v>
      </c>
      <c r="M1591" s="3" t="str">
        <f>HYPERLINK("http://ictvonline.org/taxonomyHistory.asp?taxnode_id=20152055","ICTVonline=20152055")</f>
        <v>ICTVonline=20152055</v>
      </c>
    </row>
    <row r="1592" spans="1:13" x14ac:dyDescent="0.15">
      <c r="A1592" s="1" t="s">
        <v>934</v>
      </c>
      <c r="B1592" s="1" t="s">
        <v>1890</v>
      </c>
      <c r="D1592" s="1" t="s">
        <v>1907</v>
      </c>
      <c r="E1592" s="1" t="s">
        <v>1908</v>
      </c>
      <c r="F1592" s="3">
        <v>1</v>
      </c>
      <c r="I1592" s="24" t="s">
        <v>3286</v>
      </c>
      <c r="J1592" s="24" t="s">
        <v>2922</v>
      </c>
      <c r="K1592" s="3">
        <v>13</v>
      </c>
      <c r="L1592" s="3" t="s">
        <v>2932</v>
      </c>
      <c r="M1592" s="3" t="str">
        <f>HYPERLINK("http://ictvonline.org/taxonomyHistory.asp?taxnode_id=20152057","ICTVonline=20152057")</f>
        <v>ICTVonline=20152057</v>
      </c>
    </row>
    <row r="1593" spans="1:13" x14ac:dyDescent="0.15">
      <c r="A1593" s="1" t="s">
        <v>934</v>
      </c>
      <c r="B1593" s="1" t="s">
        <v>1909</v>
      </c>
      <c r="D1593" s="1" t="s">
        <v>767</v>
      </c>
      <c r="E1593" s="1" t="s">
        <v>768</v>
      </c>
      <c r="F1593" s="3">
        <v>1</v>
      </c>
      <c r="G1593" s="24" t="s">
        <v>7828</v>
      </c>
      <c r="H1593" s="24" t="s">
        <v>6714</v>
      </c>
      <c r="I1593" s="24" t="s">
        <v>3265</v>
      </c>
      <c r="J1593" s="24" t="s">
        <v>2920</v>
      </c>
      <c r="K1593" s="3">
        <v>13</v>
      </c>
      <c r="L1593" s="3" t="s">
        <v>2932</v>
      </c>
      <c r="M1593" s="3" t="str">
        <f>HYPERLINK("http://ictvonline.org/taxonomyHistory.asp?taxnode_id=20152061","ICTVonline=20152061")</f>
        <v>ICTVonline=20152061</v>
      </c>
    </row>
    <row r="1594" spans="1:13" x14ac:dyDescent="0.15">
      <c r="A1594" s="1" t="s">
        <v>934</v>
      </c>
      <c r="B1594" s="1" t="s">
        <v>1909</v>
      </c>
      <c r="D1594" s="1" t="s">
        <v>769</v>
      </c>
      <c r="E1594" s="1" t="s">
        <v>2535</v>
      </c>
      <c r="F1594" s="3">
        <v>0</v>
      </c>
      <c r="G1594" s="24" t="s">
        <v>7829</v>
      </c>
      <c r="H1594" s="24" t="s">
        <v>4797</v>
      </c>
      <c r="I1594" s="24" t="s">
        <v>3265</v>
      </c>
      <c r="J1594" s="24" t="s">
        <v>2919</v>
      </c>
      <c r="K1594" s="3">
        <v>28</v>
      </c>
      <c r="L1594" s="3" t="s">
        <v>6950</v>
      </c>
      <c r="M1594" s="3" t="str">
        <f>HYPERLINK("http://ictvonline.org/taxonomyHistory.asp?taxnode_id=20152063","ICTVonline=20152063")</f>
        <v>ICTVonline=20152063</v>
      </c>
    </row>
    <row r="1595" spans="1:13" x14ac:dyDescent="0.15">
      <c r="A1595" s="1" t="s">
        <v>934</v>
      </c>
      <c r="B1595" s="1" t="s">
        <v>1909</v>
      </c>
      <c r="D1595" s="1" t="s">
        <v>769</v>
      </c>
      <c r="E1595" s="1" t="s">
        <v>770</v>
      </c>
      <c r="F1595" s="3">
        <v>1</v>
      </c>
      <c r="G1595" s="24" t="s">
        <v>7830</v>
      </c>
      <c r="H1595" s="24" t="s">
        <v>5098</v>
      </c>
      <c r="I1595" s="24" t="s">
        <v>3265</v>
      </c>
      <c r="J1595" s="24" t="s">
        <v>2921</v>
      </c>
      <c r="K1595" s="3">
        <v>24</v>
      </c>
      <c r="L1595" s="3" t="s">
        <v>6951</v>
      </c>
      <c r="M1595" s="3" t="str">
        <f>HYPERLINK("http://ictvonline.org/taxonomyHistory.asp?taxnode_id=20152064","ICTVonline=20152064")</f>
        <v>ICTVonline=20152064</v>
      </c>
    </row>
    <row r="1596" spans="1:13" x14ac:dyDescent="0.15">
      <c r="A1596" s="1" t="s">
        <v>934</v>
      </c>
      <c r="B1596" s="1" t="s">
        <v>1909</v>
      </c>
      <c r="D1596" s="1" t="s">
        <v>771</v>
      </c>
      <c r="E1596" s="1" t="s">
        <v>772</v>
      </c>
      <c r="F1596" s="3">
        <v>0</v>
      </c>
      <c r="G1596" s="24" t="s">
        <v>7831</v>
      </c>
      <c r="H1596" s="24" t="s">
        <v>5099</v>
      </c>
      <c r="I1596" s="24" t="s">
        <v>3265</v>
      </c>
      <c r="J1596" s="24" t="s">
        <v>2920</v>
      </c>
      <c r="K1596" s="3">
        <v>13</v>
      </c>
      <c r="L1596" s="3" t="s">
        <v>2932</v>
      </c>
      <c r="M1596" s="3" t="str">
        <f>HYPERLINK("http://ictvonline.org/taxonomyHistory.asp?taxnode_id=20152066","ICTVonline=20152066")</f>
        <v>ICTVonline=20152066</v>
      </c>
    </row>
    <row r="1597" spans="1:13" x14ac:dyDescent="0.15">
      <c r="A1597" s="1" t="s">
        <v>934</v>
      </c>
      <c r="B1597" s="1" t="s">
        <v>1909</v>
      </c>
      <c r="D1597" s="1" t="s">
        <v>771</v>
      </c>
      <c r="E1597" s="1" t="s">
        <v>773</v>
      </c>
      <c r="F1597" s="3">
        <v>1</v>
      </c>
      <c r="G1597" s="24" t="s">
        <v>7832</v>
      </c>
      <c r="H1597" s="24" t="s">
        <v>5100</v>
      </c>
      <c r="I1597" s="24" t="s">
        <v>3265</v>
      </c>
      <c r="J1597" s="24" t="s">
        <v>2920</v>
      </c>
      <c r="K1597" s="3">
        <v>13</v>
      </c>
      <c r="L1597" s="3" t="s">
        <v>2932</v>
      </c>
      <c r="M1597" s="3" t="str">
        <f>HYPERLINK("http://ictvonline.org/taxonomyHistory.asp?taxnode_id=20152067","ICTVonline=20152067")</f>
        <v>ICTVonline=20152067</v>
      </c>
    </row>
    <row r="1598" spans="1:13" x14ac:dyDescent="0.15">
      <c r="A1598" s="1" t="s">
        <v>934</v>
      </c>
      <c r="B1598" s="1" t="s">
        <v>1909</v>
      </c>
      <c r="D1598" s="1" t="s">
        <v>771</v>
      </c>
      <c r="E1598" s="1" t="s">
        <v>774</v>
      </c>
      <c r="F1598" s="3">
        <v>0</v>
      </c>
      <c r="G1598" s="24" t="s">
        <v>7833</v>
      </c>
      <c r="H1598" s="24" t="s">
        <v>5101</v>
      </c>
      <c r="I1598" s="24" t="s">
        <v>3265</v>
      </c>
      <c r="J1598" s="24" t="s">
        <v>2920</v>
      </c>
      <c r="K1598" s="3">
        <v>13</v>
      </c>
      <c r="L1598" s="3" t="s">
        <v>2932</v>
      </c>
      <c r="M1598" s="3" t="str">
        <f>HYPERLINK("http://ictvonline.org/taxonomyHistory.asp?taxnode_id=20152068","ICTVonline=20152068")</f>
        <v>ICTVonline=20152068</v>
      </c>
    </row>
    <row r="1599" spans="1:13" x14ac:dyDescent="0.15">
      <c r="A1599" s="1" t="s">
        <v>934</v>
      </c>
      <c r="B1599" s="1" t="s">
        <v>1909</v>
      </c>
      <c r="D1599" s="1" t="s">
        <v>771</v>
      </c>
      <c r="E1599" s="1" t="s">
        <v>1912</v>
      </c>
      <c r="F1599" s="3">
        <v>0</v>
      </c>
      <c r="G1599" s="24" t="s">
        <v>7834</v>
      </c>
      <c r="H1599" s="24" t="s">
        <v>5102</v>
      </c>
      <c r="I1599" s="24" t="s">
        <v>3265</v>
      </c>
      <c r="J1599" s="24" t="s">
        <v>2920</v>
      </c>
      <c r="K1599" s="3">
        <v>13</v>
      </c>
      <c r="L1599" s="3" t="s">
        <v>2932</v>
      </c>
      <c r="M1599" s="3" t="str">
        <f>HYPERLINK("http://ictvonline.org/taxonomyHistory.asp?taxnode_id=20152069","ICTVonline=20152069")</f>
        <v>ICTVonline=20152069</v>
      </c>
    </row>
    <row r="1600" spans="1:13" x14ac:dyDescent="0.15">
      <c r="A1600" s="1" t="s">
        <v>934</v>
      </c>
      <c r="B1600" s="1" t="s">
        <v>1909</v>
      </c>
      <c r="D1600" s="1" t="s">
        <v>771</v>
      </c>
      <c r="E1600" s="1" t="s">
        <v>1913</v>
      </c>
      <c r="F1600" s="3">
        <v>0</v>
      </c>
      <c r="G1600" s="24" t="s">
        <v>7835</v>
      </c>
      <c r="H1600" s="24" t="s">
        <v>5101</v>
      </c>
      <c r="I1600" s="24" t="s">
        <v>3265</v>
      </c>
      <c r="J1600" s="24" t="s">
        <v>2920</v>
      </c>
      <c r="K1600" s="3">
        <v>13</v>
      </c>
      <c r="L1600" s="3" t="s">
        <v>2932</v>
      </c>
      <c r="M1600" s="3" t="str">
        <f>HYPERLINK("http://ictvonline.org/taxonomyHistory.asp?taxnode_id=20152070","ICTVonline=20152070")</f>
        <v>ICTVonline=20152070</v>
      </c>
    </row>
    <row r="1601" spans="1:13" x14ac:dyDescent="0.15">
      <c r="A1601" s="1" t="s">
        <v>934</v>
      </c>
      <c r="B1601" s="1" t="s">
        <v>1909</v>
      </c>
      <c r="D1601" s="1" t="s">
        <v>771</v>
      </c>
      <c r="E1601" s="1" t="s">
        <v>670</v>
      </c>
      <c r="F1601" s="3">
        <v>0</v>
      </c>
      <c r="G1601" s="24" t="s">
        <v>7836</v>
      </c>
      <c r="H1601" s="24" t="s">
        <v>5101</v>
      </c>
      <c r="I1601" s="24" t="s">
        <v>3265</v>
      </c>
      <c r="J1601" s="24" t="s">
        <v>2920</v>
      </c>
      <c r="K1601" s="3">
        <v>13</v>
      </c>
      <c r="L1601" s="3" t="s">
        <v>2932</v>
      </c>
      <c r="M1601" s="3" t="str">
        <f>HYPERLINK("http://ictvonline.org/taxonomyHistory.asp?taxnode_id=20152071","ICTVonline=20152071")</f>
        <v>ICTVonline=20152071</v>
      </c>
    </row>
    <row r="1602" spans="1:13" x14ac:dyDescent="0.15">
      <c r="A1602" s="1" t="s">
        <v>934</v>
      </c>
      <c r="B1602" s="1" t="s">
        <v>1909</v>
      </c>
      <c r="D1602" s="1" t="s">
        <v>671</v>
      </c>
      <c r="E1602" s="1" t="s">
        <v>672</v>
      </c>
      <c r="F1602" s="3">
        <v>1</v>
      </c>
      <c r="G1602" s="24" t="s">
        <v>7837</v>
      </c>
      <c r="H1602" s="24" t="s">
        <v>5103</v>
      </c>
      <c r="I1602" s="24" t="s">
        <v>3265</v>
      </c>
      <c r="J1602" s="24" t="s">
        <v>2920</v>
      </c>
      <c r="K1602" s="3">
        <v>13</v>
      </c>
      <c r="L1602" s="3" t="s">
        <v>2932</v>
      </c>
      <c r="M1602" s="3" t="str">
        <f>HYPERLINK("http://ictvonline.org/taxonomyHistory.asp?taxnode_id=20152073","ICTVonline=20152073")</f>
        <v>ICTVonline=20152073</v>
      </c>
    </row>
    <row r="1603" spans="1:13" x14ac:dyDescent="0.15">
      <c r="A1603" s="1" t="s">
        <v>934</v>
      </c>
      <c r="B1603" s="1" t="s">
        <v>1909</v>
      </c>
      <c r="D1603" s="1" t="s">
        <v>671</v>
      </c>
      <c r="E1603" s="1" t="s">
        <v>70</v>
      </c>
      <c r="F1603" s="3">
        <v>0</v>
      </c>
      <c r="G1603" s="24" t="s">
        <v>7838</v>
      </c>
      <c r="H1603" s="24" t="s">
        <v>5104</v>
      </c>
      <c r="I1603" s="24" t="s">
        <v>3265</v>
      </c>
      <c r="J1603" s="24" t="s">
        <v>2919</v>
      </c>
      <c r="K1603" s="3">
        <v>26</v>
      </c>
      <c r="L1603" s="3" t="s">
        <v>6952</v>
      </c>
      <c r="M1603" s="3" t="str">
        <f>HYPERLINK("http://ictvonline.org/taxonomyHistory.asp?taxnode_id=20152074","ICTVonline=20152074")</f>
        <v>ICTVonline=20152074</v>
      </c>
    </row>
    <row r="1604" spans="1:13" x14ac:dyDescent="0.15">
      <c r="A1604" s="1" t="s">
        <v>934</v>
      </c>
      <c r="B1604" s="1" t="s">
        <v>1909</v>
      </c>
      <c r="D1604" s="1" t="s">
        <v>671</v>
      </c>
      <c r="E1604" s="1" t="s">
        <v>1916</v>
      </c>
      <c r="F1604" s="3">
        <v>0</v>
      </c>
      <c r="G1604" s="24" t="s">
        <v>7839</v>
      </c>
      <c r="H1604" s="24" t="s">
        <v>5105</v>
      </c>
      <c r="I1604" s="24" t="s">
        <v>3265</v>
      </c>
      <c r="J1604" s="24" t="s">
        <v>2920</v>
      </c>
      <c r="K1604" s="3">
        <v>13</v>
      </c>
      <c r="L1604" s="3" t="s">
        <v>2932</v>
      </c>
      <c r="M1604" s="3" t="str">
        <f>HYPERLINK("http://ictvonline.org/taxonomyHistory.asp?taxnode_id=20152075","ICTVonline=20152075")</f>
        <v>ICTVonline=20152075</v>
      </c>
    </row>
    <row r="1605" spans="1:13" x14ac:dyDescent="0.15">
      <c r="A1605" s="1" t="s">
        <v>934</v>
      </c>
      <c r="B1605" s="1" t="s">
        <v>1909</v>
      </c>
      <c r="D1605" s="1" t="s">
        <v>671</v>
      </c>
      <c r="E1605" s="1" t="s">
        <v>1917</v>
      </c>
      <c r="F1605" s="3">
        <v>0</v>
      </c>
      <c r="G1605" s="24" t="s">
        <v>7840</v>
      </c>
      <c r="H1605" s="24" t="s">
        <v>5106</v>
      </c>
      <c r="I1605" s="24" t="s">
        <v>3265</v>
      </c>
      <c r="J1605" s="24" t="s">
        <v>2920</v>
      </c>
      <c r="K1605" s="3">
        <v>13</v>
      </c>
      <c r="L1605" s="3" t="s">
        <v>2932</v>
      </c>
      <c r="M1605" s="3" t="str">
        <f>HYPERLINK("http://ictvonline.org/taxonomyHistory.asp?taxnode_id=20152076","ICTVonline=20152076")</f>
        <v>ICTVonline=20152076</v>
      </c>
    </row>
    <row r="1606" spans="1:13" x14ac:dyDescent="0.15">
      <c r="A1606" s="1" t="s">
        <v>934</v>
      </c>
      <c r="B1606" s="1" t="s">
        <v>1909</v>
      </c>
      <c r="D1606" s="1" t="s">
        <v>1918</v>
      </c>
      <c r="E1606" s="1" t="s">
        <v>1919</v>
      </c>
      <c r="F1606" s="3">
        <v>0</v>
      </c>
      <c r="G1606" s="24" t="s">
        <v>7841</v>
      </c>
      <c r="H1606" s="24" t="s">
        <v>5107</v>
      </c>
      <c r="I1606" s="24" t="s">
        <v>3265</v>
      </c>
      <c r="J1606" s="24" t="s">
        <v>2920</v>
      </c>
      <c r="K1606" s="3">
        <v>13</v>
      </c>
      <c r="L1606" s="3" t="s">
        <v>2932</v>
      </c>
      <c r="M1606" s="3" t="str">
        <f>HYPERLINK("http://ictvonline.org/taxonomyHistory.asp?taxnode_id=20152078","ICTVonline=20152078")</f>
        <v>ICTVonline=20152078</v>
      </c>
    </row>
    <row r="1607" spans="1:13" x14ac:dyDescent="0.15">
      <c r="A1607" s="1" t="s">
        <v>934</v>
      </c>
      <c r="B1607" s="1" t="s">
        <v>1909</v>
      </c>
      <c r="D1607" s="1" t="s">
        <v>1918</v>
      </c>
      <c r="E1607" s="1" t="s">
        <v>1920</v>
      </c>
      <c r="F1607" s="3">
        <v>0</v>
      </c>
      <c r="G1607" s="24" t="s">
        <v>7842</v>
      </c>
      <c r="H1607" s="24" t="s">
        <v>5108</v>
      </c>
      <c r="I1607" s="24" t="s">
        <v>3265</v>
      </c>
      <c r="J1607" s="24" t="s">
        <v>2931</v>
      </c>
      <c r="K1607" s="3">
        <v>14</v>
      </c>
      <c r="L1607" s="3" t="s">
        <v>2930</v>
      </c>
      <c r="M1607" s="3" t="str">
        <f>HYPERLINK("http://ictvonline.org/taxonomyHistory.asp?taxnode_id=20152079","ICTVonline=20152079")</f>
        <v>ICTVonline=20152079</v>
      </c>
    </row>
    <row r="1608" spans="1:13" x14ac:dyDescent="0.15">
      <c r="A1608" s="1" t="s">
        <v>934</v>
      </c>
      <c r="B1608" s="1" t="s">
        <v>1909</v>
      </c>
      <c r="D1608" s="1" t="s">
        <v>1918</v>
      </c>
      <c r="E1608" s="1" t="s">
        <v>1921</v>
      </c>
      <c r="F1608" s="3">
        <v>0</v>
      </c>
      <c r="G1608" s="24" t="s">
        <v>7843</v>
      </c>
      <c r="H1608" s="24" t="s">
        <v>4744</v>
      </c>
      <c r="I1608" s="24" t="s">
        <v>3265</v>
      </c>
      <c r="J1608" s="24" t="s">
        <v>2924</v>
      </c>
      <c r="K1608" s="3">
        <v>14</v>
      </c>
      <c r="L1608" s="3" t="s">
        <v>2930</v>
      </c>
      <c r="M1608" s="3" t="str">
        <f>HYPERLINK("http://ictvonline.org/taxonomyHistory.asp?taxnode_id=20152080","ICTVonline=20152080")</f>
        <v>ICTVonline=20152080</v>
      </c>
    </row>
    <row r="1609" spans="1:13" x14ac:dyDescent="0.15">
      <c r="A1609" s="1" t="s">
        <v>934</v>
      </c>
      <c r="B1609" s="1" t="s">
        <v>1909</v>
      </c>
      <c r="D1609" s="1" t="s">
        <v>1918</v>
      </c>
      <c r="E1609" s="1" t="s">
        <v>71</v>
      </c>
      <c r="F1609" s="3">
        <v>0</v>
      </c>
      <c r="G1609" s="24" t="s">
        <v>7844</v>
      </c>
      <c r="H1609" s="24" t="s">
        <v>5109</v>
      </c>
      <c r="I1609" s="24" t="s">
        <v>3265</v>
      </c>
      <c r="J1609" s="24" t="s">
        <v>2919</v>
      </c>
      <c r="K1609" s="3">
        <v>26</v>
      </c>
      <c r="L1609" s="3" t="s">
        <v>6953</v>
      </c>
      <c r="M1609" s="3" t="str">
        <f>HYPERLINK("http://ictvonline.org/taxonomyHistory.asp?taxnode_id=20152081","ICTVonline=20152081")</f>
        <v>ICTVonline=20152081</v>
      </c>
    </row>
    <row r="1610" spans="1:13" x14ac:dyDescent="0.15">
      <c r="A1610" s="1" t="s">
        <v>934</v>
      </c>
      <c r="B1610" s="1" t="s">
        <v>1909</v>
      </c>
      <c r="D1610" s="1" t="s">
        <v>1918</v>
      </c>
      <c r="E1610" s="1" t="s">
        <v>1922</v>
      </c>
      <c r="F1610" s="3">
        <v>0</v>
      </c>
      <c r="G1610" s="24" t="s">
        <v>7845</v>
      </c>
      <c r="H1610" s="24" t="s">
        <v>5110</v>
      </c>
      <c r="I1610" s="24" t="s">
        <v>3265</v>
      </c>
      <c r="J1610" s="24" t="s">
        <v>2924</v>
      </c>
      <c r="K1610" s="3">
        <v>14</v>
      </c>
      <c r="L1610" s="3" t="s">
        <v>2930</v>
      </c>
      <c r="M1610" s="3" t="str">
        <f>HYPERLINK("http://ictvonline.org/taxonomyHistory.asp?taxnode_id=20152082","ICTVonline=20152082")</f>
        <v>ICTVonline=20152082</v>
      </c>
    </row>
    <row r="1611" spans="1:13" x14ac:dyDescent="0.15">
      <c r="A1611" s="1" t="s">
        <v>934</v>
      </c>
      <c r="B1611" s="1" t="s">
        <v>1909</v>
      </c>
      <c r="D1611" s="1" t="s">
        <v>1918</v>
      </c>
      <c r="E1611" s="1" t="s">
        <v>1923</v>
      </c>
      <c r="F1611" s="3">
        <v>0</v>
      </c>
      <c r="G1611" s="24" t="s">
        <v>7846</v>
      </c>
      <c r="H1611" s="24" t="s">
        <v>5107</v>
      </c>
      <c r="I1611" s="24" t="s">
        <v>3265</v>
      </c>
      <c r="J1611" s="24" t="s">
        <v>2920</v>
      </c>
      <c r="K1611" s="3">
        <v>13</v>
      </c>
      <c r="L1611" s="3" t="s">
        <v>2932</v>
      </c>
      <c r="M1611" s="3" t="str">
        <f>HYPERLINK("http://ictvonline.org/taxonomyHistory.asp?taxnode_id=20152083","ICTVonline=20152083")</f>
        <v>ICTVonline=20152083</v>
      </c>
    </row>
    <row r="1612" spans="1:13" x14ac:dyDescent="0.15">
      <c r="A1612" s="1" t="s">
        <v>934</v>
      </c>
      <c r="B1612" s="1" t="s">
        <v>1909</v>
      </c>
      <c r="D1612" s="1" t="s">
        <v>1918</v>
      </c>
      <c r="E1612" s="1" t="s">
        <v>786</v>
      </c>
      <c r="F1612" s="3">
        <v>0</v>
      </c>
      <c r="G1612" s="24" t="s">
        <v>7847</v>
      </c>
      <c r="H1612" s="24" t="s">
        <v>5111</v>
      </c>
      <c r="I1612" s="24" t="s">
        <v>3265</v>
      </c>
      <c r="J1612" s="24" t="s">
        <v>2920</v>
      </c>
      <c r="K1612" s="3">
        <v>13</v>
      </c>
      <c r="L1612" s="3" t="s">
        <v>2932</v>
      </c>
      <c r="M1612" s="3" t="str">
        <f>HYPERLINK("http://ictvonline.org/taxonomyHistory.asp?taxnode_id=20152084","ICTVonline=20152084")</f>
        <v>ICTVonline=20152084</v>
      </c>
    </row>
    <row r="1613" spans="1:13" x14ac:dyDescent="0.15">
      <c r="A1613" s="1" t="s">
        <v>934</v>
      </c>
      <c r="B1613" s="1" t="s">
        <v>1909</v>
      </c>
      <c r="D1613" s="1" t="s">
        <v>1918</v>
      </c>
      <c r="E1613" s="1" t="s">
        <v>787</v>
      </c>
      <c r="F1613" s="3">
        <v>0</v>
      </c>
      <c r="G1613" s="24" t="s">
        <v>7848</v>
      </c>
      <c r="H1613" s="24" t="s">
        <v>5107</v>
      </c>
      <c r="I1613" s="24" t="s">
        <v>3265</v>
      </c>
      <c r="J1613" s="24" t="s">
        <v>2931</v>
      </c>
      <c r="K1613" s="3">
        <v>23</v>
      </c>
      <c r="L1613" s="3" t="s">
        <v>2933</v>
      </c>
      <c r="M1613" s="3" t="str">
        <f>HYPERLINK("http://ictvonline.org/taxonomyHistory.asp?taxnode_id=20152085","ICTVonline=20152085")</f>
        <v>ICTVonline=20152085</v>
      </c>
    </row>
    <row r="1614" spans="1:13" x14ac:dyDescent="0.15">
      <c r="A1614" s="1" t="s">
        <v>934</v>
      </c>
      <c r="B1614" s="1" t="s">
        <v>1909</v>
      </c>
      <c r="D1614" s="1" t="s">
        <v>1918</v>
      </c>
      <c r="E1614" s="1" t="s">
        <v>788</v>
      </c>
      <c r="F1614" s="3">
        <v>0</v>
      </c>
      <c r="G1614" s="24" t="s">
        <v>7849</v>
      </c>
      <c r="H1614" s="24" t="s">
        <v>5112</v>
      </c>
      <c r="I1614" s="24" t="s">
        <v>3265</v>
      </c>
      <c r="J1614" s="24" t="s">
        <v>2919</v>
      </c>
      <c r="K1614" s="3">
        <v>18</v>
      </c>
      <c r="L1614" s="3" t="s">
        <v>2929</v>
      </c>
      <c r="M1614" s="3" t="str">
        <f>HYPERLINK("http://ictvonline.org/taxonomyHistory.asp?taxnode_id=20152086","ICTVonline=20152086")</f>
        <v>ICTVonline=20152086</v>
      </c>
    </row>
    <row r="1615" spans="1:13" x14ac:dyDescent="0.15">
      <c r="A1615" s="1" t="s">
        <v>934</v>
      </c>
      <c r="B1615" s="1" t="s">
        <v>1909</v>
      </c>
      <c r="D1615" s="1" t="s">
        <v>1918</v>
      </c>
      <c r="E1615" s="1" t="s">
        <v>789</v>
      </c>
      <c r="F1615" s="3">
        <v>0</v>
      </c>
      <c r="G1615" s="24" t="s">
        <v>7850</v>
      </c>
      <c r="H1615" s="24" t="s">
        <v>5109</v>
      </c>
      <c r="I1615" s="24" t="s">
        <v>3265</v>
      </c>
      <c r="J1615" s="24" t="s">
        <v>2924</v>
      </c>
      <c r="K1615" s="3">
        <v>18</v>
      </c>
      <c r="L1615" s="3" t="s">
        <v>2929</v>
      </c>
      <c r="M1615" s="3" t="str">
        <f>HYPERLINK("http://ictvonline.org/taxonomyHistory.asp?taxnode_id=20152087","ICTVonline=20152087")</f>
        <v>ICTVonline=20152087</v>
      </c>
    </row>
    <row r="1616" spans="1:13" x14ac:dyDescent="0.15">
      <c r="A1616" s="1" t="s">
        <v>934</v>
      </c>
      <c r="B1616" s="1" t="s">
        <v>1909</v>
      </c>
      <c r="D1616" s="1" t="s">
        <v>1918</v>
      </c>
      <c r="E1616" s="1" t="s">
        <v>72</v>
      </c>
      <c r="F1616" s="3">
        <v>0</v>
      </c>
      <c r="G1616" s="24" t="s">
        <v>7851</v>
      </c>
      <c r="H1616" s="24" t="s">
        <v>5113</v>
      </c>
      <c r="I1616" s="24" t="s">
        <v>3265</v>
      </c>
      <c r="J1616" s="24" t="s">
        <v>2919</v>
      </c>
      <c r="K1616" s="3">
        <v>26</v>
      </c>
      <c r="L1616" s="3" t="s">
        <v>6954</v>
      </c>
      <c r="M1616" s="3" t="str">
        <f>HYPERLINK("http://ictvonline.org/taxonomyHistory.asp?taxnode_id=20152088","ICTVonline=20152088")</f>
        <v>ICTVonline=20152088</v>
      </c>
    </row>
    <row r="1617" spans="1:13" x14ac:dyDescent="0.15">
      <c r="A1617" s="1" t="s">
        <v>934</v>
      </c>
      <c r="B1617" s="1" t="s">
        <v>1909</v>
      </c>
      <c r="D1617" s="1" t="s">
        <v>1918</v>
      </c>
      <c r="E1617" s="1" t="s">
        <v>790</v>
      </c>
      <c r="F1617" s="3">
        <v>0</v>
      </c>
      <c r="G1617" s="24" t="s">
        <v>7852</v>
      </c>
      <c r="H1617" s="24" t="s">
        <v>4795</v>
      </c>
      <c r="I1617" s="24" t="s">
        <v>3265</v>
      </c>
      <c r="J1617" s="24" t="s">
        <v>2920</v>
      </c>
      <c r="K1617" s="3">
        <v>13</v>
      </c>
      <c r="L1617" s="3" t="s">
        <v>2932</v>
      </c>
      <c r="M1617" s="3" t="str">
        <f>HYPERLINK("http://ictvonline.org/taxonomyHistory.asp?taxnode_id=20152089","ICTVonline=20152089")</f>
        <v>ICTVonline=20152089</v>
      </c>
    </row>
    <row r="1618" spans="1:13" x14ac:dyDescent="0.15">
      <c r="A1618" s="1" t="s">
        <v>934</v>
      </c>
      <c r="B1618" s="1" t="s">
        <v>1909</v>
      </c>
      <c r="D1618" s="1" t="s">
        <v>1918</v>
      </c>
      <c r="E1618" s="1" t="s">
        <v>229</v>
      </c>
      <c r="F1618" s="3">
        <v>0</v>
      </c>
      <c r="G1618" s="24" t="s">
        <v>7853</v>
      </c>
      <c r="H1618" s="24" t="s">
        <v>5114</v>
      </c>
      <c r="I1618" s="24" t="s">
        <v>3265</v>
      </c>
      <c r="J1618" s="24" t="s">
        <v>2920</v>
      </c>
      <c r="K1618" s="3">
        <v>13</v>
      </c>
      <c r="L1618" s="3" t="s">
        <v>2932</v>
      </c>
      <c r="M1618" s="3" t="str">
        <f>HYPERLINK("http://ictvonline.org/taxonomyHistory.asp?taxnode_id=20152090","ICTVonline=20152090")</f>
        <v>ICTVonline=20152090</v>
      </c>
    </row>
    <row r="1619" spans="1:13" x14ac:dyDescent="0.15">
      <c r="A1619" s="1" t="s">
        <v>934</v>
      </c>
      <c r="B1619" s="1" t="s">
        <v>1909</v>
      </c>
      <c r="D1619" s="1" t="s">
        <v>1918</v>
      </c>
      <c r="E1619" s="1" t="s">
        <v>230</v>
      </c>
      <c r="F1619" s="3">
        <v>0</v>
      </c>
      <c r="G1619" s="24" t="s">
        <v>7854</v>
      </c>
      <c r="H1619" s="24" t="s">
        <v>5115</v>
      </c>
      <c r="I1619" s="24" t="s">
        <v>3265</v>
      </c>
      <c r="J1619" s="24" t="s">
        <v>2920</v>
      </c>
      <c r="K1619" s="3">
        <v>13</v>
      </c>
      <c r="L1619" s="3" t="s">
        <v>2932</v>
      </c>
      <c r="M1619" s="3" t="str">
        <f>HYPERLINK("http://ictvonline.org/taxonomyHistory.asp?taxnode_id=20152091","ICTVonline=20152091")</f>
        <v>ICTVonline=20152091</v>
      </c>
    </row>
    <row r="1620" spans="1:13" x14ac:dyDescent="0.15">
      <c r="A1620" s="1" t="s">
        <v>934</v>
      </c>
      <c r="B1620" s="1" t="s">
        <v>1909</v>
      </c>
      <c r="D1620" s="1" t="s">
        <v>1918</v>
      </c>
      <c r="E1620" s="1" t="s">
        <v>231</v>
      </c>
      <c r="F1620" s="3">
        <v>0</v>
      </c>
      <c r="G1620" s="24" t="s">
        <v>7855</v>
      </c>
      <c r="H1620" s="24" t="s">
        <v>5116</v>
      </c>
      <c r="I1620" s="24" t="s">
        <v>3265</v>
      </c>
      <c r="J1620" s="24" t="s">
        <v>2931</v>
      </c>
      <c r="K1620" s="3">
        <v>14</v>
      </c>
      <c r="L1620" s="3" t="s">
        <v>2930</v>
      </c>
      <c r="M1620" s="3" t="str">
        <f>HYPERLINK("http://ictvonline.org/taxonomyHistory.asp?taxnode_id=20152092","ICTVonline=20152092")</f>
        <v>ICTVonline=20152092</v>
      </c>
    </row>
    <row r="1621" spans="1:13" x14ac:dyDescent="0.15">
      <c r="A1621" s="1" t="s">
        <v>934</v>
      </c>
      <c r="B1621" s="1" t="s">
        <v>1909</v>
      </c>
      <c r="D1621" s="1" t="s">
        <v>1918</v>
      </c>
      <c r="E1621" s="1" t="s">
        <v>1266</v>
      </c>
      <c r="F1621" s="3">
        <v>0</v>
      </c>
      <c r="G1621" s="24" t="s">
        <v>7856</v>
      </c>
      <c r="H1621" s="24" t="s">
        <v>5107</v>
      </c>
      <c r="I1621" s="24" t="s">
        <v>3265</v>
      </c>
      <c r="J1621" s="24" t="s">
        <v>2920</v>
      </c>
      <c r="K1621" s="3">
        <v>13</v>
      </c>
      <c r="L1621" s="3" t="s">
        <v>2932</v>
      </c>
      <c r="M1621" s="3" t="str">
        <f>HYPERLINK("http://ictvonline.org/taxonomyHistory.asp?taxnode_id=20152093","ICTVonline=20152093")</f>
        <v>ICTVonline=20152093</v>
      </c>
    </row>
    <row r="1622" spans="1:13" x14ac:dyDescent="0.15">
      <c r="A1622" s="1" t="s">
        <v>934</v>
      </c>
      <c r="B1622" s="1" t="s">
        <v>1909</v>
      </c>
      <c r="D1622" s="1" t="s">
        <v>1918</v>
      </c>
      <c r="E1622" s="1" t="s">
        <v>73</v>
      </c>
      <c r="F1622" s="3">
        <v>0</v>
      </c>
      <c r="G1622" s="24" t="s">
        <v>7857</v>
      </c>
      <c r="H1622" s="24" t="s">
        <v>5117</v>
      </c>
      <c r="I1622" s="24" t="s">
        <v>3265</v>
      </c>
      <c r="J1622" s="24" t="s">
        <v>2919</v>
      </c>
      <c r="K1622" s="3">
        <v>26</v>
      </c>
      <c r="L1622" s="3" t="s">
        <v>6953</v>
      </c>
      <c r="M1622" s="3" t="str">
        <f>HYPERLINK("http://ictvonline.org/taxonomyHistory.asp?taxnode_id=20152094","ICTVonline=20152094")</f>
        <v>ICTVonline=20152094</v>
      </c>
    </row>
    <row r="1623" spans="1:13" x14ac:dyDescent="0.15">
      <c r="A1623" s="1" t="s">
        <v>934</v>
      </c>
      <c r="B1623" s="1" t="s">
        <v>1909</v>
      </c>
      <c r="D1623" s="1" t="s">
        <v>1918</v>
      </c>
      <c r="E1623" s="1" t="s">
        <v>2092</v>
      </c>
      <c r="F1623" s="3">
        <v>1</v>
      </c>
      <c r="G1623" s="24" t="s">
        <v>7858</v>
      </c>
      <c r="H1623" s="24" t="s">
        <v>5118</v>
      </c>
      <c r="I1623" s="24" t="s">
        <v>3265</v>
      </c>
      <c r="J1623" s="24" t="s">
        <v>2920</v>
      </c>
      <c r="K1623" s="3">
        <v>13</v>
      </c>
      <c r="L1623" s="3" t="s">
        <v>2932</v>
      </c>
      <c r="M1623" s="3" t="str">
        <f>HYPERLINK("http://ictvonline.org/taxonomyHistory.asp?taxnode_id=20152095","ICTVonline=20152095")</f>
        <v>ICTVonline=20152095</v>
      </c>
    </row>
    <row r="1624" spans="1:13" x14ac:dyDescent="0.15">
      <c r="A1624" s="1" t="s">
        <v>934</v>
      </c>
      <c r="B1624" s="1" t="s">
        <v>1909</v>
      </c>
      <c r="D1624" s="1" t="s">
        <v>1918</v>
      </c>
      <c r="E1624" s="1" t="s">
        <v>2093</v>
      </c>
      <c r="F1624" s="3">
        <v>0</v>
      </c>
      <c r="G1624" s="24" t="s">
        <v>7859</v>
      </c>
      <c r="H1624" s="24" t="s">
        <v>5107</v>
      </c>
      <c r="I1624" s="24" t="s">
        <v>3265</v>
      </c>
      <c r="J1624" s="24" t="s">
        <v>2920</v>
      </c>
      <c r="K1624" s="3">
        <v>13</v>
      </c>
      <c r="L1624" s="3" t="s">
        <v>2932</v>
      </c>
      <c r="M1624" s="3" t="str">
        <f>HYPERLINK("http://ictvonline.org/taxonomyHistory.asp?taxnode_id=20152096","ICTVonline=20152096")</f>
        <v>ICTVonline=20152096</v>
      </c>
    </row>
    <row r="1625" spans="1:13" x14ac:dyDescent="0.15">
      <c r="A1625" s="1" t="s">
        <v>934</v>
      </c>
      <c r="B1625" s="1" t="s">
        <v>1909</v>
      </c>
      <c r="D1625" s="1" t="s">
        <v>2094</v>
      </c>
      <c r="E1625" s="1" t="s">
        <v>2095</v>
      </c>
      <c r="F1625" s="3">
        <v>1</v>
      </c>
      <c r="G1625" s="24" t="s">
        <v>7860</v>
      </c>
      <c r="H1625" s="24" t="s">
        <v>5119</v>
      </c>
      <c r="I1625" s="24" t="s">
        <v>3265</v>
      </c>
      <c r="J1625" s="24" t="s">
        <v>2921</v>
      </c>
      <c r="K1625" s="3">
        <v>16</v>
      </c>
      <c r="L1625" s="3" t="s">
        <v>2940</v>
      </c>
      <c r="M1625" s="3" t="str">
        <f>HYPERLINK("http://ictvonline.org/taxonomyHistory.asp?taxnode_id=20152098","ICTVonline=20152098")</f>
        <v>ICTVonline=20152098</v>
      </c>
    </row>
    <row r="1626" spans="1:13" x14ac:dyDescent="0.15">
      <c r="A1626" s="1" t="s">
        <v>934</v>
      </c>
      <c r="B1626" s="1" t="s">
        <v>2096</v>
      </c>
      <c r="D1626" s="1" t="s">
        <v>2097</v>
      </c>
      <c r="E1626" s="1" t="s">
        <v>5120</v>
      </c>
      <c r="F1626" s="3">
        <v>0</v>
      </c>
      <c r="H1626" s="24" t="s">
        <v>6715</v>
      </c>
      <c r="I1626" s="24" t="s">
        <v>3254</v>
      </c>
      <c r="J1626" s="24" t="s">
        <v>2924</v>
      </c>
      <c r="K1626" s="3">
        <v>30</v>
      </c>
      <c r="L1626" s="3" t="s">
        <v>6955</v>
      </c>
      <c r="M1626" s="3" t="str">
        <f>HYPERLINK("http://ictvonline.org/taxonomyHistory.asp?taxnode_id=20152102","ICTVonline=20152102")</f>
        <v>ICTVonline=20152102</v>
      </c>
    </row>
    <row r="1627" spans="1:13" x14ac:dyDescent="0.15">
      <c r="A1627" s="1" t="s">
        <v>934</v>
      </c>
      <c r="B1627" s="1" t="s">
        <v>2096</v>
      </c>
      <c r="D1627" s="1" t="s">
        <v>2097</v>
      </c>
      <c r="E1627" s="1" t="s">
        <v>5121</v>
      </c>
      <c r="F1627" s="3">
        <v>0</v>
      </c>
      <c r="H1627" s="24" t="s">
        <v>5122</v>
      </c>
      <c r="I1627" s="24" t="s">
        <v>3254</v>
      </c>
      <c r="J1627" s="24" t="s">
        <v>2924</v>
      </c>
      <c r="K1627" s="3">
        <v>30</v>
      </c>
      <c r="L1627" s="3" t="s">
        <v>6955</v>
      </c>
      <c r="M1627" s="3" t="str">
        <f>HYPERLINK("http://ictvonline.org/taxonomyHistory.asp?taxnode_id=20152103","ICTVonline=20152103")</f>
        <v>ICTVonline=20152103</v>
      </c>
    </row>
    <row r="1628" spans="1:13" x14ac:dyDescent="0.15">
      <c r="A1628" s="1" t="s">
        <v>934</v>
      </c>
      <c r="B1628" s="1" t="s">
        <v>2096</v>
      </c>
      <c r="D1628" s="1" t="s">
        <v>2097</v>
      </c>
      <c r="E1628" s="1" t="s">
        <v>5123</v>
      </c>
      <c r="F1628" s="3">
        <v>0</v>
      </c>
      <c r="H1628" s="24" t="s">
        <v>5124</v>
      </c>
      <c r="I1628" s="24" t="s">
        <v>3254</v>
      </c>
      <c r="J1628" s="24" t="s">
        <v>2924</v>
      </c>
      <c r="K1628" s="3">
        <v>30</v>
      </c>
      <c r="L1628" s="3" t="s">
        <v>6955</v>
      </c>
      <c r="M1628" s="3" t="str">
        <f>HYPERLINK("http://ictvonline.org/taxonomyHistory.asp?taxnode_id=20152104","ICTVonline=20152104")</f>
        <v>ICTVonline=20152104</v>
      </c>
    </row>
    <row r="1629" spans="1:13" x14ac:dyDescent="0.15">
      <c r="A1629" s="1" t="s">
        <v>934</v>
      </c>
      <c r="B1629" s="1" t="s">
        <v>2096</v>
      </c>
      <c r="D1629" s="1" t="s">
        <v>2097</v>
      </c>
      <c r="E1629" s="1" t="s">
        <v>5125</v>
      </c>
      <c r="F1629" s="3">
        <v>0</v>
      </c>
      <c r="H1629" s="24" t="s">
        <v>6716</v>
      </c>
      <c r="I1629" s="24" t="s">
        <v>3254</v>
      </c>
      <c r="J1629" s="24" t="s">
        <v>2924</v>
      </c>
      <c r="K1629" s="3">
        <v>30</v>
      </c>
      <c r="L1629" s="3" t="s">
        <v>6955</v>
      </c>
      <c r="M1629" s="3" t="str">
        <f>HYPERLINK("http://ictvonline.org/taxonomyHistory.asp?taxnode_id=20152105","ICTVonline=20152105")</f>
        <v>ICTVonline=20152105</v>
      </c>
    </row>
    <row r="1630" spans="1:13" x14ac:dyDescent="0.15">
      <c r="A1630" s="1" t="s">
        <v>934</v>
      </c>
      <c r="B1630" s="1" t="s">
        <v>2096</v>
      </c>
      <c r="D1630" s="1" t="s">
        <v>2097</v>
      </c>
      <c r="E1630" s="1" t="s">
        <v>5126</v>
      </c>
      <c r="F1630" s="3">
        <v>0</v>
      </c>
      <c r="H1630" s="24" t="s">
        <v>5127</v>
      </c>
      <c r="I1630" s="24" t="s">
        <v>3254</v>
      </c>
      <c r="J1630" s="24" t="s">
        <v>2924</v>
      </c>
      <c r="K1630" s="3">
        <v>30</v>
      </c>
      <c r="L1630" s="3" t="s">
        <v>6955</v>
      </c>
      <c r="M1630" s="3" t="str">
        <f>HYPERLINK("http://ictvonline.org/taxonomyHistory.asp?taxnode_id=20152106","ICTVonline=20152106")</f>
        <v>ICTVonline=20152106</v>
      </c>
    </row>
    <row r="1631" spans="1:13" x14ac:dyDescent="0.15">
      <c r="A1631" s="1" t="s">
        <v>934</v>
      </c>
      <c r="B1631" s="1" t="s">
        <v>2096</v>
      </c>
      <c r="D1631" s="1" t="s">
        <v>2097</v>
      </c>
      <c r="E1631" s="1" t="s">
        <v>5128</v>
      </c>
      <c r="F1631" s="3">
        <v>0</v>
      </c>
      <c r="H1631" s="24" t="s">
        <v>5129</v>
      </c>
      <c r="I1631" s="24" t="s">
        <v>3254</v>
      </c>
      <c r="J1631" s="24" t="s">
        <v>2924</v>
      </c>
      <c r="K1631" s="3">
        <v>30</v>
      </c>
      <c r="L1631" s="3" t="s">
        <v>6955</v>
      </c>
      <c r="M1631" s="3" t="str">
        <f>HYPERLINK("http://ictvonline.org/taxonomyHistory.asp?taxnode_id=20152107","ICTVonline=20152107")</f>
        <v>ICTVonline=20152107</v>
      </c>
    </row>
    <row r="1632" spans="1:13" x14ac:dyDescent="0.15">
      <c r="A1632" s="1" t="s">
        <v>934</v>
      </c>
      <c r="B1632" s="1" t="s">
        <v>2096</v>
      </c>
      <c r="D1632" s="1" t="s">
        <v>2097</v>
      </c>
      <c r="E1632" s="1" t="s">
        <v>5130</v>
      </c>
      <c r="F1632" s="3">
        <v>1</v>
      </c>
      <c r="H1632" s="24" t="s">
        <v>5131</v>
      </c>
      <c r="I1632" s="24" t="s">
        <v>3254</v>
      </c>
      <c r="J1632" s="24" t="s">
        <v>2924</v>
      </c>
      <c r="K1632" s="3">
        <v>30</v>
      </c>
      <c r="L1632" s="3" t="s">
        <v>6955</v>
      </c>
      <c r="M1632" s="3" t="str">
        <f>HYPERLINK("http://ictvonline.org/taxonomyHistory.asp?taxnode_id=20152108","ICTVonline=20152108")</f>
        <v>ICTVonline=20152108</v>
      </c>
    </row>
    <row r="1633" spans="1:13" x14ac:dyDescent="0.15">
      <c r="A1633" s="1" t="s">
        <v>934</v>
      </c>
      <c r="B1633" s="1" t="s">
        <v>2096</v>
      </c>
      <c r="D1633" s="1" t="s">
        <v>2097</v>
      </c>
      <c r="E1633" s="1" t="s">
        <v>5132</v>
      </c>
      <c r="F1633" s="3">
        <v>0</v>
      </c>
      <c r="H1633" s="24" t="s">
        <v>5133</v>
      </c>
      <c r="I1633" s="24" t="s">
        <v>3254</v>
      </c>
      <c r="J1633" s="24" t="s">
        <v>2924</v>
      </c>
      <c r="K1633" s="3">
        <v>30</v>
      </c>
      <c r="L1633" s="3" t="s">
        <v>6955</v>
      </c>
      <c r="M1633" s="3" t="str">
        <f>HYPERLINK("http://ictvonline.org/taxonomyHistory.asp?taxnode_id=20152109","ICTVonline=20152109")</f>
        <v>ICTVonline=20152109</v>
      </c>
    </row>
    <row r="1634" spans="1:13" x14ac:dyDescent="0.15">
      <c r="A1634" s="1" t="s">
        <v>934</v>
      </c>
      <c r="B1634" s="1" t="s">
        <v>2096</v>
      </c>
      <c r="D1634" s="1" t="s">
        <v>2097</v>
      </c>
      <c r="E1634" s="1" t="s">
        <v>5134</v>
      </c>
      <c r="F1634" s="3">
        <v>0</v>
      </c>
      <c r="H1634" s="24" t="s">
        <v>5135</v>
      </c>
      <c r="I1634" s="24" t="s">
        <v>3254</v>
      </c>
      <c r="J1634" s="24" t="s">
        <v>2924</v>
      </c>
      <c r="K1634" s="3">
        <v>30</v>
      </c>
      <c r="L1634" s="3" t="s">
        <v>6955</v>
      </c>
      <c r="M1634" s="3" t="str">
        <f>HYPERLINK("http://ictvonline.org/taxonomyHistory.asp?taxnode_id=20152110","ICTVonline=20152110")</f>
        <v>ICTVonline=20152110</v>
      </c>
    </row>
    <row r="1635" spans="1:13" x14ac:dyDescent="0.15">
      <c r="A1635" s="1" t="s">
        <v>934</v>
      </c>
      <c r="B1635" s="1" t="s">
        <v>2096</v>
      </c>
      <c r="D1635" s="1" t="s">
        <v>2097</v>
      </c>
      <c r="E1635" s="1" t="s">
        <v>5136</v>
      </c>
      <c r="F1635" s="3">
        <v>0</v>
      </c>
      <c r="H1635" s="24" t="s">
        <v>5137</v>
      </c>
      <c r="I1635" s="24" t="s">
        <v>3254</v>
      </c>
      <c r="J1635" s="24" t="s">
        <v>2924</v>
      </c>
      <c r="K1635" s="3">
        <v>30</v>
      </c>
      <c r="L1635" s="3" t="s">
        <v>6955</v>
      </c>
      <c r="M1635" s="3" t="str">
        <f>HYPERLINK("http://ictvonline.org/taxonomyHistory.asp?taxnode_id=20152111","ICTVonline=20152111")</f>
        <v>ICTVonline=20152111</v>
      </c>
    </row>
    <row r="1636" spans="1:13" x14ac:dyDescent="0.15">
      <c r="A1636" s="1" t="s">
        <v>934</v>
      </c>
      <c r="B1636" s="1" t="s">
        <v>2096</v>
      </c>
      <c r="D1636" s="1" t="s">
        <v>2097</v>
      </c>
      <c r="E1636" s="1" t="s">
        <v>5138</v>
      </c>
      <c r="F1636" s="3">
        <v>0</v>
      </c>
      <c r="H1636" s="24" t="s">
        <v>5139</v>
      </c>
      <c r="I1636" s="24" t="s">
        <v>3254</v>
      </c>
      <c r="J1636" s="24" t="s">
        <v>2924</v>
      </c>
      <c r="K1636" s="3">
        <v>30</v>
      </c>
      <c r="L1636" s="3" t="s">
        <v>6955</v>
      </c>
      <c r="M1636" s="3" t="str">
        <f>HYPERLINK("http://ictvonline.org/taxonomyHistory.asp?taxnode_id=20152112","ICTVonline=20152112")</f>
        <v>ICTVonline=20152112</v>
      </c>
    </row>
    <row r="1637" spans="1:13" x14ac:dyDescent="0.15">
      <c r="A1637" s="1" t="s">
        <v>934</v>
      </c>
      <c r="B1637" s="1" t="s">
        <v>2096</v>
      </c>
      <c r="D1637" s="1" t="s">
        <v>2097</v>
      </c>
      <c r="E1637" s="1" t="s">
        <v>5140</v>
      </c>
      <c r="F1637" s="3">
        <v>0</v>
      </c>
      <c r="H1637" s="24" t="s">
        <v>5141</v>
      </c>
      <c r="I1637" s="24" t="s">
        <v>3254</v>
      </c>
      <c r="J1637" s="24" t="s">
        <v>2924</v>
      </c>
      <c r="K1637" s="3">
        <v>30</v>
      </c>
      <c r="L1637" s="3" t="s">
        <v>6955</v>
      </c>
      <c r="M1637" s="3" t="str">
        <f>HYPERLINK("http://ictvonline.org/taxonomyHistory.asp?taxnode_id=20152113","ICTVonline=20152113")</f>
        <v>ICTVonline=20152113</v>
      </c>
    </row>
    <row r="1638" spans="1:13" x14ac:dyDescent="0.15">
      <c r="A1638" s="1" t="s">
        <v>934</v>
      </c>
      <c r="B1638" s="1" t="s">
        <v>2096</v>
      </c>
      <c r="D1638" s="1" t="s">
        <v>2097</v>
      </c>
      <c r="E1638" s="1" t="s">
        <v>5142</v>
      </c>
      <c r="F1638" s="3">
        <v>0</v>
      </c>
      <c r="H1638" s="24" t="s">
        <v>5143</v>
      </c>
      <c r="I1638" s="24" t="s">
        <v>3254</v>
      </c>
      <c r="J1638" s="24" t="s">
        <v>2924</v>
      </c>
      <c r="K1638" s="3">
        <v>30</v>
      </c>
      <c r="L1638" s="3" t="s">
        <v>6955</v>
      </c>
      <c r="M1638" s="3" t="str">
        <f>HYPERLINK("http://ictvonline.org/taxonomyHistory.asp?taxnode_id=20152114","ICTVonline=20152114")</f>
        <v>ICTVonline=20152114</v>
      </c>
    </row>
    <row r="1639" spans="1:13" x14ac:dyDescent="0.15">
      <c r="A1639" s="1" t="s">
        <v>934</v>
      </c>
      <c r="B1639" s="1" t="s">
        <v>2096</v>
      </c>
      <c r="D1639" s="1" t="s">
        <v>2097</v>
      </c>
      <c r="E1639" s="1" t="s">
        <v>5144</v>
      </c>
      <c r="F1639" s="3">
        <v>0</v>
      </c>
      <c r="H1639" s="24" t="s">
        <v>5145</v>
      </c>
      <c r="I1639" s="24" t="s">
        <v>3254</v>
      </c>
      <c r="J1639" s="24" t="s">
        <v>2924</v>
      </c>
      <c r="K1639" s="3">
        <v>30</v>
      </c>
      <c r="L1639" s="3" t="s">
        <v>6955</v>
      </c>
      <c r="M1639" s="3" t="str">
        <f>HYPERLINK("http://ictvonline.org/taxonomyHistory.asp?taxnode_id=20152115","ICTVonline=20152115")</f>
        <v>ICTVonline=20152115</v>
      </c>
    </row>
    <row r="1640" spans="1:13" x14ac:dyDescent="0.15">
      <c r="A1640" s="1" t="s">
        <v>934</v>
      </c>
      <c r="B1640" s="1" t="s">
        <v>2096</v>
      </c>
      <c r="D1640" s="1" t="s">
        <v>2097</v>
      </c>
      <c r="E1640" s="1" t="s">
        <v>5146</v>
      </c>
      <c r="F1640" s="3">
        <v>0</v>
      </c>
      <c r="H1640" s="24" t="s">
        <v>6717</v>
      </c>
      <c r="I1640" s="24" t="s">
        <v>3254</v>
      </c>
      <c r="J1640" s="24" t="s">
        <v>2924</v>
      </c>
      <c r="K1640" s="3">
        <v>30</v>
      </c>
      <c r="L1640" s="3" t="s">
        <v>6955</v>
      </c>
      <c r="M1640" s="3" t="str">
        <f>HYPERLINK("http://ictvonline.org/taxonomyHistory.asp?taxnode_id=20152116","ICTVonline=20152116")</f>
        <v>ICTVonline=20152116</v>
      </c>
    </row>
    <row r="1641" spans="1:13" x14ac:dyDescent="0.15">
      <c r="A1641" s="1" t="s">
        <v>934</v>
      </c>
      <c r="B1641" s="1" t="s">
        <v>2096</v>
      </c>
      <c r="D1641" s="1" t="s">
        <v>2097</v>
      </c>
      <c r="E1641" s="1" t="s">
        <v>5147</v>
      </c>
      <c r="F1641" s="3">
        <v>0</v>
      </c>
      <c r="H1641" s="24" t="s">
        <v>6718</v>
      </c>
      <c r="I1641" s="24" t="s">
        <v>3254</v>
      </c>
      <c r="J1641" s="24" t="s">
        <v>2924</v>
      </c>
      <c r="K1641" s="3">
        <v>30</v>
      </c>
      <c r="L1641" s="3" t="s">
        <v>6955</v>
      </c>
      <c r="M1641" s="3" t="str">
        <f>HYPERLINK("http://ictvonline.org/taxonomyHistory.asp?taxnode_id=20152117","ICTVonline=20152117")</f>
        <v>ICTVonline=20152117</v>
      </c>
    </row>
    <row r="1642" spans="1:13" x14ac:dyDescent="0.15">
      <c r="A1642" s="1" t="s">
        <v>934</v>
      </c>
      <c r="B1642" s="1" t="s">
        <v>2096</v>
      </c>
      <c r="D1642" s="1" t="s">
        <v>2097</v>
      </c>
      <c r="E1642" s="1" t="s">
        <v>5148</v>
      </c>
      <c r="F1642" s="3">
        <v>0</v>
      </c>
      <c r="H1642" s="24" t="s">
        <v>5149</v>
      </c>
      <c r="I1642" s="24" t="s">
        <v>3254</v>
      </c>
      <c r="J1642" s="24" t="s">
        <v>2924</v>
      </c>
      <c r="K1642" s="3">
        <v>30</v>
      </c>
      <c r="L1642" s="3" t="s">
        <v>6955</v>
      </c>
      <c r="M1642" s="3" t="str">
        <f>HYPERLINK("http://ictvonline.org/taxonomyHistory.asp?taxnode_id=20152118","ICTVonline=20152118")</f>
        <v>ICTVonline=20152118</v>
      </c>
    </row>
    <row r="1643" spans="1:13" x14ac:dyDescent="0.15">
      <c r="A1643" s="1" t="s">
        <v>934</v>
      </c>
      <c r="B1643" s="1" t="s">
        <v>2096</v>
      </c>
      <c r="D1643" s="1" t="s">
        <v>2097</v>
      </c>
      <c r="E1643" s="1" t="s">
        <v>5150</v>
      </c>
      <c r="F1643" s="3">
        <v>0</v>
      </c>
      <c r="H1643" s="24" t="s">
        <v>5151</v>
      </c>
      <c r="I1643" s="24" t="s">
        <v>3254</v>
      </c>
      <c r="J1643" s="24" t="s">
        <v>2924</v>
      </c>
      <c r="K1643" s="3">
        <v>30</v>
      </c>
      <c r="L1643" s="3" t="s">
        <v>6955</v>
      </c>
      <c r="M1643" s="3" t="str">
        <f>HYPERLINK("http://ictvonline.org/taxonomyHistory.asp?taxnode_id=20152119","ICTVonline=20152119")</f>
        <v>ICTVonline=20152119</v>
      </c>
    </row>
    <row r="1644" spans="1:13" x14ac:dyDescent="0.15">
      <c r="A1644" s="1" t="s">
        <v>934</v>
      </c>
      <c r="B1644" s="1" t="s">
        <v>2096</v>
      </c>
      <c r="D1644" s="1" t="s">
        <v>2097</v>
      </c>
      <c r="E1644" s="1" t="s">
        <v>5152</v>
      </c>
      <c r="F1644" s="3">
        <v>0</v>
      </c>
      <c r="H1644" s="24" t="s">
        <v>5153</v>
      </c>
      <c r="I1644" s="24" t="s">
        <v>3254</v>
      </c>
      <c r="J1644" s="24" t="s">
        <v>2924</v>
      </c>
      <c r="K1644" s="3">
        <v>30</v>
      </c>
      <c r="L1644" s="3" t="s">
        <v>6955</v>
      </c>
      <c r="M1644" s="3" t="str">
        <f>HYPERLINK("http://ictvonline.org/taxonomyHistory.asp?taxnode_id=20152120","ICTVonline=20152120")</f>
        <v>ICTVonline=20152120</v>
      </c>
    </row>
    <row r="1645" spans="1:13" x14ac:dyDescent="0.15">
      <c r="A1645" s="1" t="s">
        <v>934</v>
      </c>
      <c r="B1645" s="1" t="s">
        <v>2096</v>
      </c>
      <c r="D1645" s="1" t="s">
        <v>2097</v>
      </c>
      <c r="E1645" s="1" t="s">
        <v>5154</v>
      </c>
      <c r="F1645" s="3">
        <v>0</v>
      </c>
      <c r="H1645" s="24" t="s">
        <v>5155</v>
      </c>
      <c r="I1645" s="24" t="s">
        <v>3254</v>
      </c>
      <c r="J1645" s="24" t="s">
        <v>2924</v>
      </c>
      <c r="K1645" s="3">
        <v>30</v>
      </c>
      <c r="L1645" s="3" t="s">
        <v>6955</v>
      </c>
      <c r="M1645" s="3" t="str">
        <f>HYPERLINK("http://ictvonline.org/taxonomyHistory.asp?taxnode_id=20152121","ICTVonline=20152121")</f>
        <v>ICTVonline=20152121</v>
      </c>
    </row>
    <row r="1646" spans="1:13" x14ac:dyDescent="0.15">
      <c r="A1646" s="1" t="s">
        <v>934</v>
      </c>
      <c r="B1646" s="1" t="s">
        <v>2096</v>
      </c>
      <c r="D1646" s="1" t="s">
        <v>2097</v>
      </c>
      <c r="E1646" s="1" t="s">
        <v>5156</v>
      </c>
      <c r="F1646" s="3">
        <v>0</v>
      </c>
      <c r="H1646" s="24" t="s">
        <v>5157</v>
      </c>
      <c r="I1646" s="24" t="s">
        <v>3254</v>
      </c>
      <c r="J1646" s="24" t="s">
        <v>2924</v>
      </c>
      <c r="K1646" s="3">
        <v>30</v>
      </c>
      <c r="L1646" s="3" t="s">
        <v>6955</v>
      </c>
      <c r="M1646" s="3" t="str">
        <f>HYPERLINK("http://ictvonline.org/taxonomyHistory.asp?taxnode_id=20152122","ICTVonline=20152122")</f>
        <v>ICTVonline=20152122</v>
      </c>
    </row>
    <row r="1647" spans="1:13" x14ac:dyDescent="0.15">
      <c r="A1647" s="1" t="s">
        <v>934</v>
      </c>
      <c r="B1647" s="1" t="s">
        <v>2096</v>
      </c>
      <c r="D1647" s="1" t="s">
        <v>2097</v>
      </c>
      <c r="E1647" s="1" t="s">
        <v>5158</v>
      </c>
      <c r="F1647" s="3">
        <v>0</v>
      </c>
      <c r="H1647" s="24" t="s">
        <v>5159</v>
      </c>
      <c r="I1647" s="24" t="s">
        <v>3254</v>
      </c>
      <c r="J1647" s="24" t="s">
        <v>2924</v>
      </c>
      <c r="K1647" s="3">
        <v>30</v>
      </c>
      <c r="L1647" s="3" t="s">
        <v>6955</v>
      </c>
      <c r="M1647" s="3" t="str">
        <f>HYPERLINK("http://ictvonline.org/taxonomyHistory.asp?taxnode_id=20152123","ICTVonline=20152123")</f>
        <v>ICTVonline=20152123</v>
      </c>
    </row>
    <row r="1648" spans="1:13" x14ac:dyDescent="0.15">
      <c r="A1648" s="1" t="s">
        <v>934</v>
      </c>
      <c r="B1648" s="1" t="s">
        <v>2096</v>
      </c>
      <c r="D1648" s="1" t="s">
        <v>2097</v>
      </c>
      <c r="E1648" s="1" t="s">
        <v>5160</v>
      </c>
      <c r="F1648" s="3">
        <v>0</v>
      </c>
      <c r="H1648" s="24" t="s">
        <v>5161</v>
      </c>
      <c r="I1648" s="24" t="s">
        <v>3254</v>
      </c>
      <c r="J1648" s="24" t="s">
        <v>2924</v>
      </c>
      <c r="K1648" s="3">
        <v>30</v>
      </c>
      <c r="L1648" s="3" t="s">
        <v>6955</v>
      </c>
      <c r="M1648" s="3" t="str">
        <f>HYPERLINK("http://ictvonline.org/taxonomyHistory.asp?taxnode_id=20152124","ICTVonline=20152124")</f>
        <v>ICTVonline=20152124</v>
      </c>
    </row>
    <row r="1649" spans="1:13" x14ac:dyDescent="0.15">
      <c r="A1649" s="1" t="s">
        <v>934</v>
      </c>
      <c r="B1649" s="1" t="s">
        <v>2096</v>
      </c>
      <c r="D1649" s="1" t="s">
        <v>2097</v>
      </c>
      <c r="E1649" s="1" t="s">
        <v>5162</v>
      </c>
      <c r="F1649" s="3">
        <v>0</v>
      </c>
      <c r="H1649" s="24" t="s">
        <v>5163</v>
      </c>
      <c r="I1649" s="24" t="s">
        <v>3254</v>
      </c>
      <c r="J1649" s="24" t="s">
        <v>2924</v>
      </c>
      <c r="K1649" s="3">
        <v>30</v>
      </c>
      <c r="L1649" s="3" t="s">
        <v>6955</v>
      </c>
      <c r="M1649" s="3" t="str">
        <f>HYPERLINK("http://ictvonline.org/taxonomyHistory.asp?taxnode_id=20152125","ICTVonline=20152125")</f>
        <v>ICTVonline=20152125</v>
      </c>
    </row>
    <row r="1650" spans="1:13" x14ac:dyDescent="0.15">
      <c r="A1650" s="1" t="s">
        <v>934</v>
      </c>
      <c r="B1650" s="1" t="s">
        <v>2096</v>
      </c>
      <c r="D1650" s="1" t="s">
        <v>1169</v>
      </c>
      <c r="E1650" s="1" t="s">
        <v>5164</v>
      </c>
      <c r="F1650" s="3">
        <v>0</v>
      </c>
      <c r="H1650" s="24" t="s">
        <v>5165</v>
      </c>
      <c r="I1650" s="24" t="s">
        <v>3254</v>
      </c>
      <c r="J1650" s="24" t="s">
        <v>2924</v>
      </c>
      <c r="K1650" s="3">
        <v>30</v>
      </c>
      <c r="L1650" s="3" t="s">
        <v>6955</v>
      </c>
      <c r="M1650" s="3" t="str">
        <f>HYPERLINK("http://ictvonline.org/taxonomyHistory.asp?taxnode_id=20152127","ICTVonline=20152127")</f>
        <v>ICTVonline=20152127</v>
      </c>
    </row>
    <row r="1651" spans="1:13" x14ac:dyDescent="0.15">
      <c r="A1651" s="1" t="s">
        <v>934</v>
      </c>
      <c r="B1651" s="1" t="s">
        <v>2096</v>
      </c>
      <c r="D1651" s="1" t="s">
        <v>1169</v>
      </c>
      <c r="E1651" s="1" t="s">
        <v>5166</v>
      </c>
      <c r="F1651" s="3">
        <v>0</v>
      </c>
      <c r="H1651" s="24" t="s">
        <v>5167</v>
      </c>
      <c r="I1651" s="24" t="s">
        <v>3254</v>
      </c>
      <c r="J1651" s="24" t="s">
        <v>2924</v>
      </c>
      <c r="K1651" s="3">
        <v>30</v>
      </c>
      <c r="L1651" s="3" t="s">
        <v>6955</v>
      </c>
      <c r="M1651" s="3" t="str">
        <f>HYPERLINK("http://ictvonline.org/taxonomyHistory.asp?taxnode_id=20152128","ICTVonline=20152128")</f>
        <v>ICTVonline=20152128</v>
      </c>
    </row>
    <row r="1652" spans="1:13" x14ac:dyDescent="0.15">
      <c r="A1652" s="1" t="s">
        <v>934</v>
      </c>
      <c r="B1652" s="1" t="s">
        <v>2096</v>
      </c>
      <c r="D1652" s="1" t="s">
        <v>1169</v>
      </c>
      <c r="E1652" s="1" t="s">
        <v>5168</v>
      </c>
      <c r="F1652" s="3">
        <v>1</v>
      </c>
      <c r="H1652" s="24" t="s">
        <v>5169</v>
      </c>
      <c r="I1652" s="24" t="s">
        <v>3254</v>
      </c>
      <c r="J1652" s="24" t="s">
        <v>2924</v>
      </c>
      <c r="K1652" s="3">
        <v>30</v>
      </c>
      <c r="L1652" s="3" t="s">
        <v>6955</v>
      </c>
      <c r="M1652" s="3" t="str">
        <f>HYPERLINK("http://ictvonline.org/taxonomyHistory.asp?taxnode_id=20152129","ICTVonline=20152129")</f>
        <v>ICTVonline=20152129</v>
      </c>
    </row>
    <row r="1653" spans="1:13" x14ac:dyDescent="0.15">
      <c r="A1653" s="1" t="s">
        <v>934</v>
      </c>
      <c r="B1653" s="1" t="s">
        <v>2096</v>
      </c>
      <c r="D1653" s="1" t="s">
        <v>1169</v>
      </c>
      <c r="E1653" s="1" t="s">
        <v>5170</v>
      </c>
      <c r="F1653" s="3">
        <v>0</v>
      </c>
      <c r="H1653" s="24" t="s">
        <v>5171</v>
      </c>
      <c r="I1653" s="24" t="s">
        <v>3254</v>
      </c>
      <c r="J1653" s="24" t="s">
        <v>2924</v>
      </c>
      <c r="K1653" s="3">
        <v>30</v>
      </c>
      <c r="L1653" s="3" t="s">
        <v>6955</v>
      </c>
      <c r="M1653" s="3" t="str">
        <f>HYPERLINK("http://ictvonline.org/taxonomyHistory.asp?taxnode_id=20152130","ICTVonline=20152130")</f>
        <v>ICTVonline=20152130</v>
      </c>
    </row>
    <row r="1654" spans="1:13" x14ac:dyDescent="0.15">
      <c r="A1654" s="1" t="s">
        <v>934</v>
      </c>
      <c r="B1654" s="1" t="s">
        <v>2096</v>
      </c>
      <c r="D1654" s="1" t="s">
        <v>1169</v>
      </c>
      <c r="E1654" s="1" t="s">
        <v>5172</v>
      </c>
      <c r="F1654" s="3">
        <v>0</v>
      </c>
      <c r="H1654" s="24" t="s">
        <v>5173</v>
      </c>
      <c r="I1654" s="24" t="s">
        <v>3254</v>
      </c>
      <c r="J1654" s="24" t="s">
        <v>2924</v>
      </c>
      <c r="K1654" s="3">
        <v>30</v>
      </c>
      <c r="L1654" s="3" t="s">
        <v>6955</v>
      </c>
      <c r="M1654" s="3" t="str">
        <f>HYPERLINK("http://ictvonline.org/taxonomyHistory.asp?taxnode_id=20152131","ICTVonline=20152131")</f>
        <v>ICTVonline=20152131</v>
      </c>
    </row>
    <row r="1655" spans="1:13" x14ac:dyDescent="0.15">
      <c r="A1655" s="1" t="s">
        <v>934</v>
      </c>
      <c r="B1655" s="1" t="s">
        <v>2096</v>
      </c>
      <c r="D1655" s="1" t="s">
        <v>1169</v>
      </c>
      <c r="E1655" s="1" t="s">
        <v>5174</v>
      </c>
      <c r="F1655" s="3">
        <v>0</v>
      </c>
      <c r="H1655" s="24" t="s">
        <v>5175</v>
      </c>
      <c r="I1655" s="24" t="s">
        <v>3254</v>
      </c>
      <c r="J1655" s="24" t="s">
        <v>2924</v>
      </c>
      <c r="K1655" s="3">
        <v>30</v>
      </c>
      <c r="L1655" s="3" t="s">
        <v>6955</v>
      </c>
      <c r="M1655" s="3" t="str">
        <f>HYPERLINK("http://ictvonline.org/taxonomyHistory.asp?taxnode_id=20152132","ICTVonline=20152132")</f>
        <v>ICTVonline=20152132</v>
      </c>
    </row>
    <row r="1656" spans="1:13" x14ac:dyDescent="0.15">
      <c r="A1656" s="1" t="s">
        <v>934</v>
      </c>
      <c r="B1656" s="1" t="s">
        <v>2096</v>
      </c>
      <c r="D1656" s="1" t="s">
        <v>1169</v>
      </c>
      <c r="E1656" s="1" t="s">
        <v>5176</v>
      </c>
      <c r="F1656" s="3">
        <v>0</v>
      </c>
      <c r="H1656" s="24" t="s">
        <v>5177</v>
      </c>
      <c r="I1656" s="24" t="s">
        <v>3254</v>
      </c>
      <c r="J1656" s="24" t="s">
        <v>2924</v>
      </c>
      <c r="K1656" s="3">
        <v>30</v>
      </c>
      <c r="L1656" s="3" t="s">
        <v>6955</v>
      </c>
      <c r="M1656" s="3" t="str">
        <f>HYPERLINK("http://ictvonline.org/taxonomyHistory.asp?taxnode_id=20152133","ICTVonline=20152133")</f>
        <v>ICTVonline=20152133</v>
      </c>
    </row>
    <row r="1657" spans="1:13" x14ac:dyDescent="0.15">
      <c r="A1657" s="1" t="s">
        <v>934</v>
      </c>
      <c r="B1657" s="1" t="s">
        <v>2096</v>
      </c>
      <c r="D1657" s="1" t="s">
        <v>2108</v>
      </c>
      <c r="E1657" s="1" t="s">
        <v>5178</v>
      </c>
      <c r="F1657" s="3">
        <v>0</v>
      </c>
      <c r="H1657" s="24" t="s">
        <v>5179</v>
      </c>
      <c r="I1657" s="24" t="s">
        <v>3254</v>
      </c>
      <c r="J1657" s="24" t="s">
        <v>2924</v>
      </c>
      <c r="K1657" s="3">
        <v>30</v>
      </c>
      <c r="L1657" s="3" t="s">
        <v>6955</v>
      </c>
      <c r="M1657" s="3" t="str">
        <f>HYPERLINK("http://ictvonline.org/taxonomyHistory.asp?taxnode_id=20152135","ICTVonline=20152135")</f>
        <v>ICTVonline=20152135</v>
      </c>
    </row>
    <row r="1658" spans="1:13" x14ac:dyDescent="0.15">
      <c r="A1658" s="1" t="s">
        <v>934</v>
      </c>
      <c r="B1658" s="1" t="s">
        <v>2096</v>
      </c>
      <c r="D1658" s="1" t="s">
        <v>2108</v>
      </c>
      <c r="E1658" s="1" t="s">
        <v>5180</v>
      </c>
      <c r="F1658" s="3">
        <v>0</v>
      </c>
      <c r="H1658" s="24" t="s">
        <v>5181</v>
      </c>
      <c r="I1658" s="24" t="s">
        <v>3254</v>
      </c>
      <c r="J1658" s="24" t="s">
        <v>2924</v>
      </c>
      <c r="K1658" s="3">
        <v>30</v>
      </c>
      <c r="L1658" s="3" t="s">
        <v>6955</v>
      </c>
      <c r="M1658" s="3" t="str">
        <f>HYPERLINK("http://ictvonline.org/taxonomyHistory.asp?taxnode_id=20152136","ICTVonline=20152136")</f>
        <v>ICTVonline=20152136</v>
      </c>
    </row>
    <row r="1659" spans="1:13" x14ac:dyDescent="0.15">
      <c r="A1659" s="1" t="s">
        <v>934</v>
      </c>
      <c r="B1659" s="1" t="s">
        <v>2096</v>
      </c>
      <c r="D1659" s="1" t="s">
        <v>2108</v>
      </c>
      <c r="E1659" s="1" t="s">
        <v>5182</v>
      </c>
      <c r="F1659" s="3">
        <v>0</v>
      </c>
      <c r="H1659" s="24" t="s">
        <v>5183</v>
      </c>
      <c r="I1659" s="24" t="s">
        <v>3254</v>
      </c>
      <c r="J1659" s="24" t="s">
        <v>2924</v>
      </c>
      <c r="K1659" s="3">
        <v>30</v>
      </c>
      <c r="L1659" s="3" t="s">
        <v>6955</v>
      </c>
      <c r="M1659" s="3" t="str">
        <f>HYPERLINK("http://ictvonline.org/taxonomyHistory.asp?taxnode_id=20152137","ICTVonline=20152137")</f>
        <v>ICTVonline=20152137</v>
      </c>
    </row>
    <row r="1660" spans="1:13" x14ac:dyDescent="0.15">
      <c r="A1660" s="1" t="s">
        <v>934</v>
      </c>
      <c r="B1660" s="1" t="s">
        <v>2096</v>
      </c>
      <c r="D1660" s="1" t="s">
        <v>2108</v>
      </c>
      <c r="E1660" s="1" t="s">
        <v>5184</v>
      </c>
      <c r="F1660" s="3">
        <v>0</v>
      </c>
      <c r="H1660" s="24" t="s">
        <v>6719</v>
      </c>
      <c r="I1660" s="24" t="s">
        <v>3254</v>
      </c>
      <c r="J1660" s="24" t="s">
        <v>2924</v>
      </c>
      <c r="K1660" s="3">
        <v>30</v>
      </c>
      <c r="L1660" s="3" t="s">
        <v>6955</v>
      </c>
      <c r="M1660" s="3" t="str">
        <f>HYPERLINK("http://ictvonline.org/taxonomyHistory.asp?taxnode_id=20152138","ICTVonline=20152138")</f>
        <v>ICTVonline=20152138</v>
      </c>
    </row>
    <row r="1661" spans="1:13" x14ac:dyDescent="0.15">
      <c r="A1661" s="1" t="s">
        <v>934</v>
      </c>
      <c r="B1661" s="1" t="s">
        <v>2096</v>
      </c>
      <c r="D1661" s="1" t="s">
        <v>2108</v>
      </c>
      <c r="E1661" s="1" t="s">
        <v>5185</v>
      </c>
      <c r="F1661" s="3">
        <v>0</v>
      </c>
      <c r="H1661" s="24" t="s">
        <v>6720</v>
      </c>
      <c r="I1661" s="24" t="s">
        <v>3254</v>
      </c>
      <c r="J1661" s="24" t="s">
        <v>2924</v>
      </c>
      <c r="K1661" s="3">
        <v>30</v>
      </c>
      <c r="L1661" s="3" t="s">
        <v>6955</v>
      </c>
      <c r="M1661" s="3" t="str">
        <f>HYPERLINK("http://ictvonline.org/taxonomyHistory.asp?taxnode_id=20152139","ICTVonline=20152139")</f>
        <v>ICTVonline=20152139</v>
      </c>
    </row>
    <row r="1662" spans="1:13" x14ac:dyDescent="0.15">
      <c r="A1662" s="1" t="s">
        <v>934</v>
      </c>
      <c r="B1662" s="1" t="s">
        <v>2096</v>
      </c>
      <c r="D1662" s="1" t="s">
        <v>2108</v>
      </c>
      <c r="E1662" s="1" t="s">
        <v>5186</v>
      </c>
      <c r="F1662" s="3">
        <v>0</v>
      </c>
      <c r="H1662" s="24" t="s">
        <v>5187</v>
      </c>
      <c r="I1662" s="24" t="s">
        <v>3254</v>
      </c>
      <c r="J1662" s="24" t="s">
        <v>2924</v>
      </c>
      <c r="K1662" s="3">
        <v>30</v>
      </c>
      <c r="L1662" s="3" t="s">
        <v>6955</v>
      </c>
      <c r="M1662" s="3" t="str">
        <f>HYPERLINK("http://ictvonline.org/taxonomyHistory.asp?taxnode_id=20152140","ICTVonline=20152140")</f>
        <v>ICTVonline=20152140</v>
      </c>
    </row>
    <row r="1663" spans="1:13" x14ac:dyDescent="0.15">
      <c r="A1663" s="1" t="s">
        <v>934</v>
      </c>
      <c r="B1663" s="1" t="s">
        <v>2096</v>
      </c>
      <c r="D1663" s="1" t="s">
        <v>2108</v>
      </c>
      <c r="E1663" s="1" t="s">
        <v>5188</v>
      </c>
      <c r="F1663" s="3">
        <v>0</v>
      </c>
      <c r="H1663" s="24" t="s">
        <v>5189</v>
      </c>
      <c r="I1663" s="24" t="s">
        <v>3254</v>
      </c>
      <c r="J1663" s="24" t="s">
        <v>2924</v>
      </c>
      <c r="K1663" s="3">
        <v>30</v>
      </c>
      <c r="L1663" s="3" t="s">
        <v>6955</v>
      </c>
      <c r="M1663" s="3" t="str">
        <f>HYPERLINK("http://ictvonline.org/taxonomyHistory.asp?taxnode_id=20152141","ICTVonline=20152141")</f>
        <v>ICTVonline=20152141</v>
      </c>
    </row>
    <row r="1664" spans="1:13" x14ac:dyDescent="0.15">
      <c r="A1664" s="1" t="s">
        <v>934</v>
      </c>
      <c r="B1664" s="1" t="s">
        <v>2096</v>
      </c>
      <c r="D1664" s="1" t="s">
        <v>2108</v>
      </c>
      <c r="E1664" s="1" t="s">
        <v>5190</v>
      </c>
      <c r="F1664" s="3">
        <v>0</v>
      </c>
      <c r="H1664" s="24" t="s">
        <v>5191</v>
      </c>
      <c r="I1664" s="24" t="s">
        <v>3254</v>
      </c>
      <c r="J1664" s="24" t="s">
        <v>2924</v>
      </c>
      <c r="K1664" s="3">
        <v>30</v>
      </c>
      <c r="L1664" s="3" t="s">
        <v>6955</v>
      </c>
      <c r="M1664" s="3" t="str">
        <f>HYPERLINK("http://ictvonline.org/taxonomyHistory.asp?taxnode_id=20152142","ICTVonline=20152142")</f>
        <v>ICTVonline=20152142</v>
      </c>
    </row>
    <row r="1665" spans="1:13" x14ac:dyDescent="0.15">
      <c r="A1665" s="1" t="s">
        <v>934</v>
      </c>
      <c r="B1665" s="1" t="s">
        <v>2096</v>
      </c>
      <c r="D1665" s="1" t="s">
        <v>2108</v>
      </c>
      <c r="E1665" s="1" t="s">
        <v>5192</v>
      </c>
      <c r="F1665" s="3">
        <v>0</v>
      </c>
      <c r="H1665" s="24" t="s">
        <v>5193</v>
      </c>
      <c r="I1665" s="24" t="s">
        <v>3254</v>
      </c>
      <c r="J1665" s="24" t="s">
        <v>2924</v>
      </c>
      <c r="K1665" s="3">
        <v>30</v>
      </c>
      <c r="L1665" s="3" t="s">
        <v>6955</v>
      </c>
      <c r="M1665" s="3" t="str">
        <f>HYPERLINK("http://ictvonline.org/taxonomyHistory.asp?taxnode_id=20152143","ICTVonline=20152143")</f>
        <v>ICTVonline=20152143</v>
      </c>
    </row>
    <row r="1666" spans="1:13" x14ac:dyDescent="0.15">
      <c r="A1666" s="1" t="s">
        <v>934</v>
      </c>
      <c r="B1666" s="1" t="s">
        <v>2096</v>
      </c>
      <c r="D1666" s="1" t="s">
        <v>2108</v>
      </c>
      <c r="E1666" s="1" t="s">
        <v>5194</v>
      </c>
      <c r="F1666" s="3">
        <v>0</v>
      </c>
      <c r="H1666" s="24" t="s">
        <v>5195</v>
      </c>
      <c r="I1666" s="24" t="s">
        <v>3254</v>
      </c>
      <c r="J1666" s="24" t="s">
        <v>2924</v>
      </c>
      <c r="K1666" s="3">
        <v>30</v>
      </c>
      <c r="L1666" s="3" t="s">
        <v>6955</v>
      </c>
      <c r="M1666" s="3" t="str">
        <f>HYPERLINK("http://ictvonline.org/taxonomyHistory.asp?taxnode_id=20152144","ICTVonline=20152144")</f>
        <v>ICTVonline=20152144</v>
      </c>
    </row>
    <row r="1667" spans="1:13" x14ac:dyDescent="0.15">
      <c r="A1667" s="1" t="s">
        <v>934</v>
      </c>
      <c r="B1667" s="1" t="s">
        <v>2096</v>
      </c>
      <c r="D1667" s="1" t="s">
        <v>2108</v>
      </c>
      <c r="E1667" s="1" t="s">
        <v>5196</v>
      </c>
      <c r="F1667" s="3">
        <v>0</v>
      </c>
      <c r="H1667" s="24" t="s">
        <v>5197</v>
      </c>
      <c r="I1667" s="24" t="s">
        <v>3254</v>
      </c>
      <c r="J1667" s="24" t="s">
        <v>2924</v>
      </c>
      <c r="K1667" s="3">
        <v>30</v>
      </c>
      <c r="L1667" s="3" t="s">
        <v>6955</v>
      </c>
      <c r="M1667" s="3" t="str">
        <f>HYPERLINK("http://ictvonline.org/taxonomyHistory.asp?taxnode_id=20152145","ICTVonline=20152145")</f>
        <v>ICTVonline=20152145</v>
      </c>
    </row>
    <row r="1668" spans="1:13" x14ac:dyDescent="0.15">
      <c r="A1668" s="1" t="s">
        <v>934</v>
      </c>
      <c r="B1668" s="1" t="s">
        <v>2096</v>
      </c>
      <c r="D1668" s="1" t="s">
        <v>2108</v>
      </c>
      <c r="E1668" s="1" t="s">
        <v>5198</v>
      </c>
      <c r="F1668" s="3">
        <v>1</v>
      </c>
      <c r="H1668" s="24" t="s">
        <v>5199</v>
      </c>
      <c r="I1668" s="24" t="s">
        <v>3254</v>
      </c>
      <c r="J1668" s="24" t="s">
        <v>2924</v>
      </c>
      <c r="K1668" s="3">
        <v>30</v>
      </c>
      <c r="L1668" s="3" t="s">
        <v>6955</v>
      </c>
      <c r="M1668" s="3" t="str">
        <f>HYPERLINK("http://ictvonline.org/taxonomyHistory.asp?taxnode_id=20152146","ICTVonline=20152146")</f>
        <v>ICTVonline=20152146</v>
      </c>
    </row>
    <row r="1669" spans="1:13" x14ac:dyDescent="0.15">
      <c r="A1669" s="1" t="s">
        <v>934</v>
      </c>
      <c r="B1669" s="1" t="s">
        <v>2096</v>
      </c>
      <c r="D1669" s="1" t="s">
        <v>2108</v>
      </c>
      <c r="E1669" s="1" t="s">
        <v>5200</v>
      </c>
      <c r="F1669" s="3">
        <v>0</v>
      </c>
      <c r="H1669" s="24" t="s">
        <v>5201</v>
      </c>
      <c r="I1669" s="24" t="s">
        <v>3254</v>
      </c>
      <c r="J1669" s="24" t="s">
        <v>2924</v>
      </c>
      <c r="K1669" s="3">
        <v>30</v>
      </c>
      <c r="L1669" s="3" t="s">
        <v>6955</v>
      </c>
      <c r="M1669" s="3" t="str">
        <f>HYPERLINK("http://ictvonline.org/taxonomyHistory.asp?taxnode_id=20152147","ICTVonline=20152147")</f>
        <v>ICTVonline=20152147</v>
      </c>
    </row>
    <row r="1670" spans="1:13" x14ac:dyDescent="0.15">
      <c r="A1670" s="1" t="s">
        <v>934</v>
      </c>
      <c r="B1670" s="1" t="s">
        <v>2096</v>
      </c>
      <c r="D1670" s="1" t="s">
        <v>2108</v>
      </c>
      <c r="E1670" s="1" t="s">
        <v>5202</v>
      </c>
      <c r="F1670" s="3">
        <v>0</v>
      </c>
      <c r="H1670" s="24" t="s">
        <v>5203</v>
      </c>
      <c r="I1670" s="24" t="s">
        <v>3254</v>
      </c>
      <c r="J1670" s="24" t="s">
        <v>2924</v>
      </c>
      <c r="K1670" s="3">
        <v>30</v>
      </c>
      <c r="L1670" s="3" t="s">
        <v>6955</v>
      </c>
      <c r="M1670" s="3" t="str">
        <f>HYPERLINK("http://ictvonline.org/taxonomyHistory.asp?taxnode_id=20152148","ICTVonline=20152148")</f>
        <v>ICTVonline=20152148</v>
      </c>
    </row>
    <row r="1671" spans="1:13" x14ac:dyDescent="0.15">
      <c r="A1671" s="1" t="s">
        <v>934</v>
      </c>
      <c r="B1671" s="1" t="s">
        <v>2096</v>
      </c>
      <c r="D1671" s="1" t="s">
        <v>2108</v>
      </c>
      <c r="E1671" s="1" t="s">
        <v>5204</v>
      </c>
      <c r="F1671" s="3">
        <v>0</v>
      </c>
      <c r="H1671" s="24" t="s">
        <v>6721</v>
      </c>
      <c r="I1671" s="24" t="s">
        <v>3254</v>
      </c>
      <c r="J1671" s="24" t="s">
        <v>2924</v>
      </c>
      <c r="K1671" s="3">
        <v>30</v>
      </c>
      <c r="L1671" s="3" t="s">
        <v>6955</v>
      </c>
      <c r="M1671" s="3" t="str">
        <f>HYPERLINK("http://ictvonline.org/taxonomyHistory.asp?taxnode_id=20152149","ICTVonline=20152149")</f>
        <v>ICTVonline=20152149</v>
      </c>
    </row>
    <row r="1672" spans="1:13" x14ac:dyDescent="0.15">
      <c r="A1672" s="1" t="s">
        <v>934</v>
      </c>
      <c r="B1672" s="1" t="s">
        <v>2096</v>
      </c>
      <c r="D1672" s="1" t="s">
        <v>2108</v>
      </c>
      <c r="E1672" s="1" t="s">
        <v>5205</v>
      </c>
      <c r="F1672" s="3">
        <v>0</v>
      </c>
      <c r="H1672" s="24" t="s">
        <v>5206</v>
      </c>
      <c r="I1672" s="24" t="s">
        <v>3254</v>
      </c>
      <c r="J1672" s="24" t="s">
        <v>2924</v>
      </c>
      <c r="K1672" s="3">
        <v>30</v>
      </c>
      <c r="L1672" s="3" t="s">
        <v>6955</v>
      </c>
      <c r="M1672" s="3" t="str">
        <f>HYPERLINK("http://ictvonline.org/taxonomyHistory.asp?taxnode_id=20152150","ICTVonline=20152150")</f>
        <v>ICTVonline=20152150</v>
      </c>
    </row>
    <row r="1673" spans="1:13" x14ac:dyDescent="0.15">
      <c r="A1673" s="1" t="s">
        <v>934</v>
      </c>
      <c r="B1673" s="1" t="s">
        <v>2096</v>
      </c>
      <c r="D1673" s="1" t="s">
        <v>2108</v>
      </c>
      <c r="E1673" s="1" t="s">
        <v>5207</v>
      </c>
      <c r="F1673" s="3">
        <v>0</v>
      </c>
      <c r="H1673" s="24" t="s">
        <v>6722</v>
      </c>
      <c r="I1673" s="24" t="s">
        <v>3254</v>
      </c>
      <c r="J1673" s="24" t="s">
        <v>2924</v>
      </c>
      <c r="K1673" s="3">
        <v>30</v>
      </c>
      <c r="L1673" s="3" t="s">
        <v>6955</v>
      </c>
      <c r="M1673" s="3" t="str">
        <f>HYPERLINK("http://ictvonline.org/taxonomyHistory.asp?taxnode_id=20152151","ICTVonline=20152151")</f>
        <v>ICTVonline=20152151</v>
      </c>
    </row>
    <row r="1674" spans="1:13" x14ac:dyDescent="0.15">
      <c r="A1674" s="1" t="s">
        <v>934</v>
      </c>
      <c r="B1674" s="1" t="s">
        <v>2096</v>
      </c>
      <c r="D1674" s="1" t="s">
        <v>2108</v>
      </c>
      <c r="E1674" s="1" t="s">
        <v>5208</v>
      </c>
      <c r="F1674" s="3">
        <v>0</v>
      </c>
      <c r="H1674" s="24" t="s">
        <v>6723</v>
      </c>
      <c r="I1674" s="24" t="s">
        <v>3254</v>
      </c>
      <c r="J1674" s="24" t="s">
        <v>2924</v>
      </c>
      <c r="K1674" s="3">
        <v>30</v>
      </c>
      <c r="L1674" s="3" t="s">
        <v>6955</v>
      </c>
      <c r="M1674" s="3" t="str">
        <f>HYPERLINK("http://ictvonline.org/taxonomyHistory.asp?taxnode_id=20152152","ICTVonline=20152152")</f>
        <v>ICTVonline=20152152</v>
      </c>
    </row>
    <row r="1675" spans="1:13" x14ac:dyDescent="0.15">
      <c r="A1675" s="1" t="s">
        <v>934</v>
      </c>
      <c r="B1675" s="1" t="s">
        <v>2096</v>
      </c>
      <c r="D1675" s="1" t="s">
        <v>2108</v>
      </c>
      <c r="E1675" s="1" t="s">
        <v>5209</v>
      </c>
      <c r="F1675" s="3">
        <v>0</v>
      </c>
      <c r="H1675" s="24" t="s">
        <v>5210</v>
      </c>
      <c r="I1675" s="24" t="s">
        <v>3254</v>
      </c>
      <c r="J1675" s="24" t="s">
        <v>2924</v>
      </c>
      <c r="K1675" s="3">
        <v>30</v>
      </c>
      <c r="L1675" s="3" t="s">
        <v>6955</v>
      </c>
      <c r="M1675" s="3" t="str">
        <f>HYPERLINK("http://ictvonline.org/taxonomyHistory.asp?taxnode_id=20152153","ICTVonline=20152153")</f>
        <v>ICTVonline=20152153</v>
      </c>
    </row>
    <row r="1676" spans="1:13" x14ac:dyDescent="0.15">
      <c r="A1676" s="1" t="s">
        <v>934</v>
      </c>
      <c r="B1676" s="1" t="s">
        <v>2096</v>
      </c>
      <c r="D1676" s="1" t="s">
        <v>2108</v>
      </c>
      <c r="E1676" s="1" t="s">
        <v>5211</v>
      </c>
      <c r="F1676" s="3">
        <v>0</v>
      </c>
      <c r="H1676" s="24" t="s">
        <v>5212</v>
      </c>
      <c r="I1676" s="24" t="s">
        <v>3254</v>
      </c>
      <c r="J1676" s="24" t="s">
        <v>2924</v>
      </c>
      <c r="K1676" s="3">
        <v>30</v>
      </c>
      <c r="L1676" s="3" t="s">
        <v>6955</v>
      </c>
      <c r="M1676" s="3" t="str">
        <f>HYPERLINK("http://ictvonline.org/taxonomyHistory.asp?taxnode_id=20152154","ICTVonline=20152154")</f>
        <v>ICTVonline=20152154</v>
      </c>
    </row>
    <row r="1677" spans="1:13" x14ac:dyDescent="0.15">
      <c r="A1677" s="1" t="s">
        <v>934</v>
      </c>
      <c r="B1677" s="1" t="s">
        <v>2096</v>
      </c>
      <c r="D1677" s="1" t="s">
        <v>2108</v>
      </c>
      <c r="E1677" s="1" t="s">
        <v>5213</v>
      </c>
      <c r="F1677" s="3">
        <v>0</v>
      </c>
      <c r="H1677" s="24" t="s">
        <v>6724</v>
      </c>
      <c r="I1677" s="24" t="s">
        <v>3254</v>
      </c>
      <c r="J1677" s="24" t="s">
        <v>2924</v>
      </c>
      <c r="K1677" s="3">
        <v>30</v>
      </c>
      <c r="L1677" s="3" t="s">
        <v>6955</v>
      </c>
      <c r="M1677" s="3" t="str">
        <f>HYPERLINK("http://ictvonline.org/taxonomyHistory.asp?taxnode_id=20152155","ICTVonline=20152155")</f>
        <v>ICTVonline=20152155</v>
      </c>
    </row>
    <row r="1678" spans="1:13" x14ac:dyDescent="0.15">
      <c r="A1678" s="1" t="s">
        <v>934</v>
      </c>
      <c r="B1678" s="1" t="s">
        <v>2096</v>
      </c>
      <c r="D1678" s="1" t="s">
        <v>2108</v>
      </c>
      <c r="E1678" s="1" t="s">
        <v>5214</v>
      </c>
      <c r="F1678" s="3">
        <v>0</v>
      </c>
      <c r="H1678" s="24" t="s">
        <v>6725</v>
      </c>
      <c r="I1678" s="24" t="s">
        <v>3254</v>
      </c>
      <c r="J1678" s="24" t="s">
        <v>2924</v>
      </c>
      <c r="K1678" s="3">
        <v>30</v>
      </c>
      <c r="L1678" s="3" t="s">
        <v>6955</v>
      </c>
      <c r="M1678" s="3" t="str">
        <f>HYPERLINK("http://ictvonline.org/taxonomyHistory.asp?taxnode_id=20152156","ICTVonline=20152156")</f>
        <v>ICTVonline=20152156</v>
      </c>
    </row>
    <row r="1679" spans="1:13" x14ac:dyDescent="0.15">
      <c r="A1679" s="1" t="s">
        <v>934</v>
      </c>
      <c r="B1679" s="1" t="s">
        <v>2096</v>
      </c>
      <c r="D1679" s="1" t="s">
        <v>2108</v>
      </c>
      <c r="E1679" s="1" t="s">
        <v>5215</v>
      </c>
      <c r="F1679" s="3">
        <v>0</v>
      </c>
      <c r="H1679" s="24" t="s">
        <v>5216</v>
      </c>
      <c r="I1679" s="24" t="s">
        <v>3254</v>
      </c>
      <c r="J1679" s="24" t="s">
        <v>2924</v>
      </c>
      <c r="K1679" s="3">
        <v>30</v>
      </c>
      <c r="L1679" s="3" t="s">
        <v>6955</v>
      </c>
      <c r="M1679" s="3" t="str">
        <f>HYPERLINK("http://ictvonline.org/taxonomyHistory.asp?taxnode_id=20152157","ICTVonline=20152157")</f>
        <v>ICTVonline=20152157</v>
      </c>
    </row>
    <row r="1680" spans="1:13" x14ac:dyDescent="0.15">
      <c r="A1680" s="1" t="s">
        <v>934</v>
      </c>
      <c r="B1680" s="1" t="s">
        <v>2096</v>
      </c>
      <c r="D1680" s="1" t="s">
        <v>2108</v>
      </c>
      <c r="E1680" s="1" t="s">
        <v>5217</v>
      </c>
      <c r="F1680" s="3">
        <v>0</v>
      </c>
      <c r="H1680" s="24" t="s">
        <v>5218</v>
      </c>
      <c r="I1680" s="24" t="s">
        <v>3254</v>
      </c>
      <c r="J1680" s="24" t="s">
        <v>2924</v>
      </c>
      <c r="K1680" s="3">
        <v>30</v>
      </c>
      <c r="L1680" s="3" t="s">
        <v>6955</v>
      </c>
      <c r="M1680" s="3" t="str">
        <f>HYPERLINK("http://ictvonline.org/taxonomyHistory.asp?taxnode_id=20152158","ICTVonline=20152158")</f>
        <v>ICTVonline=20152158</v>
      </c>
    </row>
    <row r="1681" spans="1:13" x14ac:dyDescent="0.15">
      <c r="A1681" s="1" t="s">
        <v>934</v>
      </c>
      <c r="B1681" s="1" t="s">
        <v>2096</v>
      </c>
      <c r="D1681" s="1" t="s">
        <v>2108</v>
      </c>
      <c r="E1681" s="1" t="s">
        <v>5219</v>
      </c>
      <c r="F1681" s="3">
        <v>0</v>
      </c>
      <c r="H1681" s="24" t="s">
        <v>5220</v>
      </c>
      <c r="I1681" s="24" t="s">
        <v>3254</v>
      </c>
      <c r="J1681" s="24" t="s">
        <v>2924</v>
      </c>
      <c r="K1681" s="3">
        <v>30</v>
      </c>
      <c r="L1681" s="3" t="s">
        <v>6955</v>
      </c>
      <c r="M1681" s="3" t="str">
        <f>HYPERLINK("http://ictvonline.org/taxonomyHistory.asp?taxnode_id=20152159","ICTVonline=20152159")</f>
        <v>ICTVonline=20152159</v>
      </c>
    </row>
    <row r="1682" spans="1:13" x14ac:dyDescent="0.15">
      <c r="A1682" s="1" t="s">
        <v>934</v>
      </c>
      <c r="B1682" s="1" t="s">
        <v>2096</v>
      </c>
      <c r="D1682" s="1" t="s">
        <v>2108</v>
      </c>
      <c r="E1682" s="1" t="s">
        <v>5221</v>
      </c>
      <c r="F1682" s="3">
        <v>0</v>
      </c>
      <c r="H1682" s="24" t="s">
        <v>5222</v>
      </c>
      <c r="I1682" s="24" t="s">
        <v>3254</v>
      </c>
      <c r="J1682" s="24" t="s">
        <v>2924</v>
      </c>
      <c r="K1682" s="3">
        <v>30</v>
      </c>
      <c r="L1682" s="3" t="s">
        <v>6955</v>
      </c>
      <c r="M1682" s="3" t="str">
        <f>HYPERLINK("http://ictvonline.org/taxonomyHistory.asp?taxnode_id=20152160","ICTVonline=20152160")</f>
        <v>ICTVonline=20152160</v>
      </c>
    </row>
    <row r="1683" spans="1:13" x14ac:dyDescent="0.15">
      <c r="A1683" s="1" t="s">
        <v>934</v>
      </c>
      <c r="B1683" s="1" t="s">
        <v>2096</v>
      </c>
      <c r="D1683" s="1" t="s">
        <v>2108</v>
      </c>
      <c r="E1683" s="1" t="s">
        <v>5223</v>
      </c>
      <c r="F1683" s="3">
        <v>0</v>
      </c>
      <c r="H1683" s="24" t="s">
        <v>5224</v>
      </c>
      <c r="I1683" s="24" t="s">
        <v>3254</v>
      </c>
      <c r="J1683" s="24" t="s">
        <v>2924</v>
      </c>
      <c r="K1683" s="3">
        <v>30</v>
      </c>
      <c r="L1683" s="3" t="s">
        <v>6955</v>
      </c>
      <c r="M1683" s="3" t="str">
        <f>HYPERLINK("http://ictvonline.org/taxonomyHistory.asp?taxnode_id=20152162","ICTVonline=20152162")</f>
        <v>ICTVonline=20152162</v>
      </c>
    </row>
    <row r="1684" spans="1:13" x14ac:dyDescent="0.15">
      <c r="A1684" s="1" t="s">
        <v>934</v>
      </c>
      <c r="B1684" s="1" t="s">
        <v>2096</v>
      </c>
      <c r="D1684" s="1" t="s">
        <v>2108</v>
      </c>
      <c r="E1684" s="1" t="s">
        <v>5225</v>
      </c>
      <c r="F1684" s="3">
        <v>0</v>
      </c>
      <c r="H1684" s="24" t="s">
        <v>5226</v>
      </c>
      <c r="I1684" s="24" t="s">
        <v>3254</v>
      </c>
      <c r="J1684" s="24" t="s">
        <v>2924</v>
      </c>
      <c r="K1684" s="3">
        <v>30</v>
      </c>
      <c r="L1684" s="3" t="s">
        <v>6955</v>
      </c>
      <c r="M1684" s="3" t="str">
        <f>HYPERLINK("http://ictvonline.org/taxonomyHistory.asp?taxnode_id=20152163","ICTVonline=20152163")</f>
        <v>ICTVonline=20152163</v>
      </c>
    </row>
    <row r="1685" spans="1:13" x14ac:dyDescent="0.15">
      <c r="A1685" s="1" t="s">
        <v>934</v>
      </c>
      <c r="B1685" s="1" t="s">
        <v>2096</v>
      </c>
      <c r="D1685" s="1" t="s">
        <v>2108</v>
      </c>
      <c r="E1685" s="1" t="s">
        <v>5227</v>
      </c>
      <c r="F1685" s="3">
        <v>0</v>
      </c>
      <c r="H1685" s="24" t="s">
        <v>5228</v>
      </c>
      <c r="I1685" s="24" t="s">
        <v>3254</v>
      </c>
      <c r="J1685" s="24" t="s">
        <v>2924</v>
      </c>
      <c r="K1685" s="3">
        <v>30</v>
      </c>
      <c r="L1685" s="3" t="s">
        <v>6955</v>
      </c>
      <c r="M1685" s="3" t="str">
        <f>HYPERLINK("http://ictvonline.org/taxonomyHistory.asp?taxnode_id=20152164","ICTVonline=20152164")</f>
        <v>ICTVonline=20152164</v>
      </c>
    </row>
    <row r="1686" spans="1:13" x14ac:dyDescent="0.15">
      <c r="A1686" s="1" t="s">
        <v>934</v>
      </c>
      <c r="B1686" s="1" t="s">
        <v>2096</v>
      </c>
      <c r="D1686" s="1" t="s">
        <v>2108</v>
      </c>
      <c r="E1686" s="1" t="s">
        <v>5229</v>
      </c>
      <c r="F1686" s="3">
        <v>0</v>
      </c>
      <c r="H1686" s="24" t="s">
        <v>6726</v>
      </c>
      <c r="I1686" s="24" t="s">
        <v>3254</v>
      </c>
      <c r="J1686" s="24" t="s">
        <v>2924</v>
      </c>
      <c r="K1686" s="3">
        <v>30</v>
      </c>
      <c r="L1686" s="3" t="s">
        <v>6955</v>
      </c>
      <c r="M1686" s="3" t="str">
        <f>HYPERLINK("http://ictvonline.org/taxonomyHistory.asp?taxnode_id=20152165","ICTVonline=20152165")</f>
        <v>ICTVonline=20152165</v>
      </c>
    </row>
    <row r="1687" spans="1:13" x14ac:dyDescent="0.15">
      <c r="A1687" s="1" t="s">
        <v>934</v>
      </c>
      <c r="B1687" s="1" t="s">
        <v>2096</v>
      </c>
      <c r="D1687" s="1" t="s">
        <v>2108</v>
      </c>
      <c r="E1687" s="1" t="s">
        <v>5230</v>
      </c>
      <c r="F1687" s="3">
        <v>0</v>
      </c>
      <c r="H1687" s="24" t="s">
        <v>5231</v>
      </c>
      <c r="I1687" s="24" t="s">
        <v>3254</v>
      </c>
      <c r="J1687" s="24" t="s">
        <v>2924</v>
      </c>
      <c r="K1687" s="3">
        <v>30</v>
      </c>
      <c r="L1687" s="3" t="s">
        <v>6955</v>
      </c>
      <c r="M1687" s="3" t="str">
        <f>HYPERLINK("http://ictvonline.org/taxonomyHistory.asp?taxnode_id=20152166","ICTVonline=20152166")</f>
        <v>ICTVonline=20152166</v>
      </c>
    </row>
    <row r="1688" spans="1:13" x14ac:dyDescent="0.15">
      <c r="A1688" s="1" t="s">
        <v>934</v>
      </c>
      <c r="B1688" s="1" t="s">
        <v>2096</v>
      </c>
      <c r="D1688" s="1" t="s">
        <v>2108</v>
      </c>
      <c r="E1688" s="1" t="s">
        <v>5232</v>
      </c>
      <c r="F1688" s="3">
        <v>0</v>
      </c>
      <c r="H1688" s="24" t="s">
        <v>6727</v>
      </c>
      <c r="I1688" s="24" t="s">
        <v>3254</v>
      </c>
      <c r="J1688" s="24" t="s">
        <v>2924</v>
      </c>
      <c r="K1688" s="3">
        <v>30</v>
      </c>
      <c r="L1688" s="3" t="s">
        <v>6955</v>
      </c>
      <c r="M1688" s="3" t="str">
        <f>HYPERLINK("http://ictvonline.org/taxonomyHistory.asp?taxnode_id=20152161","ICTVonline=20152161")</f>
        <v>ICTVonline=20152161</v>
      </c>
    </row>
    <row r="1689" spans="1:13" x14ac:dyDescent="0.15">
      <c r="A1689" s="1" t="s">
        <v>934</v>
      </c>
      <c r="B1689" s="1" t="s">
        <v>2096</v>
      </c>
      <c r="D1689" s="1" t="s">
        <v>2108</v>
      </c>
      <c r="E1689" s="1" t="s">
        <v>5233</v>
      </c>
      <c r="F1689" s="3">
        <v>0</v>
      </c>
      <c r="H1689" s="24" t="s">
        <v>5234</v>
      </c>
      <c r="I1689" s="24" t="s">
        <v>3254</v>
      </c>
      <c r="J1689" s="24" t="s">
        <v>2924</v>
      </c>
      <c r="K1689" s="3">
        <v>30</v>
      </c>
      <c r="L1689" s="3" t="s">
        <v>6955</v>
      </c>
      <c r="M1689" s="3" t="str">
        <f>HYPERLINK("http://ictvonline.org/taxonomyHistory.asp?taxnode_id=20152167","ICTVonline=20152167")</f>
        <v>ICTVonline=20152167</v>
      </c>
    </row>
    <row r="1690" spans="1:13" x14ac:dyDescent="0.15">
      <c r="A1690" s="1" t="s">
        <v>934</v>
      </c>
      <c r="B1690" s="1" t="s">
        <v>2096</v>
      </c>
      <c r="D1690" s="1" t="s">
        <v>2108</v>
      </c>
      <c r="E1690" s="1" t="s">
        <v>5235</v>
      </c>
      <c r="F1690" s="3">
        <v>0</v>
      </c>
      <c r="H1690" s="24" t="s">
        <v>5236</v>
      </c>
      <c r="I1690" s="24" t="s">
        <v>3254</v>
      </c>
      <c r="J1690" s="24" t="s">
        <v>2924</v>
      </c>
      <c r="K1690" s="3">
        <v>30</v>
      </c>
      <c r="L1690" s="3" t="s">
        <v>6955</v>
      </c>
      <c r="M1690" s="3" t="str">
        <f>HYPERLINK("http://ictvonline.org/taxonomyHistory.asp?taxnode_id=20152168","ICTVonline=20152168")</f>
        <v>ICTVonline=20152168</v>
      </c>
    </row>
    <row r="1691" spans="1:13" x14ac:dyDescent="0.15">
      <c r="A1691" s="1" t="s">
        <v>934</v>
      </c>
      <c r="B1691" s="1" t="s">
        <v>2096</v>
      </c>
      <c r="D1691" s="1" t="s">
        <v>2108</v>
      </c>
      <c r="E1691" s="1" t="s">
        <v>5237</v>
      </c>
      <c r="F1691" s="3">
        <v>0</v>
      </c>
      <c r="H1691" s="24" t="s">
        <v>6728</v>
      </c>
      <c r="I1691" s="24" t="s">
        <v>3254</v>
      </c>
      <c r="J1691" s="24" t="s">
        <v>2924</v>
      </c>
      <c r="K1691" s="3">
        <v>30</v>
      </c>
      <c r="L1691" s="3" t="s">
        <v>6955</v>
      </c>
      <c r="M1691" s="3" t="str">
        <f>HYPERLINK("http://ictvonline.org/taxonomyHistory.asp?taxnode_id=20152169","ICTVonline=20152169")</f>
        <v>ICTVonline=20152169</v>
      </c>
    </row>
    <row r="1692" spans="1:13" x14ac:dyDescent="0.15">
      <c r="A1692" s="1" t="s">
        <v>934</v>
      </c>
      <c r="B1692" s="1" t="s">
        <v>2096</v>
      </c>
      <c r="D1692" s="1" t="s">
        <v>2108</v>
      </c>
      <c r="E1692" s="1" t="s">
        <v>5238</v>
      </c>
      <c r="F1692" s="3">
        <v>0</v>
      </c>
      <c r="H1692" s="24" t="s">
        <v>6729</v>
      </c>
      <c r="I1692" s="24" t="s">
        <v>3254</v>
      </c>
      <c r="J1692" s="24" t="s">
        <v>2924</v>
      </c>
      <c r="K1692" s="3">
        <v>30</v>
      </c>
      <c r="L1692" s="3" t="s">
        <v>6955</v>
      </c>
      <c r="M1692" s="3" t="str">
        <f>HYPERLINK("http://ictvonline.org/taxonomyHistory.asp?taxnode_id=20152170","ICTVonline=20152170")</f>
        <v>ICTVonline=20152170</v>
      </c>
    </row>
    <row r="1693" spans="1:13" x14ac:dyDescent="0.15">
      <c r="A1693" s="1" t="s">
        <v>934</v>
      </c>
      <c r="B1693" s="1" t="s">
        <v>2096</v>
      </c>
      <c r="D1693" s="1" t="s">
        <v>2108</v>
      </c>
      <c r="E1693" s="1" t="s">
        <v>5239</v>
      </c>
      <c r="F1693" s="3">
        <v>0</v>
      </c>
      <c r="H1693" s="24" t="s">
        <v>5240</v>
      </c>
      <c r="I1693" s="24" t="s">
        <v>3254</v>
      </c>
      <c r="J1693" s="24" t="s">
        <v>2924</v>
      </c>
      <c r="K1693" s="3">
        <v>30</v>
      </c>
      <c r="L1693" s="3" t="s">
        <v>6955</v>
      </c>
      <c r="M1693" s="3" t="str">
        <f>HYPERLINK("http://ictvonline.org/taxonomyHistory.asp?taxnode_id=20152171","ICTVonline=20152171")</f>
        <v>ICTVonline=20152171</v>
      </c>
    </row>
    <row r="1694" spans="1:13" x14ac:dyDescent="0.15">
      <c r="A1694" s="1" t="s">
        <v>934</v>
      </c>
      <c r="B1694" s="1" t="s">
        <v>2096</v>
      </c>
      <c r="D1694" s="1" t="s">
        <v>2108</v>
      </c>
      <c r="E1694" s="1" t="s">
        <v>5241</v>
      </c>
      <c r="F1694" s="3">
        <v>0</v>
      </c>
      <c r="H1694" s="24" t="s">
        <v>5242</v>
      </c>
      <c r="I1694" s="24" t="s">
        <v>3254</v>
      </c>
      <c r="J1694" s="24" t="s">
        <v>2924</v>
      </c>
      <c r="K1694" s="3">
        <v>30</v>
      </c>
      <c r="L1694" s="3" t="s">
        <v>6955</v>
      </c>
      <c r="M1694" s="3" t="str">
        <f>HYPERLINK("http://ictvonline.org/taxonomyHistory.asp?taxnode_id=20152172","ICTVonline=20152172")</f>
        <v>ICTVonline=20152172</v>
      </c>
    </row>
    <row r="1695" spans="1:13" x14ac:dyDescent="0.15">
      <c r="A1695" s="1" t="s">
        <v>934</v>
      </c>
      <c r="B1695" s="1" t="s">
        <v>2096</v>
      </c>
      <c r="D1695" s="1" t="s">
        <v>2108</v>
      </c>
      <c r="E1695" s="1" t="s">
        <v>5243</v>
      </c>
      <c r="F1695" s="3">
        <v>0</v>
      </c>
      <c r="H1695" s="24" t="s">
        <v>5244</v>
      </c>
      <c r="I1695" s="24" t="s">
        <v>3254</v>
      </c>
      <c r="J1695" s="24" t="s">
        <v>2924</v>
      </c>
      <c r="K1695" s="3">
        <v>30</v>
      </c>
      <c r="L1695" s="3" t="s">
        <v>6955</v>
      </c>
      <c r="M1695" s="3" t="str">
        <f>HYPERLINK("http://ictvonline.org/taxonomyHistory.asp?taxnode_id=20152173","ICTVonline=20152173")</f>
        <v>ICTVonline=20152173</v>
      </c>
    </row>
    <row r="1696" spans="1:13" x14ac:dyDescent="0.15">
      <c r="A1696" s="1" t="s">
        <v>934</v>
      </c>
      <c r="B1696" s="1" t="s">
        <v>2096</v>
      </c>
      <c r="D1696" s="1" t="s">
        <v>2108</v>
      </c>
      <c r="E1696" s="1" t="s">
        <v>5245</v>
      </c>
      <c r="F1696" s="3">
        <v>0</v>
      </c>
      <c r="H1696" s="24" t="s">
        <v>5246</v>
      </c>
      <c r="I1696" s="24" t="s">
        <v>3254</v>
      </c>
      <c r="J1696" s="24" t="s">
        <v>2924</v>
      </c>
      <c r="K1696" s="3">
        <v>30</v>
      </c>
      <c r="L1696" s="3" t="s">
        <v>6955</v>
      </c>
      <c r="M1696" s="3" t="str">
        <f>HYPERLINK("http://ictvonline.org/taxonomyHistory.asp?taxnode_id=20152174","ICTVonline=20152174")</f>
        <v>ICTVonline=20152174</v>
      </c>
    </row>
    <row r="1697" spans="1:13" x14ac:dyDescent="0.15">
      <c r="A1697" s="1" t="s">
        <v>934</v>
      </c>
      <c r="B1697" s="1" t="s">
        <v>2096</v>
      </c>
      <c r="D1697" s="1" t="s">
        <v>2108</v>
      </c>
      <c r="E1697" s="1" t="s">
        <v>5247</v>
      </c>
      <c r="F1697" s="3">
        <v>0</v>
      </c>
      <c r="H1697" s="24" t="s">
        <v>5248</v>
      </c>
      <c r="I1697" s="24" t="s">
        <v>3254</v>
      </c>
      <c r="J1697" s="24" t="s">
        <v>2924</v>
      </c>
      <c r="K1697" s="3">
        <v>30</v>
      </c>
      <c r="L1697" s="3" t="s">
        <v>6955</v>
      </c>
      <c r="M1697" s="3" t="str">
        <f>HYPERLINK("http://ictvonline.org/taxonomyHistory.asp?taxnode_id=20152175","ICTVonline=20152175")</f>
        <v>ICTVonline=20152175</v>
      </c>
    </row>
    <row r="1698" spans="1:13" x14ac:dyDescent="0.15">
      <c r="A1698" s="1" t="s">
        <v>934</v>
      </c>
      <c r="B1698" s="1" t="s">
        <v>2096</v>
      </c>
      <c r="D1698" s="1" t="s">
        <v>2108</v>
      </c>
      <c r="E1698" s="1" t="s">
        <v>5249</v>
      </c>
      <c r="F1698" s="3">
        <v>0</v>
      </c>
      <c r="H1698" s="24" t="s">
        <v>5250</v>
      </c>
      <c r="I1698" s="24" t="s">
        <v>3254</v>
      </c>
      <c r="J1698" s="24" t="s">
        <v>2924</v>
      </c>
      <c r="K1698" s="3">
        <v>30</v>
      </c>
      <c r="L1698" s="3" t="s">
        <v>6955</v>
      </c>
      <c r="M1698" s="3" t="str">
        <f>HYPERLINK("http://ictvonline.org/taxonomyHistory.asp?taxnode_id=20152176","ICTVonline=20152176")</f>
        <v>ICTVonline=20152176</v>
      </c>
    </row>
    <row r="1699" spans="1:13" x14ac:dyDescent="0.15">
      <c r="A1699" s="1" t="s">
        <v>934</v>
      </c>
      <c r="B1699" s="1" t="s">
        <v>2096</v>
      </c>
      <c r="D1699" s="1" t="s">
        <v>2108</v>
      </c>
      <c r="E1699" s="1" t="s">
        <v>5251</v>
      </c>
      <c r="F1699" s="3">
        <v>0</v>
      </c>
      <c r="H1699" s="24" t="s">
        <v>5252</v>
      </c>
      <c r="I1699" s="24" t="s">
        <v>3254</v>
      </c>
      <c r="J1699" s="24" t="s">
        <v>2924</v>
      </c>
      <c r="K1699" s="3">
        <v>30</v>
      </c>
      <c r="L1699" s="3" t="s">
        <v>6955</v>
      </c>
      <c r="M1699" s="3" t="str">
        <f>HYPERLINK("http://ictvonline.org/taxonomyHistory.asp?taxnode_id=20152177","ICTVonline=20152177")</f>
        <v>ICTVonline=20152177</v>
      </c>
    </row>
    <row r="1700" spans="1:13" x14ac:dyDescent="0.15">
      <c r="A1700" s="1" t="s">
        <v>934</v>
      </c>
      <c r="B1700" s="1" t="s">
        <v>2096</v>
      </c>
      <c r="D1700" s="1" t="s">
        <v>2108</v>
      </c>
      <c r="E1700" s="1" t="s">
        <v>5253</v>
      </c>
      <c r="F1700" s="3">
        <v>0</v>
      </c>
      <c r="H1700" s="24" t="s">
        <v>5254</v>
      </c>
      <c r="I1700" s="24" t="s">
        <v>3254</v>
      </c>
      <c r="J1700" s="24" t="s">
        <v>2924</v>
      </c>
      <c r="K1700" s="3">
        <v>30</v>
      </c>
      <c r="L1700" s="3" t="s">
        <v>6955</v>
      </c>
      <c r="M1700" s="3" t="str">
        <f>HYPERLINK("http://ictvonline.org/taxonomyHistory.asp?taxnode_id=20152178","ICTVonline=20152178")</f>
        <v>ICTVonline=20152178</v>
      </c>
    </row>
    <row r="1701" spans="1:13" x14ac:dyDescent="0.15">
      <c r="A1701" s="1" t="s">
        <v>934</v>
      </c>
      <c r="B1701" s="1" t="s">
        <v>2096</v>
      </c>
      <c r="D1701" s="1" t="s">
        <v>2108</v>
      </c>
      <c r="E1701" s="1" t="s">
        <v>5255</v>
      </c>
      <c r="F1701" s="3">
        <v>0</v>
      </c>
      <c r="H1701" s="24" t="s">
        <v>5256</v>
      </c>
      <c r="I1701" s="24" t="s">
        <v>3254</v>
      </c>
      <c r="J1701" s="24" t="s">
        <v>2924</v>
      </c>
      <c r="K1701" s="3">
        <v>30</v>
      </c>
      <c r="L1701" s="3" t="s">
        <v>6955</v>
      </c>
      <c r="M1701" s="3" t="str">
        <f>HYPERLINK("http://ictvonline.org/taxonomyHistory.asp?taxnode_id=20152179","ICTVonline=20152179")</f>
        <v>ICTVonline=20152179</v>
      </c>
    </row>
    <row r="1702" spans="1:13" x14ac:dyDescent="0.15">
      <c r="A1702" s="1" t="s">
        <v>934</v>
      </c>
      <c r="B1702" s="1" t="s">
        <v>2096</v>
      </c>
      <c r="D1702" s="1" t="s">
        <v>2108</v>
      </c>
      <c r="E1702" s="1" t="s">
        <v>5257</v>
      </c>
      <c r="F1702" s="3">
        <v>0</v>
      </c>
      <c r="H1702" s="24" t="s">
        <v>5258</v>
      </c>
      <c r="I1702" s="24" t="s">
        <v>3254</v>
      </c>
      <c r="J1702" s="24" t="s">
        <v>2924</v>
      </c>
      <c r="K1702" s="3">
        <v>30</v>
      </c>
      <c r="L1702" s="3" t="s">
        <v>6955</v>
      </c>
      <c r="M1702" s="3" t="str">
        <f>HYPERLINK("http://ictvonline.org/taxonomyHistory.asp?taxnode_id=20152180","ICTVonline=20152180")</f>
        <v>ICTVonline=20152180</v>
      </c>
    </row>
    <row r="1703" spans="1:13" x14ac:dyDescent="0.15">
      <c r="A1703" s="1" t="s">
        <v>934</v>
      </c>
      <c r="B1703" s="1" t="s">
        <v>2096</v>
      </c>
      <c r="D1703" s="1" t="s">
        <v>2108</v>
      </c>
      <c r="E1703" s="1" t="s">
        <v>5259</v>
      </c>
      <c r="F1703" s="3">
        <v>0</v>
      </c>
      <c r="H1703" s="24" t="s">
        <v>5260</v>
      </c>
      <c r="I1703" s="24" t="s">
        <v>3254</v>
      </c>
      <c r="J1703" s="24" t="s">
        <v>2924</v>
      </c>
      <c r="K1703" s="3">
        <v>30</v>
      </c>
      <c r="L1703" s="3" t="s">
        <v>6955</v>
      </c>
      <c r="M1703" s="3" t="str">
        <f>HYPERLINK("http://ictvonline.org/taxonomyHistory.asp?taxnode_id=20152181","ICTVonline=20152181")</f>
        <v>ICTVonline=20152181</v>
      </c>
    </row>
    <row r="1704" spans="1:13" x14ac:dyDescent="0.15">
      <c r="A1704" s="1" t="s">
        <v>934</v>
      </c>
      <c r="B1704" s="1" t="s">
        <v>2096</v>
      </c>
      <c r="D1704" s="1" t="s">
        <v>2108</v>
      </c>
      <c r="E1704" s="1" t="s">
        <v>5261</v>
      </c>
      <c r="F1704" s="3">
        <v>0</v>
      </c>
      <c r="H1704" s="24" t="s">
        <v>5262</v>
      </c>
      <c r="I1704" s="24" t="s">
        <v>3254</v>
      </c>
      <c r="J1704" s="24" t="s">
        <v>2924</v>
      </c>
      <c r="K1704" s="3">
        <v>30</v>
      </c>
      <c r="L1704" s="3" t="s">
        <v>6955</v>
      </c>
      <c r="M1704" s="3" t="str">
        <f>HYPERLINK("http://ictvonline.org/taxonomyHistory.asp?taxnode_id=20152182","ICTVonline=20152182")</f>
        <v>ICTVonline=20152182</v>
      </c>
    </row>
    <row r="1705" spans="1:13" x14ac:dyDescent="0.15">
      <c r="A1705" s="1" t="s">
        <v>934</v>
      </c>
      <c r="B1705" s="1" t="s">
        <v>2096</v>
      </c>
      <c r="D1705" s="1" t="s">
        <v>721</v>
      </c>
      <c r="E1705" s="1" t="s">
        <v>5263</v>
      </c>
      <c r="F1705" s="3">
        <v>0</v>
      </c>
      <c r="H1705" s="24" t="s">
        <v>5264</v>
      </c>
      <c r="I1705" s="24" t="s">
        <v>5062</v>
      </c>
      <c r="J1705" s="24" t="s">
        <v>2924</v>
      </c>
      <c r="K1705" s="3">
        <v>30</v>
      </c>
      <c r="L1705" s="3" t="s">
        <v>6955</v>
      </c>
      <c r="M1705" s="3" t="str">
        <f>HYPERLINK("http://ictvonline.org/taxonomyHistory.asp?taxnode_id=20152184","ICTVonline=20152184")</f>
        <v>ICTVonline=20152184</v>
      </c>
    </row>
    <row r="1706" spans="1:13" x14ac:dyDescent="0.15">
      <c r="A1706" s="1" t="s">
        <v>934</v>
      </c>
      <c r="B1706" s="1" t="s">
        <v>2096</v>
      </c>
      <c r="D1706" s="1" t="s">
        <v>721</v>
      </c>
      <c r="E1706" s="1" t="s">
        <v>5265</v>
      </c>
      <c r="F1706" s="3">
        <v>0</v>
      </c>
      <c r="H1706" s="24" t="s">
        <v>6730</v>
      </c>
      <c r="I1706" s="24" t="s">
        <v>5062</v>
      </c>
      <c r="J1706" s="24" t="s">
        <v>2924</v>
      </c>
      <c r="K1706" s="3">
        <v>30</v>
      </c>
      <c r="L1706" s="3" t="s">
        <v>6955</v>
      </c>
      <c r="M1706" s="3" t="str">
        <f>HYPERLINK("http://ictvonline.org/taxonomyHistory.asp?taxnode_id=20152185","ICTVonline=20152185")</f>
        <v>ICTVonline=20152185</v>
      </c>
    </row>
    <row r="1707" spans="1:13" x14ac:dyDescent="0.15">
      <c r="A1707" s="1" t="s">
        <v>934</v>
      </c>
      <c r="B1707" s="1" t="s">
        <v>2096</v>
      </c>
      <c r="D1707" s="1" t="s">
        <v>721</v>
      </c>
      <c r="E1707" s="1" t="s">
        <v>5266</v>
      </c>
      <c r="F1707" s="3">
        <v>0</v>
      </c>
      <c r="H1707" s="24" t="s">
        <v>5267</v>
      </c>
      <c r="I1707" s="24" t="s">
        <v>5062</v>
      </c>
      <c r="J1707" s="24" t="s">
        <v>2924</v>
      </c>
      <c r="K1707" s="3">
        <v>30</v>
      </c>
      <c r="L1707" s="3" t="s">
        <v>6955</v>
      </c>
      <c r="M1707" s="3" t="str">
        <f>HYPERLINK("http://ictvonline.org/taxonomyHistory.asp?taxnode_id=20152186","ICTVonline=20152186")</f>
        <v>ICTVonline=20152186</v>
      </c>
    </row>
    <row r="1708" spans="1:13" x14ac:dyDescent="0.15">
      <c r="A1708" s="1" t="s">
        <v>934</v>
      </c>
      <c r="B1708" s="1" t="s">
        <v>2096</v>
      </c>
      <c r="D1708" s="1" t="s">
        <v>721</v>
      </c>
      <c r="E1708" s="1" t="s">
        <v>5268</v>
      </c>
      <c r="F1708" s="3">
        <v>0</v>
      </c>
      <c r="H1708" s="24" t="s">
        <v>5269</v>
      </c>
      <c r="I1708" s="24" t="s">
        <v>5062</v>
      </c>
      <c r="J1708" s="24" t="s">
        <v>2924</v>
      </c>
      <c r="K1708" s="3">
        <v>30</v>
      </c>
      <c r="L1708" s="3" t="s">
        <v>6955</v>
      </c>
      <c r="M1708" s="3" t="str">
        <f>HYPERLINK("http://ictvonline.org/taxonomyHistory.asp?taxnode_id=20152187","ICTVonline=20152187")</f>
        <v>ICTVonline=20152187</v>
      </c>
    </row>
    <row r="1709" spans="1:13" x14ac:dyDescent="0.15">
      <c r="A1709" s="1" t="s">
        <v>934</v>
      </c>
      <c r="B1709" s="1" t="s">
        <v>2096</v>
      </c>
      <c r="D1709" s="1" t="s">
        <v>721</v>
      </c>
      <c r="E1709" s="1" t="s">
        <v>5270</v>
      </c>
      <c r="F1709" s="3">
        <v>0</v>
      </c>
      <c r="H1709" s="24" t="s">
        <v>5271</v>
      </c>
      <c r="I1709" s="24" t="s">
        <v>5062</v>
      </c>
      <c r="J1709" s="24" t="s">
        <v>2924</v>
      </c>
      <c r="K1709" s="3">
        <v>30</v>
      </c>
      <c r="L1709" s="3" t="s">
        <v>6955</v>
      </c>
      <c r="M1709" s="3" t="str">
        <f>HYPERLINK("http://ictvonline.org/taxonomyHistory.asp?taxnode_id=20152188","ICTVonline=20152188")</f>
        <v>ICTVonline=20152188</v>
      </c>
    </row>
    <row r="1710" spans="1:13" x14ac:dyDescent="0.15">
      <c r="A1710" s="1" t="s">
        <v>934</v>
      </c>
      <c r="B1710" s="1" t="s">
        <v>2096</v>
      </c>
      <c r="D1710" s="1" t="s">
        <v>721</v>
      </c>
      <c r="E1710" s="1" t="s">
        <v>5272</v>
      </c>
      <c r="F1710" s="3">
        <v>1</v>
      </c>
      <c r="H1710" s="24" t="s">
        <v>5273</v>
      </c>
      <c r="I1710" s="24" t="s">
        <v>5062</v>
      </c>
      <c r="J1710" s="24" t="s">
        <v>2924</v>
      </c>
      <c r="K1710" s="3">
        <v>30</v>
      </c>
      <c r="L1710" s="3" t="s">
        <v>6955</v>
      </c>
      <c r="M1710" s="3" t="str">
        <f>HYPERLINK("http://ictvonline.org/taxonomyHistory.asp?taxnode_id=20152189","ICTVonline=20152189")</f>
        <v>ICTVonline=20152189</v>
      </c>
    </row>
    <row r="1711" spans="1:13" x14ac:dyDescent="0.15">
      <c r="A1711" s="1" t="s">
        <v>934</v>
      </c>
      <c r="B1711" s="1" t="s">
        <v>2096</v>
      </c>
      <c r="D1711" s="1" t="s">
        <v>721</v>
      </c>
      <c r="E1711" s="4" t="s">
        <v>5274</v>
      </c>
      <c r="F1711" s="3">
        <v>0</v>
      </c>
      <c r="G1711" s="25"/>
      <c r="H1711" s="25" t="s">
        <v>5275</v>
      </c>
      <c r="I1711" s="25" t="s">
        <v>5062</v>
      </c>
      <c r="J1711" s="25" t="s">
        <v>2924</v>
      </c>
      <c r="K1711" s="3">
        <v>30</v>
      </c>
      <c r="L1711" s="3" t="s">
        <v>6955</v>
      </c>
      <c r="M1711" s="3" t="str">
        <f>HYPERLINK("http://ictvonline.org/taxonomyHistory.asp?taxnode_id=20152190","ICTVonline=20152190")</f>
        <v>ICTVonline=20152190</v>
      </c>
    </row>
    <row r="1712" spans="1:13" x14ac:dyDescent="0.15">
      <c r="A1712" s="1" t="s">
        <v>934</v>
      </c>
      <c r="B1712" s="1" t="s">
        <v>2096</v>
      </c>
      <c r="D1712" s="1" t="s">
        <v>721</v>
      </c>
      <c r="E1712" s="1" t="s">
        <v>5276</v>
      </c>
      <c r="F1712" s="3">
        <v>0</v>
      </c>
      <c r="H1712" s="24" t="s">
        <v>5277</v>
      </c>
      <c r="I1712" s="24" t="s">
        <v>5062</v>
      </c>
      <c r="J1712" s="24" t="s">
        <v>2924</v>
      </c>
      <c r="K1712" s="3">
        <v>30</v>
      </c>
      <c r="L1712" s="3" t="s">
        <v>6955</v>
      </c>
      <c r="M1712" s="3" t="str">
        <f>HYPERLINK("http://ictvonline.org/taxonomyHistory.asp?taxnode_id=20152191","ICTVonline=20152191")</f>
        <v>ICTVonline=20152191</v>
      </c>
    </row>
    <row r="1713" spans="1:13" x14ac:dyDescent="0.15">
      <c r="A1713" s="1" t="s">
        <v>934</v>
      </c>
      <c r="B1713" s="1" t="s">
        <v>2096</v>
      </c>
      <c r="D1713" s="1" t="s">
        <v>721</v>
      </c>
      <c r="E1713" s="1" t="s">
        <v>5278</v>
      </c>
      <c r="F1713" s="3">
        <v>0</v>
      </c>
      <c r="G1713" s="24" t="s">
        <v>3287</v>
      </c>
      <c r="H1713" s="24" t="s">
        <v>5279</v>
      </c>
      <c r="I1713" s="24" t="s">
        <v>5062</v>
      </c>
      <c r="J1713" s="24" t="s">
        <v>2924</v>
      </c>
      <c r="K1713" s="3">
        <v>30</v>
      </c>
      <c r="L1713" s="3" t="s">
        <v>6955</v>
      </c>
      <c r="M1713" s="3" t="str">
        <f>HYPERLINK("http://ictvonline.org/taxonomyHistory.asp?taxnode_id=20152192","ICTVonline=20152192")</f>
        <v>ICTVonline=20152192</v>
      </c>
    </row>
    <row r="1714" spans="1:13" x14ac:dyDescent="0.15">
      <c r="A1714" s="1" t="s">
        <v>934</v>
      </c>
      <c r="B1714" s="1" t="s">
        <v>2096</v>
      </c>
      <c r="D1714" s="1" t="s">
        <v>721</v>
      </c>
      <c r="E1714" s="1" t="s">
        <v>5280</v>
      </c>
      <c r="F1714" s="3">
        <v>0</v>
      </c>
      <c r="H1714" s="24" t="s">
        <v>7513</v>
      </c>
      <c r="I1714" s="24" t="s">
        <v>5062</v>
      </c>
      <c r="J1714" s="24" t="s">
        <v>2924</v>
      </c>
      <c r="K1714" s="3">
        <v>30</v>
      </c>
      <c r="L1714" s="3" t="s">
        <v>6955</v>
      </c>
      <c r="M1714" s="3" t="str">
        <f>HYPERLINK("http://ictvonline.org/taxonomyHistory.asp?taxnode_id=20152193","ICTVonline=20152193")</f>
        <v>ICTVonline=20152193</v>
      </c>
    </row>
    <row r="1715" spans="1:13" x14ac:dyDescent="0.15">
      <c r="A1715" s="1" t="s">
        <v>934</v>
      </c>
      <c r="B1715" s="1" t="s">
        <v>2096</v>
      </c>
      <c r="D1715" s="1" t="s">
        <v>720</v>
      </c>
      <c r="E1715" s="1" t="s">
        <v>5281</v>
      </c>
      <c r="F1715" s="3">
        <v>0</v>
      </c>
      <c r="G1715" s="24" t="s">
        <v>7514</v>
      </c>
      <c r="H1715" s="24" t="s">
        <v>5282</v>
      </c>
      <c r="I1715" s="24" t="s">
        <v>5062</v>
      </c>
      <c r="J1715" s="24" t="s">
        <v>2924</v>
      </c>
      <c r="K1715" s="3">
        <v>30</v>
      </c>
      <c r="L1715" s="3" t="s">
        <v>6955</v>
      </c>
      <c r="M1715" s="3" t="str">
        <f>HYPERLINK("http://ictvonline.org/taxonomyHistory.asp?taxnode_id=20152195","ICTVonline=20152195")</f>
        <v>ICTVonline=20152195</v>
      </c>
    </row>
    <row r="1716" spans="1:13" x14ac:dyDescent="0.15">
      <c r="A1716" s="1" t="s">
        <v>934</v>
      </c>
      <c r="B1716" s="1" t="s">
        <v>2096</v>
      </c>
      <c r="D1716" s="1" t="s">
        <v>720</v>
      </c>
      <c r="E1716" s="1" t="s">
        <v>5283</v>
      </c>
      <c r="F1716" s="3">
        <v>0</v>
      </c>
      <c r="H1716" s="24" t="s">
        <v>5284</v>
      </c>
      <c r="I1716" s="24" t="s">
        <v>5062</v>
      </c>
      <c r="J1716" s="24" t="s">
        <v>2924</v>
      </c>
      <c r="K1716" s="3">
        <v>30</v>
      </c>
      <c r="L1716" s="3" t="s">
        <v>6955</v>
      </c>
      <c r="M1716" s="3" t="str">
        <f>HYPERLINK("http://ictvonline.org/taxonomyHistory.asp?taxnode_id=20152196","ICTVonline=20152196")</f>
        <v>ICTVonline=20152196</v>
      </c>
    </row>
    <row r="1717" spans="1:13" x14ac:dyDescent="0.15">
      <c r="A1717" s="1" t="s">
        <v>934</v>
      </c>
      <c r="B1717" s="1" t="s">
        <v>2096</v>
      </c>
      <c r="D1717" s="1" t="s">
        <v>720</v>
      </c>
      <c r="E1717" s="1" t="s">
        <v>5285</v>
      </c>
      <c r="F1717" s="3">
        <v>0</v>
      </c>
      <c r="H1717" s="24" t="s">
        <v>5286</v>
      </c>
      <c r="I1717" s="24" t="s">
        <v>5062</v>
      </c>
      <c r="J1717" s="24" t="s">
        <v>2924</v>
      </c>
      <c r="K1717" s="3">
        <v>30</v>
      </c>
      <c r="L1717" s="3" t="s">
        <v>6955</v>
      </c>
      <c r="M1717" s="3" t="str">
        <f>HYPERLINK("http://ictvonline.org/taxonomyHistory.asp?taxnode_id=20152197","ICTVonline=20152197")</f>
        <v>ICTVonline=20152197</v>
      </c>
    </row>
    <row r="1718" spans="1:13" x14ac:dyDescent="0.15">
      <c r="A1718" s="1" t="s">
        <v>934</v>
      </c>
      <c r="B1718" s="1" t="s">
        <v>2096</v>
      </c>
      <c r="D1718" s="1" t="s">
        <v>720</v>
      </c>
      <c r="E1718" s="1" t="s">
        <v>5287</v>
      </c>
      <c r="F1718" s="3">
        <v>0</v>
      </c>
      <c r="G1718" s="24" t="s">
        <v>7515</v>
      </c>
      <c r="H1718" s="24" t="s">
        <v>5288</v>
      </c>
      <c r="I1718" s="24" t="s">
        <v>5062</v>
      </c>
      <c r="J1718" s="24" t="s">
        <v>2924</v>
      </c>
      <c r="K1718" s="3">
        <v>30</v>
      </c>
      <c r="L1718" s="3" t="s">
        <v>6955</v>
      </c>
      <c r="M1718" s="3" t="str">
        <f>HYPERLINK("http://ictvonline.org/taxonomyHistory.asp?taxnode_id=20152198","ICTVonline=20152198")</f>
        <v>ICTVonline=20152198</v>
      </c>
    </row>
    <row r="1719" spans="1:13" x14ac:dyDescent="0.15">
      <c r="A1719" s="1" t="s">
        <v>934</v>
      </c>
      <c r="B1719" s="1" t="s">
        <v>2096</v>
      </c>
      <c r="D1719" s="1" t="s">
        <v>720</v>
      </c>
      <c r="E1719" s="1" t="s">
        <v>5289</v>
      </c>
      <c r="F1719" s="3">
        <v>0</v>
      </c>
      <c r="G1719" s="24" t="s">
        <v>7516</v>
      </c>
      <c r="H1719" s="24" t="s">
        <v>5290</v>
      </c>
      <c r="I1719" s="24" t="s">
        <v>5062</v>
      </c>
      <c r="J1719" s="24" t="s">
        <v>2924</v>
      </c>
      <c r="K1719" s="3">
        <v>30</v>
      </c>
      <c r="L1719" s="3" t="s">
        <v>6955</v>
      </c>
      <c r="M1719" s="3" t="str">
        <f>HYPERLINK("http://ictvonline.org/taxonomyHistory.asp?taxnode_id=20152199","ICTVonline=20152199")</f>
        <v>ICTVonline=20152199</v>
      </c>
    </row>
    <row r="1720" spans="1:13" x14ac:dyDescent="0.15">
      <c r="A1720" s="1" t="s">
        <v>934</v>
      </c>
      <c r="B1720" s="1" t="s">
        <v>2096</v>
      </c>
      <c r="D1720" s="1" t="s">
        <v>720</v>
      </c>
      <c r="E1720" s="1" t="s">
        <v>5291</v>
      </c>
      <c r="F1720" s="3">
        <v>0</v>
      </c>
      <c r="G1720" s="24" t="s">
        <v>7517</v>
      </c>
      <c r="H1720" s="24" t="s">
        <v>5292</v>
      </c>
      <c r="I1720" s="24" t="s">
        <v>5062</v>
      </c>
      <c r="J1720" s="24" t="s">
        <v>2924</v>
      </c>
      <c r="K1720" s="3">
        <v>30</v>
      </c>
      <c r="L1720" s="3" t="s">
        <v>6955</v>
      </c>
      <c r="M1720" s="3" t="str">
        <f>HYPERLINK("http://ictvonline.org/taxonomyHistory.asp?taxnode_id=20152200","ICTVonline=20152200")</f>
        <v>ICTVonline=20152200</v>
      </c>
    </row>
    <row r="1721" spans="1:13" x14ac:dyDescent="0.15">
      <c r="A1721" s="1" t="s">
        <v>934</v>
      </c>
      <c r="B1721" s="1" t="s">
        <v>2096</v>
      </c>
      <c r="D1721" s="1" t="s">
        <v>720</v>
      </c>
      <c r="E1721" s="1" t="s">
        <v>5293</v>
      </c>
      <c r="F1721" s="3">
        <v>0</v>
      </c>
      <c r="G1721" s="24" t="s">
        <v>5294</v>
      </c>
      <c r="H1721" s="24" t="s">
        <v>5295</v>
      </c>
      <c r="I1721" s="24" t="s">
        <v>5062</v>
      </c>
      <c r="J1721" s="24" t="s">
        <v>2924</v>
      </c>
      <c r="K1721" s="3">
        <v>30</v>
      </c>
      <c r="L1721" s="3" t="s">
        <v>6955</v>
      </c>
      <c r="M1721" s="3" t="str">
        <f>HYPERLINK("http://ictvonline.org/taxonomyHistory.asp?taxnode_id=20152201","ICTVonline=20152201")</f>
        <v>ICTVonline=20152201</v>
      </c>
    </row>
    <row r="1722" spans="1:13" x14ac:dyDescent="0.15">
      <c r="A1722" s="1" t="s">
        <v>934</v>
      </c>
      <c r="B1722" s="1" t="s">
        <v>2096</v>
      </c>
      <c r="D1722" s="1" t="s">
        <v>720</v>
      </c>
      <c r="E1722" s="1" t="s">
        <v>5296</v>
      </c>
      <c r="F1722" s="3">
        <v>1</v>
      </c>
      <c r="G1722" s="24" t="s">
        <v>7518</v>
      </c>
      <c r="H1722" s="24" t="s">
        <v>5297</v>
      </c>
      <c r="I1722" s="24" t="s">
        <v>5062</v>
      </c>
      <c r="J1722" s="24" t="s">
        <v>2924</v>
      </c>
      <c r="K1722" s="27">
        <v>30</v>
      </c>
      <c r="L1722" s="27" t="s">
        <v>6955</v>
      </c>
      <c r="M1722" s="27" t="str">
        <f>HYPERLINK("http://ictvonline.org/taxonomyHistory.asp?taxnode_id=20152202","ICTVonline=20152202")</f>
        <v>ICTVonline=20152202</v>
      </c>
    </row>
    <row r="1723" spans="1:13" x14ac:dyDescent="0.15">
      <c r="A1723" s="1" t="s">
        <v>934</v>
      </c>
      <c r="B1723" s="1" t="s">
        <v>2096</v>
      </c>
      <c r="D1723" s="1" t="s">
        <v>720</v>
      </c>
      <c r="E1723" s="1" t="s">
        <v>5298</v>
      </c>
      <c r="F1723" s="3">
        <v>0</v>
      </c>
      <c r="G1723" s="24" t="s">
        <v>7519</v>
      </c>
      <c r="H1723" s="24" t="s">
        <v>5299</v>
      </c>
      <c r="I1723" s="24" t="s">
        <v>5062</v>
      </c>
      <c r="J1723" s="24" t="s">
        <v>2924</v>
      </c>
      <c r="K1723" s="3">
        <v>30</v>
      </c>
      <c r="L1723" s="3" t="s">
        <v>6955</v>
      </c>
      <c r="M1723" s="3" t="str">
        <f>HYPERLINK("http://ictvonline.org/taxonomyHistory.asp?taxnode_id=20152203","ICTVonline=20152203")</f>
        <v>ICTVonline=20152203</v>
      </c>
    </row>
    <row r="1724" spans="1:13" x14ac:dyDescent="0.15">
      <c r="A1724" s="1" t="s">
        <v>934</v>
      </c>
      <c r="B1724" s="1" t="s">
        <v>2096</v>
      </c>
      <c r="D1724" s="1" t="s">
        <v>720</v>
      </c>
      <c r="E1724" s="1" t="s">
        <v>5300</v>
      </c>
      <c r="F1724" s="3">
        <v>0</v>
      </c>
      <c r="G1724" s="24" t="s">
        <v>7520</v>
      </c>
      <c r="H1724" s="24" t="s">
        <v>5301</v>
      </c>
      <c r="I1724" s="24" t="s">
        <v>5062</v>
      </c>
      <c r="J1724" s="24" t="s">
        <v>2924</v>
      </c>
      <c r="K1724" s="3">
        <v>30</v>
      </c>
      <c r="L1724" s="3" t="s">
        <v>6955</v>
      </c>
      <c r="M1724" s="3" t="str">
        <f>HYPERLINK("http://ictvonline.org/taxonomyHistory.asp?taxnode_id=20152204","ICTVonline=20152204")</f>
        <v>ICTVonline=20152204</v>
      </c>
    </row>
    <row r="1725" spans="1:13" x14ac:dyDescent="0.15">
      <c r="A1725" s="1" t="s">
        <v>934</v>
      </c>
      <c r="B1725" s="1" t="s">
        <v>2096</v>
      </c>
      <c r="D1725" s="1" t="s">
        <v>720</v>
      </c>
      <c r="E1725" s="1" t="s">
        <v>5302</v>
      </c>
      <c r="F1725" s="3">
        <v>0</v>
      </c>
      <c r="H1725" s="24" t="s">
        <v>5303</v>
      </c>
      <c r="I1725" s="24" t="s">
        <v>5062</v>
      </c>
      <c r="J1725" s="24" t="s">
        <v>2924</v>
      </c>
      <c r="K1725" s="3">
        <v>30</v>
      </c>
      <c r="L1725" s="3" t="s">
        <v>6955</v>
      </c>
      <c r="M1725" s="3" t="str">
        <f>HYPERLINK("http://ictvonline.org/taxonomyHistory.asp?taxnode_id=20152205","ICTVonline=20152205")</f>
        <v>ICTVonline=20152205</v>
      </c>
    </row>
    <row r="1726" spans="1:13" x14ac:dyDescent="0.15">
      <c r="A1726" s="1" t="s">
        <v>934</v>
      </c>
      <c r="B1726" s="1" t="s">
        <v>2135</v>
      </c>
      <c r="D1726" s="1" t="s">
        <v>2136</v>
      </c>
      <c r="E1726" s="1" t="s">
        <v>2137</v>
      </c>
      <c r="F1726" s="3">
        <v>0</v>
      </c>
      <c r="I1726" s="24" t="s">
        <v>3265</v>
      </c>
      <c r="J1726" s="24" t="s">
        <v>2924</v>
      </c>
      <c r="K1726" s="3">
        <v>18</v>
      </c>
      <c r="L1726" s="3" t="s">
        <v>2929</v>
      </c>
      <c r="M1726" s="3" t="str">
        <f>HYPERLINK("http://ictvonline.org/taxonomyHistory.asp?taxnode_id=20152209","ICTVonline=20152209")</f>
        <v>ICTVonline=20152209</v>
      </c>
    </row>
    <row r="1727" spans="1:13" x14ac:dyDescent="0.15">
      <c r="A1727" s="1" t="s">
        <v>934</v>
      </c>
      <c r="B1727" s="1" t="s">
        <v>2135</v>
      </c>
      <c r="D1727" s="1" t="s">
        <v>2136</v>
      </c>
      <c r="E1727" s="1" t="s">
        <v>2138</v>
      </c>
      <c r="F1727" s="3">
        <v>1</v>
      </c>
      <c r="I1727" s="24" t="s">
        <v>3265</v>
      </c>
      <c r="J1727" s="24" t="s">
        <v>2922</v>
      </c>
      <c r="K1727" s="3">
        <v>17</v>
      </c>
      <c r="L1727" s="3" t="s">
        <v>2928</v>
      </c>
      <c r="M1727" s="3" t="str">
        <f>HYPERLINK("http://ictvonline.org/taxonomyHistory.asp?taxnode_id=20152210","ICTVonline=20152210")</f>
        <v>ICTVonline=20152210</v>
      </c>
    </row>
    <row r="1728" spans="1:13" x14ac:dyDescent="0.15">
      <c r="A1728" s="1" t="s">
        <v>934</v>
      </c>
      <c r="B1728" s="1" t="s">
        <v>2135</v>
      </c>
      <c r="D1728" s="1" t="s">
        <v>1965</v>
      </c>
      <c r="E1728" s="1" t="s">
        <v>1966</v>
      </c>
      <c r="F1728" s="3">
        <v>1</v>
      </c>
      <c r="I1728" s="24" t="s">
        <v>3265</v>
      </c>
      <c r="J1728" s="24" t="s">
        <v>2921</v>
      </c>
      <c r="K1728" s="3">
        <v>25</v>
      </c>
      <c r="L1728" s="3" t="s">
        <v>6956</v>
      </c>
      <c r="M1728" s="3" t="str">
        <f>HYPERLINK("http://ictvonline.org/taxonomyHistory.asp?taxnode_id=20152212","ICTVonline=20152212")</f>
        <v>ICTVonline=20152212</v>
      </c>
    </row>
    <row r="1729" spans="1:13" x14ac:dyDescent="0.15">
      <c r="A1729" s="1" t="s">
        <v>934</v>
      </c>
      <c r="B1729" s="1" t="s">
        <v>2135</v>
      </c>
      <c r="D1729" s="1" t="s">
        <v>2139</v>
      </c>
      <c r="E1729" s="1" t="s">
        <v>2140</v>
      </c>
      <c r="F1729" s="3">
        <v>1</v>
      </c>
      <c r="I1729" s="24" t="s">
        <v>3265</v>
      </c>
      <c r="J1729" s="24" t="s">
        <v>2920</v>
      </c>
      <c r="K1729" s="3">
        <v>20</v>
      </c>
      <c r="L1729" s="3" t="s">
        <v>2925</v>
      </c>
      <c r="M1729" s="3" t="str">
        <f>HYPERLINK("http://ictvonline.org/taxonomyHistory.asp?taxnode_id=20152214","ICTVonline=20152214")</f>
        <v>ICTVonline=20152214</v>
      </c>
    </row>
    <row r="1730" spans="1:13" x14ac:dyDescent="0.15">
      <c r="A1730" s="1" t="s">
        <v>934</v>
      </c>
      <c r="B1730" s="1" t="s">
        <v>2135</v>
      </c>
      <c r="D1730" s="1" t="s">
        <v>2141</v>
      </c>
      <c r="E1730" s="1" t="s">
        <v>2142</v>
      </c>
      <c r="F1730" s="3">
        <v>1</v>
      </c>
      <c r="I1730" s="24" t="s">
        <v>3265</v>
      </c>
      <c r="J1730" s="24" t="s">
        <v>2920</v>
      </c>
      <c r="K1730" s="3">
        <v>20</v>
      </c>
      <c r="L1730" s="3" t="s">
        <v>2925</v>
      </c>
      <c r="M1730" s="3" t="str">
        <f>HYPERLINK("http://ictvonline.org/taxonomyHistory.asp?taxnode_id=20152216","ICTVonline=20152216")</f>
        <v>ICTVonline=20152216</v>
      </c>
    </row>
    <row r="1731" spans="1:13" x14ac:dyDescent="0.15">
      <c r="A1731" s="1" t="s">
        <v>934</v>
      </c>
      <c r="B1731" s="1" t="s">
        <v>2135</v>
      </c>
      <c r="D1731" s="1" t="s">
        <v>2143</v>
      </c>
      <c r="E1731" s="1" t="s">
        <v>2144</v>
      </c>
      <c r="F1731" s="3">
        <v>0</v>
      </c>
      <c r="I1731" s="24" t="s">
        <v>3265</v>
      </c>
      <c r="J1731" s="24" t="s">
        <v>2920</v>
      </c>
      <c r="K1731" s="3">
        <v>17</v>
      </c>
      <c r="L1731" s="3" t="s">
        <v>2928</v>
      </c>
      <c r="M1731" s="3" t="str">
        <f>HYPERLINK("http://ictvonline.org/taxonomyHistory.asp?taxnode_id=20152218","ICTVonline=20152218")</f>
        <v>ICTVonline=20152218</v>
      </c>
    </row>
    <row r="1732" spans="1:13" x14ac:dyDescent="0.15">
      <c r="A1732" s="1" t="s">
        <v>934</v>
      </c>
      <c r="B1732" s="1" t="s">
        <v>2135</v>
      </c>
      <c r="D1732" s="1" t="s">
        <v>2143</v>
      </c>
      <c r="E1732" s="1" t="s">
        <v>2145</v>
      </c>
      <c r="F1732" s="3">
        <v>1</v>
      </c>
      <c r="I1732" s="24" t="s">
        <v>3265</v>
      </c>
      <c r="J1732" s="24" t="s">
        <v>2939</v>
      </c>
      <c r="K1732" s="3">
        <v>18</v>
      </c>
      <c r="L1732" s="3" t="s">
        <v>2929</v>
      </c>
      <c r="M1732" s="3" t="str">
        <f>HYPERLINK("http://ictvonline.org/taxonomyHistory.asp?taxnode_id=20152219","ICTVonline=20152219")</f>
        <v>ICTVonline=20152219</v>
      </c>
    </row>
    <row r="1733" spans="1:13" x14ac:dyDescent="0.15">
      <c r="A1733" s="1" t="s">
        <v>934</v>
      </c>
      <c r="B1733" s="1" t="s">
        <v>74</v>
      </c>
      <c r="D1733" s="1" t="s">
        <v>75</v>
      </c>
      <c r="E1733" s="1" t="s">
        <v>1672</v>
      </c>
      <c r="F1733" s="3">
        <v>1</v>
      </c>
      <c r="I1733" s="24" t="s">
        <v>3265</v>
      </c>
      <c r="J1733" s="24" t="s">
        <v>2922</v>
      </c>
      <c r="K1733" s="3">
        <v>26</v>
      </c>
      <c r="L1733" s="3" t="s">
        <v>6917</v>
      </c>
      <c r="M1733" s="3" t="str">
        <f>HYPERLINK("http://ictvonline.org/taxonomyHistory.asp?taxnode_id=20152223","ICTVonline=20152223")</f>
        <v>ICTVonline=20152223</v>
      </c>
    </row>
    <row r="1734" spans="1:13" x14ac:dyDescent="0.15">
      <c r="A1734" s="1" t="s">
        <v>934</v>
      </c>
      <c r="B1734" s="1" t="s">
        <v>2146</v>
      </c>
      <c r="D1734" s="1" t="s">
        <v>2147</v>
      </c>
      <c r="E1734" s="1" t="s">
        <v>2148</v>
      </c>
      <c r="F1734" s="3">
        <v>0</v>
      </c>
      <c r="I1734" s="24" t="s">
        <v>5304</v>
      </c>
      <c r="J1734" s="24" t="s">
        <v>2919</v>
      </c>
      <c r="K1734" s="3">
        <v>18</v>
      </c>
      <c r="L1734" s="3" t="s">
        <v>2929</v>
      </c>
      <c r="M1734" s="3" t="str">
        <f>HYPERLINK("http://ictvonline.org/taxonomyHistory.asp?taxnode_id=20152227","ICTVonline=20152227")</f>
        <v>ICTVonline=20152227</v>
      </c>
    </row>
    <row r="1735" spans="1:13" x14ac:dyDescent="0.15">
      <c r="A1735" s="1" t="s">
        <v>934</v>
      </c>
      <c r="B1735" s="1" t="s">
        <v>2146</v>
      </c>
      <c r="D1735" s="1" t="s">
        <v>2147</v>
      </c>
      <c r="E1735" s="1" t="s">
        <v>2267</v>
      </c>
      <c r="F1735" s="3">
        <v>0</v>
      </c>
      <c r="G1735" s="24" t="s">
        <v>7861</v>
      </c>
      <c r="H1735" s="24" t="s">
        <v>7862</v>
      </c>
      <c r="I1735" s="24" t="s">
        <v>5304</v>
      </c>
      <c r="J1735" s="24" t="s">
        <v>2924</v>
      </c>
      <c r="K1735" s="3">
        <v>26</v>
      </c>
      <c r="L1735" s="3" t="s">
        <v>6958</v>
      </c>
      <c r="M1735" s="3" t="str">
        <f>HYPERLINK("http://ictvonline.org/taxonomyHistory.asp?taxnode_id=20152228","ICTVonline=20152228")</f>
        <v>ICTVonline=20152228</v>
      </c>
    </row>
    <row r="1736" spans="1:13" x14ac:dyDescent="0.15">
      <c r="A1736" s="1" t="s">
        <v>934</v>
      </c>
      <c r="B1736" s="1" t="s">
        <v>2146</v>
      </c>
      <c r="D1736" s="1" t="s">
        <v>2147</v>
      </c>
      <c r="E1736" s="1" t="s">
        <v>2846</v>
      </c>
      <c r="F1736" s="3">
        <v>0</v>
      </c>
      <c r="G1736" s="24" t="s">
        <v>5305</v>
      </c>
      <c r="H1736" s="24" t="s">
        <v>5306</v>
      </c>
      <c r="I1736" s="24" t="s">
        <v>5304</v>
      </c>
      <c r="J1736" s="24" t="s">
        <v>2919</v>
      </c>
      <c r="K1736" s="3">
        <v>29</v>
      </c>
      <c r="L1736" s="3" t="s">
        <v>6957</v>
      </c>
      <c r="M1736" s="3" t="str">
        <f>HYPERLINK("http://ictvonline.org/taxonomyHistory.asp?taxnode_id=20152229","ICTVonline=20152229")</f>
        <v>ICTVonline=20152229</v>
      </c>
    </row>
    <row r="1737" spans="1:13" x14ac:dyDescent="0.15">
      <c r="A1737" s="1" t="s">
        <v>934</v>
      </c>
      <c r="B1737" s="1" t="s">
        <v>2146</v>
      </c>
      <c r="D1737" s="1" t="s">
        <v>2147</v>
      </c>
      <c r="E1737" s="1" t="s">
        <v>580</v>
      </c>
      <c r="F1737" s="3">
        <v>0</v>
      </c>
      <c r="G1737" s="24" t="s">
        <v>7861</v>
      </c>
      <c r="H1737" s="24" t="s">
        <v>4881</v>
      </c>
      <c r="I1737" s="24" t="s">
        <v>5304</v>
      </c>
      <c r="J1737" s="24" t="s">
        <v>2924</v>
      </c>
      <c r="K1737" s="3">
        <v>26</v>
      </c>
      <c r="L1737" s="3" t="s">
        <v>6958</v>
      </c>
      <c r="M1737" s="3" t="str">
        <f>HYPERLINK("http://ictvonline.org/taxonomyHistory.asp?taxnode_id=20152230","ICTVonline=20152230")</f>
        <v>ICTVonline=20152230</v>
      </c>
    </row>
    <row r="1738" spans="1:13" x14ac:dyDescent="0.15">
      <c r="A1738" s="1" t="s">
        <v>934</v>
      </c>
      <c r="B1738" s="1" t="s">
        <v>2146</v>
      </c>
      <c r="D1738" s="1" t="s">
        <v>2147</v>
      </c>
      <c r="E1738" s="1" t="s">
        <v>2268</v>
      </c>
      <c r="F1738" s="3">
        <v>0</v>
      </c>
      <c r="G1738" s="24" t="s">
        <v>7861</v>
      </c>
      <c r="H1738" s="24" t="s">
        <v>6607</v>
      </c>
      <c r="I1738" s="24" t="s">
        <v>5304</v>
      </c>
      <c r="J1738" s="24" t="s">
        <v>2924</v>
      </c>
      <c r="K1738" s="3">
        <v>26</v>
      </c>
      <c r="L1738" s="3" t="s">
        <v>6958</v>
      </c>
      <c r="M1738" s="3" t="str">
        <f>HYPERLINK("http://ictvonline.org/taxonomyHistory.asp?taxnode_id=20152231","ICTVonline=20152231")</f>
        <v>ICTVonline=20152231</v>
      </c>
    </row>
    <row r="1739" spans="1:13" x14ac:dyDescent="0.15">
      <c r="A1739" s="1" t="s">
        <v>934</v>
      </c>
      <c r="B1739" s="1" t="s">
        <v>2146</v>
      </c>
      <c r="D1739" s="1" t="s">
        <v>2147</v>
      </c>
      <c r="E1739" s="1" t="s">
        <v>2847</v>
      </c>
      <c r="F1739" s="3">
        <v>0</v>
      </c>
      <c r="G1739" s="24" t="s">
        <v>3289</v>
      </c>
      <c r="H1739" s="24" t="s">
        <v>5306</v>
      </c>
      <c r="I1739" s="24" t="s">
        <v>5304</v>
      </c>
      <c r="J1739" s="24" t="s">
        <v>2919</v>
      </c>
      <c r="K1739" s="3">
        <v>29</v>
      </c>
      <c r="L1739" s="3" t="s">
        <v>6957</v>
      </c>
      <c r="M1739" s="3" t="str">
        <f>HYPERLINK("http://ictvonline.org/taxonomyHistory.asp?taxnode_id=20152232","ICTVonline=20152232")</f>
        <v>ICTVonline=20152232</v>
      </c>
    </row>
    <row r="1740" spans="1:13" x14ac:dyDescent="0.15">
      <c r="A1740" s="1" t="s">
        <v>934</v>
      </c>
      <c r="B1740" s="1" t="s">
        <v>2146</v>
      </c>
      <c r="D1740" s="1" t="s">
        <v>2147</v>
      </c>
      <c r="E1740" s="1" t="s">
        <v>2848</v>
      </c>
      <c r="F1740" s="3">
        <v>0</v>
      </c>
      <c r="G1740" s="24" t="s">
        <v>3290</v>
      </c>
      <c r="H1740" s="24" t="s">
        <v>4919</v>
      </c>
      <c r="I1740" s="24" t="s">
        <v>5304</v>
      </c>
      <c r="J1740" s="24" t="s">
        <v>2919</v>
      </c>
      <c r="K1740" s="3">
        <v>29</v>
      </c>
      <c r="L1740" s="3" t="s">
        <v>6957</v>
      </c>
      <c r="M1740" s="3" t="str">
        <f>HYPERLINK("http://ictvonline.org/taxonomyHistory.asp?taxnode_id=20152233","ICTVonline=20152233")</f>
        <v>ICTVonline=20152233</v>
      </c>
    </row>
    <row r="1741" spans="1:13" x14ac:dyDescent="0.15">
      <c r="A1741" s="1" t="s">
        <v>934</v>
      </c>
      <c r="B1741" s="1" t="s">
        <v>2146</v>
      </c>
      <c r="D1741" s="1" t="s">
        <v>2147</v>
      </c>
      <c r="E1741" s="1" t="s">
        <v>2849</v>
      </c>
      <c r="F1741" s="3">
        <v>0</v>
      </c>
      <c r="G1741" s="24" t="s">
        <v>3291</v>
      </c>
      <c r="H1741" s="24" t="s">
        <v>4919</v>
      </c>
      <c r="I1741" s="24" t="s">
        <v>5304</v>
      </c>
      <c r="J1741" s="24" t="s">
        <v>2919</v>
      </c>
      <c r="K1741" s="3">
        <v>29</v>
      </c>
      <c r="L1741" s="3" t="s">
        <v>6957</v>
      </c>
      <c r="M1741" s="3" t="str">
        <f>HYPERLINK("http://ictvonline.org/taxonomyHistory.asp?taxnode_id=20152234","ICTVonline=20152234")</f>
        <v>ICTVonline=20152234</v>
      </c>
    </row>
    <row r="1742" spans="1:13" x14ac:dyDescent="0.15">
      <c r="A1742" s="1" t="s">
        <v>934</v>
      </c>
      <c r="B1742" s="1" t="s">
        <v>2146</v>
      </c>
      <c r="D1742" s="1" t="s">
        <v>2147</v>
      </c>
      <c r="E1742" s="1" t="s">
        <v>2850</v>
      </c>
      <c r="F1742" s="3">
        <v>0</v>
      </c>
      <c r="G1742" s="24" t="s">
        <v>3292</v>
      </c>
      <c r="H1742" s="24" t="s">
        <v>4919</v>
      </c>
      <c r="I1742" s="24" t="s">
        <v>5304</v>
      </c>
      <c r="J1742" s="24" t="s">
        <v>2919</v>
      </c>
      <c r="K1742" s="3">
        <v>29</v>
      </c>
      <c r="L1742" s="3" t="s">
        <v>6957</v>
      </c>
      <c r="M1742" s="3" t="str">
        <f>HYPERLINK("http://ictvonline.org/taxonomyHistory.asp?taxnode_id=20152235","ICTVonline=20152235")</f>
        <v>ICTVonline=20152235</v>
      </c>
    </row>
    <row r="1743" spans="1:13" x14ac:dyDescent="0.15">
      <c r="A1743" s="1" t="s">
        <v>934</v>
      </c>
      <c r="B1743" s="1" t="s">
        <v>2146</v>
      </c>
      <c r="D1743" s="1" t="s">
        <v>2147</v>
      </c>
      <c r="E1743" s="1" t="s">
        <v>76</v>
      </c>
      <c r="F1743" s="3">
        <v>0</v>
      </c>
      <c r="G1743" s="24" t="s">
        <v>5307</v>
      </c>
      <c r="H1743" s="24" t="s">
        <v>5308</v>
      </c>
      <c r="I1743" s="24" t="s">
        <v>5304</v>
      </c>
      <c r="J1743" s="24" t="s">
        <v>2919</v>
      </c>
      <c r="K1743" s="3">
        <v>26</v>
      </c>
      <c r="L1743" s="3" t="s">
        <v>6958</v>
      </c>
      <c r="M1743" s="3" t="str">
        <f>HYPERLINK("http://ictvonline.org/taxonomyHistory.asp?taxnode_id=20152236","ICTVonline=20152236")</f>
        <v>ICTVonline=20152236</v>
      </c>
    </row>
    <row r="1744" spans="1:13" x14ac:dyDescent="0.15">
      <c r="A1744" s="1" t="s">
        <v>934</v>
      </c>
      <c r="B1744" s="1" t="s">
        <v>2146</v>
      </c>
      <c r="D1744" s="1" t="s">
        <v>2147</v>
      </c>
      <c r="E1744" s="1" t="s">
        <v>77</v>
      </c>
      <c r="F1744" s="3">
        <v>0</v>
      </c>
      <c r="G1744" s="24" t="s">
        <v>5309</v>
      </c>
      <c r="H1744" s="24" t="s">
        <v>4805</v>
      </c>
      <c r="I1744" s="24" t="s">
        <v>5304</v>
      </c>
      <c r="J1744" s="24" t="s">
        <v>2919</v>
      </c>
      <c r="K1744" s="3">
        <v>26</v>
      </c>
      <c r="L1744" s="3" t="s">
        <v>6958</v>
      </c>
      <c r="M1744" s="3" t="str">
        <f>HYPERLINK("http://ictvonline.org/taxonomyHistory.asp?taxnode_id=20152237","ICTVonline=20152237")</f>
        <v>ICTVonline=20152237</v>
      </c>
    </row>
    <row r="1745" spans="1:13" x14ac:dyDescent="0.15">
      <c r="A1745" s="1" t="s">
        <v>934</v>
      </c>
      <c r="B1745" s="1" t="s">
        <v>2146</v>
      </c>
      <c r="D1745" s="1" t="s">
        <v>2147</v>
      </c>
      <c r="E1745" s="1" t="s">
        <v>5310</v>
      </c>
      <c r="F1745" s="3">
        <v>0</v>
      </c>
      <c r="G1745" s="24" t="s">
        <v>7521</v>
      </c>
      <c r="H1745" s="24" t="s">
        <v>5311</v>
      </c>
      <c r="I1745" s="24" t="s">
        <v>5304</v>
      </c>
      <c r="J1745" s="24" t="s">
        <v>2919</v>
      </c>
      <c r="K1745" s="3">
        <v>30</v>
      </c>
      <c r="L1745" s="3" t="s">
        <v>6959</v>
      </c>
      <c r="M1745" s="3" t="str">
        <f>HYPERLINK("http://ictvonline.org/taxonomyHistory.asp?taxnode_id=20152263","ICTVonline=20152263")</f>
        <v>ICTVonline=20152263</v>
      </c>
    </row>
    <row r="1746" spans="1:13" x14ac:dyDescent="0.15">
      <c r="A1746" s="1" t="s">
        <v>934</v>
      </c>
      <c r="B1746" s="1" t="s">
        <v>2146</v>
      </c>
      <c r="D1746" s="1" t="s">
        <v>2147</v>
      </c>
      <c r="E1746" s="1" t="s">
        <v>5312</v>
      </c>
      <c r="F1746" s="3">
        <v>0</v>
      </c>
      <c r="G1746" s="24" t="s">
        <v>7522</v>
      </c>
      <c r="H1746" s="24" t="s">
        <v>5313</v>
      </c>
      <c r="I1746" s="24" t="s">
        <v>5304</v>
      </c>
      <c r="J1746" s="24" t="s">
        <v>2919</v>
      </c>
      <c r="K1746" s="3">
        <v>30</v>
      </c>
      <c r="L1746" s="3" t="s">
        <v>6959</v>
      </c>
      <c r="M1746" s="3" t="str">
        <f>HYPERLINK("http://ictvonline.org/taxonomyHistory.asp?taxnode_id=20152262","ICTVonline=20152262")</f>
        <v>ICTVonline=20152262</v>
      </c>
    </row>
    <row r="1747" spans="1:13" x14ac:dyDescent="0.15">
      <c r="A1747" s="1" t="s">
        <v>934</v>
      </c>
      <c r="B1747" s="1" t="s">
        <v>2146</v>
      </c>
      <c r="D1747" s="1" t="s">
        <v>2147</v>
      </c>
      <c r="E1747" s="1" t="s">
        <v>2269</v>
      </c>
      <c r="F1747" s="3">
        <v>0</v>
      </c>
      <c r="G1747" s="24" t="s">
        <v>5314</v>
      </c>
      <c r="H1747" s="24" t="s">
        <v>5315</v>
      </c>
      <c r="I1747" s="24" t="s">
        <v>5304</v>
      </c>
      <c r="J1747" s="24" t="s">
        <v>2920</v>
      </c>
      <c r="K1747" s="3">
        <v>16</v>
      </c>
      <c r="L1747" s="3" t="s">
        <v>2940</v>
      </c>
      <c r="M1747" s="3" t="str">
        <f>HYPERLINK("http://ictvonline.org/taxonomyHistory.asp?taxnode_id=20152238","ICTVonline=20152238")</f>
        <v>ICTVonline=20152238</v>
      </c>
    </row>
    <row r="1748" spans="1:13" x14ac:dyDescent="0.15">
      <c r="A1748" s="1" t="s">
        <v>934</v>
      </c>
      <c r="B1748" s="1" t="s">
        <v>2146</v>
      </c>
      <c r="D1748" s="1" t="s">
        <v>2147</v>
      </c>
      <c r="E1748" s="1" t="s">
        <v>2153</v>
      </c>
      <c r="F1748" s="3">
        <v>0</v>
      </c>
      <c r="I1748" s="24" t="s">
        <v>5304</v>
      </c>
      <c r="J1748" s="24" t="s">
        <v>2920</v>
      </c>
      <c r="K1748" s="3">
        <v>16</v>
      </c>
      <c r="L1748" s="3" t="s">
        <v>2940</v>
      </c>
      <c r="M1748" s="3" t="str">
        <f>HYPERLINK("http://ictvonline.org/taxonomyHistory.asp?taxnode_id=20152239","ICTVonline=20152239")</f>
        <v>ICTVonline=20152239</v>
      </c>
    </row>
    <row r="1749" spans="1:13" x14ac:dyDescent="0.15">
      <c r="A1749" s="1" t="s">
        <v>934</v>
      </c>
      <c r="B1749" s="1" t="s">
        <v>2146</v>
      </c>
      <c r="D1749" s="1" t="s">
        <v>2147</v>
      </c>
      <c r="E1749" s="1" t="s">
        <v>78</v>
      </c>
      <c r="F1749" s="3">
        <v>0</v>
      </c>
      <c r="G1749" s="24" t="s">
        <v>5316</v>
      </c>
      <c r="H1749" s="24" t="s">
        <v>5317</v>
      </c>
      <c r="I1749" s="24" t="s">
        <v>5304</v>
      </c>
      <c r="J1749" s="24" t="s">
        <v>2924</v>
      </c>
      <c r="K1749" s="3">
        <v>26</v>
      </c>
      <c r="L1749" s="3" t="s">
        <v>6958</v>
      </c>
      <c r="M1749" s="3" t="str">
        <f>HYPERLINK("http://ictvonline.org/taxonomyHistory.asp?taxnode_id=20152240","ICTVonline=20152240")</f>
        <v>ICTVonline=20152240</v>
      </c>
    </row>
    <row r="1750" spans="1:13" x14ac:dyDescent="0.15">
      <c r="A1750" s="1" t="s">
        <v>934</v>
      </c>
      <c r="B1750" s="1" t="s">
        <v>2146</v>
      </c>
      <c r="D1750" s="1" t="s">
        <v>2147</v>
      </c>
      <c r="E1750" s="1" t="s">
        <v>2068</v>
      </c>
      <c r="F1750" s="3">
        <v>1</v>
      </c>
      <c r="G1750" s="24" t="s">
        <v>5318</v>
      </c>
      <c r="H1750" s="24" t="s">
        <v>5319</v>
      </c>
      <c r="I1750" s="24" t="s">
        <v>5304</v>
      </c>
      <c r="J1750" s="24" t="s">
        <v>2920</v>
      </c>
      <c r="K1750" s="3">
        <v>16</v>
      </c>
      <c r="L1750" s="3" t="s">
        <v>2940</v>
      </c>
      <c r="M1750" s="3" t="str">
        <f>HYPERLINK("http://ictvonline.org/taxonomyHistory.asp?taxnode_id=20152241","ICTVonline=20152241")</f>
        <v>ICTVonline=20152241</v>
      </c>
    </row>
    <row r="1751" spans="1:13" x14ac:dyDescent="0.15">
      <c r="A1751" s="1" t="s">
        <v>934</v>
      </c>
      <c r="B1751" s="1" t="s">
        <v>2146</v>
      </c>
      <c r="D1751" s="1" t="s">
        <v>2147</v>
      </c>
      <c r="E1751" s="1" t="s">
        <v>79</v>
      </c>
      <c r="F1751" s="3">
        <v>0</v>
      </c>
      <c r="I1751" s="24" t="s">
        <v>5304</v>
      </c>
      <c r="J1751" s="24" t="s">
        <v>2924</v>
      </c>
      <c r="K1751" s="3">
        <v>26</v>
      </c>
      <c r="L1751" s="3" t="s">
        <v>6958</v>
      </c>
      <c r="M1751" s="3" t="str">
        <f>HYPERLINK("http://ictvonline.org/taxonomyHistory.asp?taxnode_id=20152242","ICTVonline=20152242")</f>
        <v>ICTVonline=20152242</v>
      </c>
    </row>
    <row r="1752" spans="1:13" x14ac:dyDescent="0.15">
      <c r="A1752" s="1" t="s">
        <v>934</v>
      </c>
      <c r="B1752" s="1" t="s">
        <v>2146</v>
      </c>
      <c r="D1752" s="1" t="s">
        <v>2147</v>
      </c>
      <c r="E1752" s="1" t="s">
        <v>80</v>
      </c>
      <c r="F1752" s="3">
        <v>0</v>
      </c>
      <c r="G1752" s="24" t="s">
        <v>5320</v>
      </c>
      <c r="H1752" s="24" t="s">
        <v>5321</v>
      </c>
      <c r="I1752" s="24" t="s">
        <v>5304</v>
      </c>
      <c r="J1752" s="24" t="s">
        <v>2919</v>
      </c>
      <c r="K1752" s="3">
        <v>26</v>
      </c>
      <c r="L1752" s="3" t="s">
        <v>6958</v>
      </c>
      <c r="M1752" s="3" t="str">
        <f>HYPERLINK("http://ictvonline.org/taxonomyHistory.asp?taxnode_id=20152243","ICTVonline=20152243")</f>
        <v>ICTVonline=20152243</v>
      </c>
    </row>
    <row r="1753" spans="1:13" x14ac:dyDescent="0.15">
      <c r="A1753" s="1" t="s">
        <v>934</v>
      </c>
      <c r="B1753" s="1" t="s">
        <v>2146</v>
      </c>
      <c r="D1753" s="1" t="s">
        <v>2147</v>
      </c>
      <c r="E1753" s="1" t="s">
        <v>2851</v>
      </c>
      <c r="F1753" s="3">
        <v>0</v>
      </c>
      <c r="G1753" s="24" t="s">
        <v>3293</v>
      </c>
      <c r="H1753" s="24" t="s">
        <v>5322</v>
      </c>
      <c r="I1753" s="24" t="s">
        <v>5304</v>
      </c>
      <c r="J1753" s="24" t="s">
        <v>2919</v>
      </c>
      <c r="K1753" s="3">
        <v>29</v>
      </c>
      <c r="L1753" s="3" t="s">
        <v>6957</v>
      </c>
      <c r="M1753" s="3" t="str">
        <f>HYPERLINK("http://ictvonline.org/taxonomyHistory.asp?taxnode_id=20152244","ICTVonline=20152244")</f>
        <v>ICTVonline=20152244</v>
      </c>
    </row>
    <row r="1754" spans="1:13" x14ac:dyDescent="0.15">
      <c r="A1754" s="1" t="s">
        <v>934</v>
      </c>
      <c r="B1754" s="1" t="s">
        <v>2146</v>
      </c>
      <c r="D1754" s="1" t="s">
        <v>2147</v>
      </c>
      <c r="E1754" s="1" t="s">
        <v>1202</v>
      </c>
      <c r="F1754" s="3">
        <v>0</v>
      </c>
      <c r="G1754" s="24" t="s">
        <v>5323</v>
      </c>
      <c r="H1754" s="24" t="s">
        <v>5324</v>
      </c>
      <c r="I1754" s="24" t="s">
        <v>5304</v>
      </c>
      <c r="J1754" s="24" t="s">
        <v>2924</v>
      </c>
      <c r="K1754" s="3">
        <v>23</v>
      </c>
      <c r="L1754" s="3" t="s">
        <v>2933</v>
      </c>
      <c r="M1754" s="3" t="str">
        <f>HYPERLINK("http://ictvonline.org/taxonomyHistory.asp?taxnode_id=20152245","ICTVonline=20152245")</f>
        <v>ICTVonline=20152245</v>
      </c>
    </row>
    <row r="1755" spans="1:13" x14ac:dyDescent="0.15">
      <c r="A1755" s="1" t="s">
        <v>934</v>
      </c>
      <c r="B1755" s="1" t="s">
        <v>2146</v>
      </c>
      <c r="D1755" s="1" t="s">
        <v>2147</v>
      </c>
      <c r="E1755" s="1" t="s">
        <v>5325</v>
      </c>
      <c r="F1755" s="3">
        <v>0</v>
      </c>
      <c r="G1755" s="24" t="s">
        <v>7523</v>
      </c>
      <c r="H1755" s="24" t="s">
        <v>5326</v>
      </c>
      <c r="I1755" s="24" t="s">
        <v>5304</v>
      </c>
      <c r="J1755" s="24" t="s">
        <v>2919</v>
      </c>
      <c r="K1755" s="3">
        <v>30</v>
      </c>
      <c r="L1755" s="3" t="s">
        <v>6960</v>
      </c>
      <c r="M1755" s="3" t="str">
        <f>HYPERLINK("http://ictvonline.org/taxonomyHistory.asp?taxnode_id=20152259","ICTVonline=20152259")</f>
        <v>ICTVonline=20152259</v>
      </c>
    </row>
    <row r="1756" spans="1:13" x14ac:dyDescent="0.15">
      <c r="A1756" s="1" t="s">
        <v>934</v>
      </c>
      <c r="B1756" s="1" t="s">
        <v>2146</v>
      </c>
      <c r="D1756" s="1" t="s">
        <v>2147</v>
      </c>
      <c r="E1756" s="1" t="s">
        <v>81</v>
      </c>
      <c r="F1756" s="3">
        <v>0</v>
      </c>
      <c r="G1756" s="24" t="s">
        <v>5327</v>
      </c>
      <c r="H1756" s="24" t="s">
        <v>5328</v>
      </c>
      <c r="I1756" s="24" t="s">
        <v>5304</v>
      </c>
      <c r="J1756" s="24" t="s">
        <v>2919</v>
      </c>
      <c r="K1756" s="3">
        <v>26</v>
      </c>
      <c r="L1756" s="3" t="s">
        <v>6961</v>
      </c>
      <c r="M1756" s="3" t="str">
        <f>HYPERLINK("http://ictvonline.org/taxonomyHistory.asp?taxnode_id=20152246","ICTVonline=20152246")</f>
        <v>ICTVonline=20152246</v>
      </c>
    </row>
    <row r="1757" spans="1:13" x14ac:dyDescent="0.15">
      <c r="A1757" s="1" t="s">
        <v>934</v>
      </c>
      <c r="B1757" s="1" t="s">
        <v>2146</v>
      </c>
      <c r="D1757" s="1" t="s">
        <v>2147</v>
      </c>
      <c r="E1757" s="1" t="s">
        <v>6731</v>
      </c>
      <c r="F1757" s="3">
        <v>0</v>
      </c>
      <c r="I1757" s="24" t="s">
        <v>5304</v>
      </c>
      <c r="J1757" s="24" t="s">
        <v>2924</v>
      </c>
      <c r="K1757" s="3">
        <v>24</v>
      </c>
      <c r="L1757" s="3" t="s">
        <v>2941</v>
      </c>
      <c r="M1757" s="3" t="str">
        <f>HYPERLINK("http://ictvonline.org/taxonomyHistory.asp?taxnode_id=20152247","ICTVonline=20152247")</f>
        <v>ICTVonline=20152247</v>
      </c>
    </row>
    <row r="1758" spans="1:13" x14ac:dyDescent="0.15">
      <c r="A1758" s="1" t="s">
        <v>934</v>
      </c>
      <c r="B1758" s="1" t="s">
        <v>2146</v>
      </c>
      <c r="D1758" s="1" t="s">
        <v>2147</v>
      </c>
      <c r="E1758" s="1" t="s">
        <v>2852</v>
      </c>
      <c r="F1758" s="3">
        <v>0</v>
      </c>
      <c r="G1758" s="24" t="s">
        <v>3294</v>
      </c>
      <c r="H1758" s="24" t="s">
        <v>5329</v>
      </c>
      <c r="I1758" s="24" t="s">
        <v>5304</v>
      </c>
      <c r="J1758" s="24" t="s">
        <v>2919</v>
      </c>
      <c r="K1758" s="3">
        <v>29</v>
      </c>
      <c r="L1758" s="3" t="s">
        <v>6957</v>
      </c>
      <c r="M1758" s="3" t="str">
        <f>HYPERLINK("http://ictvonline.org/taxonomyHistory.asp?taxnode_id=20152248","ICTVonline=20152248")</f>
        <v>ICTVonline=20152248</v>
      </c>
    </row>
    <row r="1759" spans="1:13" x14ac:dyDescent="0.15">
      <c r="A1759" s="1" t="s">
        <v>934</v>
      </c>
      <c r="B1759" s="1" t="s">
        <v>2146</v>
      </c>
      <c r="D1759" s="1" t="s">
        <v>2147</v>
      </c>
      <c r="E1759" s="1" t="s">
        <v>82</v>
      </c>
      <c r="F1759" s="3">
        <v>0</v>
      </c>
      <c r="G1759" s="24" t="s">
        <v>5330</v>
      </c>
      <c r="H1759" s="24" t="s">
        <v>4855</v>
      </c>
      <c r="I1759" s="24" t="s">
        <v>5304</v>
      </c>
      <c r="J1759" s="24" t="s">
        <v>2919</v>
      </c>
      <c r="K1759" s="3">
        <v>26</v>
      </c>
      <c r="L1759" s="3" t="s">
        <v>6958</v>
      </c>
      <c r="M1759" s="3" t="str">
        <f>HYPERLINK("http://ictvonline.org/taxonomyHistory.asp?taxnode_id=20152249","ICTVonline=20152249")</f>
        <v>ICTVonline=20152249</v>
      </c>
    </row>
    <row r="1760" spans="1:13" x14ac:dyDescent="0.15">
      <c r="A1760" s="1" t="s">
        <v>934</v>
      </c>
      <c r="B1760" s="1" t="s">
        <v>2146</v>
      </c>
      <c r="D1760" s="1" t="s">
        <v>2147</v>
      </c>
      <c r="E1760" s="1" t="s">
        <v>83</v>
      </c>
      <c r="F1760" s="3">
        <v>0</v>
      </c>
      <c r="I1760" s="24" t="s">
        <v>5304</v>
      </c>
      <c r="J1760" s="24" t="s">
        <v>2919</v>
      </c>
      <c r="K1760" s="3">
        <v>26</v>
      </c>
      <c r="L1760" s="3" t="s">
        <v>6958</v>
      </c>
      <c r="M1760" s="3" t="str">
        <f>HYPERLINK("http://ictvonline.org/taxonomyHistory.asp?taxnode_id=20152250","ICTVonline=20152250")</f>
        <v>ICTVonline=20152250</v>
      </c>
    </row>
    <row r="1761" spans="1:13" x14ac:dyDescent="0.15">
      <c r="A1761" s="1" t="s">
        <v>934</v>
      </c>
      <c r="B1761" s="1" t="s">
        <v>2146</v>
      </c>
      <c r="D1761" s="1" t="s">
        <v>2147</v>
      </c>
      <c r="E1761" s="1" t="s">
        <v>2158</v>
      </c>
      <c r="F1761" s="3">
        <v>0</v>
      </c>
      <c r="G1761" s="24" t="s">
        <v>5331</v>
      </c>
      <c r="H1761" s="24" t="s">
        <v>5332</v>
      </c>
      <c r="I1761" s="24" t="s">
        <v>5304</v>
      </c>
      <c r="J1761" s="24" t="s">
        <v>2920</v>
      </c>
      <c r="K1761" s="3">
        <v>16</v>
      </c>
      <c r="L1761" s="3" t="s">
        <v>2940</v>
      </c>
      <c r="M1761" s="3" t="str">
        <f>HYPERLINK("http://ictvonline.org/taxonomyHistory.asp?taxnode_id=20152251","ICTVonline=20152251")</f>
        <v>ICTVonline=20152251</v>
      </c>
    </row>
    <row r="1762" spans="1:13" x14ac:dyDescent="0.15">
      <c r="A1762" s="1" t="s">
        <v>934</v>
      </c>
      <c r="B1762" s="1" t="s">
        <v>2146</v>
      </c>
      <c r="D1762" s="1" t="s">
        <v>2147</v>
      </c>
      <c r="E1762" s="1" t="s">
        <v>2159</v>
      </c>
      <c r="F1762" s="3">
        <v>0</v>
      </c>
      <c r="G1762" s="24" t="s">
        <v>5333</v>
      </c>
      <c r="H1762" s="24" t="s">
        <v>5334</v>
      </c>
      <c r="I1762" s="24" t="s">
        <v>5304</v>
      </c>
      <c r="J1762" s="24" t="s">
        <v>2919</v>
      </c>
      <c r="K1762" s="3">
        <v>22</v>
      </c>
      <c r="L1762" s="3" t="s">
        <v>6962</v>
      </c>
      <c r="M1762" s="3" t="str">
        <f>HYPERLINK("http://ictvonline.org/taxonomyHistory.asp?taxnode_id=20152252","ICTVonline=20152252")</f>
        <v>ICTVonline=20152252</v>
      </c>
    </row>
    <row r="1763" spans="1:13" x14ac:dyDescent="0.15">
      <c r="A1763" s="1" t="s">
        <v>934</v>
      </c>
      <c r="B1763" s="1" t="s">
        <v>2146</v>
      </c>
      <c r="D1763" s="1" t="s">
        <v>2147</v>
      </c>
      <c r="E1763" s="1" t="s">
        <v>2160</v>
      </c>
      <c r="F1763" s="3">
        <v>0</v>
      </c>
      <c r="I1763" s="24" t="s">
        <v>5304</v>
      </c>
      <c r="J1763" s="24" t="s">
        <v>2920</v>
      </c>
      <c r="K1763" s="3">
        <v>16</v>
      </c>
      <c r="L1763" s="3" t="s">
        <v>2940</v>
      </c>
      <c r="M1763" s="3" t="str">
        <f>HYPERLINK("http://ictvonline.org/taxonomyHistory.asp?taxnode_id=20152253","ICTVonline=20152253")</f>
        <v>ICTVonline=20152253</v>
      </c>
    </row>
    <row r="1764" spans="1:13" x14ac:dyDescent="0.15">
      <c r="A1764" s="1" t="s">
        <v>934</v>
      </c>
      <c r="B1764" s="1" t="s">
        <v>2146</v>
      </c>
      <c r="D1764" s="1" t="s">
        <v>2147</v>
      </c>
      <c r="E1764" s="1" t="s">
        <v>3351</v>
      </c>
      <c r="F1764" s="3">
        <v>0</v>
      </c>
      <c r="I1764" s="24" t="s">
        <v>5304</v>
      </c>
      <c r="J1764" s="24" t="s">
        <v>2919</v>
      </c>
      <c r="K1764" s="3">
        <v>22</v>
      </c>
      <c r="L1764" s="3" t="s">
        <v>6962</v>
      </c>
      <c r="M1764" s="3" t="str">
        <f>HYPERLINK("http://ictvonline.org/taxonomyHistory.asp?taxnode_id=20152254","ICTVonline=20152254")</f>
        <v>ICTVonline=20152254</v>
      </c>
    </row>
    <row r="1765" spans="1:13" x14ac:dyDescent="0.15">
      <c r="A1765" s="1" t="s">
        <v>934</v>
      </c>
      <c r="B1765" s="1" t="s">
        <v>2146</v>
      </c>
      <c r="D1765" s="1" t="s">
        <v>2147</v>
      </c>
      <c r="E1765" s="1" t="s">
        <v>5335</v>
      </c>
      <c r="F1765" s="3">
        <v>0</v>
      </c>
      <c r="G1765" s="24" t="s">
        <v>7524</v>
      </c>
      <c r="H1765" s="24" t="s">
        <v>5336</v>
      </c>
      <c r="I1765" s="24" t="s">
        <v>5304</v>
      </c>
      <c r="J1765" s="24" t="s">
        <v>2919</v>
      </c>
      <c r="K1765" s="3">
        <v>30</v>
      </c>
      <c r="L1765" s="3" t="s">
        <v>6959</v>
      </c>
      <c r="M1765" s="3" t="str">
        <f>HYPERLINK("http://ictvonline.org/taxonomyHistory.asp?taxnode_id=20152260","ICTVonline=20152260")</f>
        <v>ICTVonline=20152260</v>
      </c>
    </row>
    <row r="1766" spans="1:13" x14ac:dyDescent="0.15">
      <c r="A1766" s="1" t="s">
        <v>934</v>
      </c>
      <c r="B1766" s="1" t="s">
        <v>2146</v>
      </c>
      <c r="D1766" s="1" t="s">
        <v>2147</v>
      </c>
      <c r="E1766" s="1" t="s">
        <v>5337</v>
      </c>
      <c r="F1766" s="3">
        <v>0</v>
      </c>
      <c r="G1766" s="24" t="s">
        <v>7525</v>
      </c>
      <c r="H1766" s="24" t="s">
        <v>5338</v>
      </c>
      <c r="I1766" s="24" t="s">
        <v>5304</v>
      </c>
      <c r="J1766" s="24" t="s">
        <v>2919</v>
      </c>
      <c r="K1766" s="3">
        <v>30</v>
      </c>
      <c r="L1766" s="3" t="s">
        <v>6959</v>
      </c>
      <c r="M1766" s="3" t="str">
        <f>HYPERLINK("http://ictvonline.org/taxonomyHistory.asp?taxnode_id=20152261","ICTVonline=20152261")</f>
        <v>ICTVonline=20152261</v>
      </c>
    </row>
    <row r="1767" spans="1:13" x14ac:dyDescent="0.15">
      <c r="A1767" s="1" t="s">
        <v>934</v>
      </c>
      <c r="B1767" s="1" t="s">
        <v>2146</v>
      </c>
      <c r="D1767" s="1" t="s">
        <v>2147</v>
      </c>
      <c r="E1767" s="1" t="s">
        <v>2155</v>
      </c>
      <c r="F1767" s="3">
        <v>0</v>
      </c>
      <c r="G1767" s="24" t="s">
        <v>7863</v>
      </c>
      <c r="H1767" s="24" t="s">
        <v>7864</v>
      </c>
      <c r="I1767" s="24" t="s">
        <v>5304</v>
      </c>
      <c r="J1767" s="24" t="s">
        <v>2924</v>
      </c>
      <c r="K1767" s="3">
        <v>26</v>
      </c>
      <c r="L1767" s="3" t="s">
        <v>6958</v>
      </c>
      <c r="M1767" s="3" t="str">
        <f>HYPERLINK("http://ictvonline.org/taxonomyHistory.asp?taxnode_id=20152255","ICTVonline=20152255")</f>
        <v>ICTVonline=20152255</v>
      </c>
    </row>
    <row r="1768" spans="1:13" x14ac:dyDescent="0.15">
      <c r="A1768" s="1" t="s">
        <v>934</v>
      </c>
      <c r="B1768" s="1" t="s">
        <v>2146</v>
      </c>
      <c r="D1768" s="1" t="s">
        <v>2147</v>
      </c>
      <c r="E1768" s="1" t="s">
        <v>84</v>
      </c>
      <c r="F1768" s="3">
        <v>0</v>
      </c>
      <c r="G1768" s="24" t="s">
        <v>7863</v>
      </c>
      <c r="H1768" s="24" t="s">
        <v>8001</v>
      </c>
      <c r="I1768" s="24" t="s">
        <v>5304</v>
      </c>
      <c r="J1768" s="24" t="s">
        <v>2924</v>
      </c>
      <c r="K1768" s="3">
        <v>26</v>
      </c>
      <c r="L1768" s="3" t="s">
        <v>6958</v>
      </c>
      <c r="M1768" s="3" t="str">
        <f>HYPERLINK("http://ictvonline.org/taxonomyHistory.asp?taxnode_id=20152256","ICTVonline=20152256")</f>
        <v>ICTVonline=20152256</v>
      </c>
    </row>
    <row r="1769" spans="1:13" x14ac:dyDescent="0.15">
      <c r="A1769" s="1" t="s">
        <v>934</v>
      </c>
      <c r="B1769" s="1" t="s">
        <v>2146</v>
      </c>
      <c r="D1769" s="1" t="s">
        <v>2147</v>
      </c>
      <c r="E1769" s="1" t="s">
        <v>85</v>
      </c>
      <c r="F1769" s="3">
        <v>0</v>
      </c>
      <c r="G1769" s="24" t="s">
        <v>5339</v>
      </c>
      <c r="H1769" s="24" t="s">
        <v>5340</v>
      </c>
      <c r="I1769" s="24" t="s">
        <v>5304</v>
      </c>
      <c r="J1769" s="24" t="s">
        <v>2919</v>
      </c>
      <c r="K1769" s="3">
        <v>26</v>
      </c>
      <c r="L1769" s="3" t="s">
        <v>6961</v>
      </c>
      <c r="M1769" s="3" t="str">
        <f>HYPERLINK("http://ictvonline.org/taxonomyHistory.asp?taxnode_id=20152257","ICTVonline=20152257")</f>
        <v>ICTVonline=20152257</v>
      </c>
    </row>
    <row r="1770" spans="1:13" x14ac:dyDescent="0.15">
      <c r="A1770" s="1" t="s">
        <v>934</v>
      </c>
      <c r="B1770" s="1" t="s">
        <v>2146</v>
      </c>
      <c r="D1770" s="1" t="s">
        <v>2147</v>
      </c>
      <c r="E1770" s="1" t="s">
        <v>2156</v>
      </c>
      <c r="F1770" s="3">
        <v>0</v>
      </c>
      <c r="G1770" s="24" t="s">
        <v>5341</v>
      </c>
      <c r="H1770" s="24" t="s">
        <v>5342</v>
      </c>
      <c r="I1770" s="24" t="s">
        <v>5304</v>
      </c>
      <c r="J1770" s="24" t="s">
        <v>2919</v>
      </c>
      <c r="K1770" s="3">
        <v>23</v>
      </c>
      <c r="L1770" s="3" t="s">
        <v>2933</v>
      </c>
      <c r="M1770" s="3" t="str">
        <f>HYPERLINK("http://ictvonline.org/taxonomyHistory.asp?taxnode_id=20152258","ICTVonline=20152258")</f>
        <v>ICTVonline=20152258</v>
      </c>
    </row>
    <row r="1771" spans="1:13" x14ac:dyDescent="0.15">
      <c r="A1771" s="1" t="s">
        <v>934</v>
      </c>
      <c r="B1771" s="1" t="s">
        <v>2146</v>
      </c>
      <c r="D1771" s="1" t="s">
        <v>2273</v>
      </c>
      <c r="E1771" s="1" t="s">
        <v>2069</v>
      </c>
      <c r="F1771" s="3">
        <v>0</v>
      </c>
      <c r="G1771" s="24" t="s">
        <v>5343</v>
      </c>
      <c r="H1771" s="24" t="s">
        <v>5344</v>
      </c>
      <c r="I1771" s="24" t="s">
        <v>5304</v>
      </c>
      <c r="J1771" s="24" t="s">
        <v>2920</v>
      </c>
      <c r="K1771" s="3">
        <v>16</v>
      </c>
      <c r="L1771" s="3" t="s">
        <v>2940</v>
      </c>
      <c r="M1771" s="3" t="str">
        <f>HYPERLINK("http://ictvonline.org/taxonomyHistory.asp?taxnode_id=20152265","ICTVonline=20152265")</f>
        <v>ICTVonline=20152265</v>
      </c>
    </row>
    <row r="1772" spans="1:13" x14ac:dyDescent="0.15">
      <c r="A1772" s="1" t="s">
        <v>934</v>
      </c>
      <c r="B1772" s="1" t="s">
        <v>2146</v>
      </c>
      <c r="D1772" s="1" t="s">
        <v>2273</v>
      </c>
      <c r="E1772" s="1" t="s">
        <v>2070</v>
      </c>
      <c r="F1772" s="3">
        <v>1</v>
      </c>
      <c r="G1772" s="24" t="s">
        <v>5345</v>
      </c>
      <c r="H1772" s="24" t="s">
        <v>5346</v>
      </c>
      <c r="I1772" s="24" t="s">
        <v>5304</v>
      </c>
      <c r="J1772" s="24" t="s">
        <v>2920</v>
      </c>
      <c r="K1772" s="3">
        <v>16</v>
      </c>
      <c r="L1772" s="3" t="s">
        <v>2940</v>
      </c>
      <c r="M1772" s="3" t="str">
        <f>HYPERLINK("http://ictvonline.org/taxonomyHistory.asp?taxnode_id=20152266","ICTVonline=20152266")</f>
        <v>ICTVonline=20152266</v>
      </c>
    </row>
    <row r="1773" spans="1:13" x14ac:dyDescent="0.15">
      <c r="A1773" s="1" t="s">
        <v>934</v>
      </c>
      <c r="B1773" s="1" t="s">
        <v>2146</v>
      </c>
      <c r="D1773" s="1" t="s">
        <v>2273</v>
      </c>
      <c r="E1773" s="1" t="s">
        <v>2169</v>
      </c>
      <c r="F1773" s="3">
        <v>0</v>
      </c>
      <c r="G1773" s="24" t="s">
        <v>5347</v>
      </c>
      <c r="H1773" s="24" t="s">
        <v>5348</v>
      </c>
      <c r="I1773" s="24" t="s">
        <v>5304</v>
      </c>
      <c r="J1773" s="24" t="s">
        <v>2920</v>
      </c>
      <c r="K1773" s="3">
        <v>16</v>
      </c>
      <c r="L1773" s="3" t="s">
        <v>2940</v>
      </c>
      <c r="M1773" s="3" t="str">
        <f>HYPERLINK("http://ictvonline.org/taxonomyHistory.asp?taxnode_id=20152267","ICTVonline=20152267")</f>
        <v>ICTVonline=20152267</v>
      </c>
    </row>
    <row r="1774" spans="1:13" x14ac:dyDescent="0.15">
      <c r="A1774" s="1" t="s">
        <v>934</v>
      </c>
      <c r="B1774" s="1" t="s">
        <v>2146</v>
      </c>
      <c r="D1774" s="1" t="s">
        <v>2273</v>
      </c>
      <c r="E1774" s="1" t="s">
        <v>1896</v>
      </c>
      <c r="F1774" s="3">
        <v>0</v>
      </c>
      <c r="G1774" s="24" t="s">
        <v>5349</v>
      </c>
      <c r="H1774" s="24" t="s">
        <v>5350</v>
      </c>
      <c r="I1774" s="24" t="s">
        <v>5304</v>
      </c>
      <c r="J1774" s="24" t="s">
        <v>2920</v>
      </c>
      <c r="K1774" s="3">
        <v>16</v>
      </c>
      <c r="L1774" s="3" t="s">
        <v>2940</v>
      </c>
      <c r="M1774" s="3" t="str">
        <f>HYPERLINK("http://ictvonline.org/taxonomyHistory.asp?taxnode_id=20152268","ICTVonline=20152268")</f>
        <v>ICTVonline=20152268</v>
      </c>
    </row>
    <row r="1775" spans="1:13" x14ac:dyDescent="0.15">
      <c r="A1775" s="1" t="s">
        <v>934</v>
      </c>
      <c r="B1775" s="1" t="s">
        <v>2146</v>
      </c>
      <c r="D1775" s="1" t="s">
        <v>2273</v>
      </c>
      <c r="E1775" s="1" t="s">
        <v>1897</v>
      </c>
      <c r="F1775" s="3">
        <v>0</v>
      </c>
      <c r="G1775" s="24" t="s">
        <v>5351</v>
      </c>
      <c r="H1775" s="24" t="s">
        <v>5352</v>
      </c>
      <c r="I1775" s="24" t="s">
        <v>5304</v>
      </c>
      <c r="J1775" s="24" t="s">
        <v>2920</v>
      </c>
      <c r="K1775" s="3">
        <v>16</v>
      </c>
      <c r="L1775" s="3" t="s">
        <v>2940</v>
      </c>
      <c r="M1775" s="3" t="str">
        <f>HYPERLINK("http://ictvonline.org/taxonomyHistory.asp?taxnode_id=20152269","ICTVonline=20152269")</f>
        <v>ICTVonline=20152269</v>
      </c>
    </row>
    <row r="1776" spans="1:13" x14ac:dyDescent="0.15">
      <c r="A1776" s="1" t="s">
        <v>934</v>
      </c>
      <c r="B1776" s="1" t="s">
        <v>2146</v>
      </c>
      <c r="D1776" s="1" t="s">
        <v>2273</v>
      </c>
      <c r="E1776" s="1" t="s">
        <v>86</v>
      </c>
      <c r="F1776" s="3">
        <v>0</v>
      </c>
      <c r="G1776" s="24" t="s">
        <v>5353</v>
      </c>
      <c r="H1776" s="24" t="s">
        <v>4744</v>
      </c>
      <c r="I1776" s="24" t="s">
        <v>5304</v>
      </c>
      <c r="J1776" s="24" t="s">
        <v>2919</v>
      </c>
      <c r="K1776" s="3">
        <v>26</v>
      </c>
      <c r="L1776" s="3" t="s">
        <v>6963</v>
      </c>
      <c r="M1776" s="3" t="str">
        <f>HYPERLINK("http://ictvonline.org/taxonomyHistory.asp?taxnode_id=20152270","ICTVonline=20152270")</f>
        <v>ICTVonline=20152270</v>
      </c>
    </row>
    <row r="1777" spans="1:13" x14ac:dyDescent="0.15">
      <c r="A1777" s="1" t="s">
        <v>934</v>
      </c>
      <c r="B1777" s="1" t="s">
        <v>2146</v>
      </c>
      <c r="D1777" s="1" t="s">
        <v>2273</v>
      </c>
      <c r="E1777" s="1" t="s">
        <v>760</v>
      </c>
      <c r="F1777" s="3">
        <v>0</v>
      </c>
      <c r="G1777" s="24" t="s">
        <v>5354</v>
      </c>
      <c r="H1777" s="24" t="s">
        <v>5355</v>
      </c>
      <c r="I1777" s="24" t="s">
        <v>5304</v>
      </c>
      <c r="J1777" s="24" t="s">
        <v>2920</v>
      </c>
      <c r="K1777" s="3">
        <v>16</v>
      </c>
      <c r="L1777" s="3" t="s">
        <v>2940</v>
      </c>
      <c r="M1777" s="3" t="str">
        <f>HYPERLINK("http://ictvonline.org/taxonomyHistory.asp?taxnode_id=20152271","ICTVonline=20152271")</f>
        <v>ICTVonline=20152271</v>
      </c>
    </row>
    <row r="1778" spans="1:13" x14ac:dyDescent="0.15">
      <c r="A1778" s="1" t="s">
        <v>934</v>
      </c>
      <c r="B1778" s="1" t="s">
        <v>2146</v>
      </c>
      <c r="D1778" s="1" t="s">
        <v>2273</v>
      </c>
      <c r="E1778" s="1" t="s">
        <v>2853</v>
      </c>
      <c r="F1778" s="3">
        <v>0</v>
      </c>
      <c r="G1778" s="24" t="s">
        <v>3295</v>
      </c>
      <c r="H1778" s="24" t="s">
        <v>4744</v>
      </c>
      <c r="I1778" s="24" t="s">
        <v>5304</v>
      </c>
      <c r="J1778" s="24" t="s">
        <v>2919</v>
      </c>
      <c r="K1778" s="3">
        <v>29</v>
      </c>
      <c r="L1778" s="3" t="s">
        <v>6964</v>
      </c>
      <c r="M1778" s="3" t="str">
        <f>HYPERLINK("http://ictvonline.org/taxonomyHistory.asp?taxnode_id=20152272","ICTVonline=20152272")</f>
        <v>ICTVonline=20152272</v>
      </c>
    </row>
    <row r="1779" spans="1:13" x14ac:dyDescent="0.15">
      <c r="A1779" s="1" t="s">
        <v>934</v>
      </c>
      <c r="B1779" s="1" t="s">
        <v>2146</v>
      </c>
      <c r="D1779" s="1" t="s">
        <v>2273</v>
      </c>
      <c r="E1779" s="1" t="s">
        <v>761</v>
      </c>
      <c r="F1779" s="3">
        <v>0</v>
      </c>
      <c r="G1779" s="24" t="s">
        <v>5356</v>
      </c>
      <c r="H1779" s="24" t="s">
        <v>5357</v>
      </c>
      <c r="I1779" s="24" t="s">
        <v>5304</v>
      </c>
      <c r="J1779" s="24" t="s">
        <v>2920</v>
      </c>
      <c r="K1779" s="3">
        <v>16</v>
      </c>
      <c r="L1779" s="3" t="s">
        <v>2940</v>
      </c>
      <c r="M1779" s="3" t="str">
        <f>HYPERLINK("http://ictvonline.org/taxonomyHistory.asp?taxnode_id=20152273","ICTVonline=20152273")</f>
        <v>ICTVonline=20152273</v>
      </c>
    </row>
    <row r="1780" spans="1:13" x14ac:dyDescent="0.15">
      <c r="A1780" s="1" t="s">
        <v>934</v>
      </c>
      <c r="B1780" s="1" t="s">
        <v>2146</v>
      </c>
      <c r="D1780" s="1" t="s">
        <v>2273</v>
      </c>
      <c r="E1780" s="1" t="s">
        <v>762</v>
      </c>
      <c r="F1780" s="3">
        <v>0</v>
      </c>
      <c r="I1780" s="24" t="s">
        <v>5304</v>
      </c>
      <c r="J1780" s="24" t="s">
        <v>2920</v>
      </c>
      <c r="K1780" s="3">
        <v>16</v>
      </c>
      <c r="L1780" s="3" t="s">
        <v>2940</v>
      </c>
      <c r="M1780" s="3" t="str">
        <f>HYPERLINK("http://ictvonline.org/taxonomyHistory.asp?taxnode_id=20152274","ICTVonline=20152274")</f>
        <v>ICTVonline=20152274</v>
      </c>
    </row>
    <row r="1781" spans="1:13" x14ac:dyDescent="0.15">
      <c r="A1781" s="1" t="s">
        <v>934</v>
      </c>
      <c r="B1781" s="1" t="s">
        <v>2146</v>
      </c>
      <c r="D1781" s="1" t="s">
        <v>763</v>
      </c>
      <c r="E1781" s="1" t="s">
        <v>764</v>
      </c>
      <c r="F1781" s="3">
        <v>1</v>
      </c>
      <c r="G1781" s="24" t="s">
        <v>5358</v>
      </c>
      <c r="H1781" s="24" t="s">
        <v>5359</v>
      </c>
      <c r="I1781" s="24" t="s">
        <v>5304</v>
      </c>
      <c r="J1781" s="24" t="s">
        <v>2920</v>
      </c>
      <c r="K1781" s="3">
        <v>22</v>
      </c>
      <c r="L1781" s="3" t="s">
        <v>6965</v>
      </c>
      <c r="M1781" s="3" t="str">
        <f>HYPERLINK("http://ictvonline.org/taxonomyHistory.asp?taxnode_id=20152276","ICTVonline=20152276")</f>
        <v>ICTVonline=20152276</v>
      </c>
    </row>
    <row r="1782" spans="1:13" x14ac:dyDescent="0.15">
      <c r="A1782" s="1" t="s">
        <v>934</v>
      </c>
      <c r="B1782" s="1" t="s">
        <v>2146</v>
      </c>
      <c r="D1782" s="1" t="s">
        <v>763</v>
      </c>
      <c r="E1782" s="1" t="s">
        <v>1838</v>
      </c>
      <c r="F1782" s="3">
        <v>0</v>
      </c>
      <c r="G1782" s="24" t="s">
        <v>5360</v>
      </c>
      <c r="H1782" s="24" t="s">
        <v>5361</v>
      </c>
      <c r="I1782" s="24" t="s">
        <v>5304</v>
      </c>
      <c r="J1782" s="24" t="s">
        <v>2919</v>
      </c>
      <c r="K1782" s="3">
        <v>26</v>
      </c>
      <c r="L1782" s="3" t="s">
        <v>6966</v>
      </c>
      <c r="M1782" s="3" t="str">
        <f>HYPERLINK("http://ictvonline.org/taxonomyHistory.asp?taxnode_id=20152277","ICTVonline=20152277")</f>
        <v>ICTVonline=20152277</v>
      </c>
    </row>
    <row r="1783" spans="1:13" x14ac:dyDescent="0.15">
      <c r="A1783" s="1" t="s">
        <v>934</v>
      </c>
      <c r="B1783" s="1" t="s">
        <v>2146</v>
      </c>
      <c r="D1783" s="1" t="s">
        <v>766</v>
      </c>
      <c r="E1783" s="1" t="s">
        <v>1245</v>
      </c>
      <c r="F1783" s="3">
        <v>1</v>
      </c>
      <c r="G1783" s="24" t="s">
        <v>5362</v>
      </c>
      <c r="H1783" s="24" t="s">
        <v>5363</v>
      </c>
      <c r="I1783" s="24" t="s">
        <v>5304</v>
      </c>
      <c r="J1783" s="24" t="s">
        <v>2920</v>
      </c>
      <c r="K1783" s="3">
        <v>22</v>
      </c>
      <c r="L1783" s="3" t="s">
        <v>6965</v>
      </c>
      <c r="M1783" s="3" t="str">
        <f>HYPERLINK("http://ictvonline.org/taxonomyHistory.asp?taxnode_id=20152279","ICTVonline=20152279")</f>
        <v>ICTVonline=20152279</v>
      </c>
    </row>
    <row r="1784" spans="1:13" x14ac:dyDescent="0.15">
      <c r="A1784" s="1" t="s">
        <v>934</v>
      </c>
      <c r="B1784" s="1" t="s">
        <v>2146</v>
      </c>
      <c r="D1784" s="1" t="s">
        <v>2854</v>
      </c>
      <c r="E1784" s="1" t="s">
        <v>2855</v>
      </c>
      <c r="F1784" s="3">
        <v>1</v>
      </c>
      <c r="G1784" s="24" t="s">
        <v>3296</v>
      </c>
      <c r="H1784" s="24" t="s">
        <v>5364</v>
      </c>
      <c r="I1784" s="24" t="s">
        <v>5304</v>
      </c>
      <c r="J1784" s="24" t="s">
        <v>2919</v>
      </c>
      <c r="K1784" s="3">
        <v>29</v>
      </c>
      <c r="L1784" s="3" t="s">
        <v>6967</v>
      </c>
      <c r="M1784" s="3" t="str">
        <f>HYPERLINK("http://ictvonline.org/taxonomyHistory.asp?taxnode_id=20152281","ICTVonline=20152281")</f>
        <v>ICTVonline=20152281</v>
      </c>
    </row>
    <row r="1785" spans="1:13" x14ac:dyDescent="0.15">
      <c r="A1785" s="1" t="s">
        <v>934</v>
      </c>
      <c r="B1785" s="1" t="s">
        <v>2146</v>
      </c>
      <c r="D1785" s="1" t="s">
        <v>87</v>
      </c>
      <c r="E1785" s="1" t="s">
        <v>88</v>
      </c>
      <c r="F1785" s="3">
        <v>0</v>
      </c>
      <c r="G1785" s="24" t="s">
        <v>5365</v>
      </c>
      <c r="H1785" s="24" t="s">
        <v>5366</v>
      </c>
      <c r="I1785" s="24" t="s">
        <v>5304</v>
      </c>
      <c r="J1785" s="24" t="s">
        <v>2919</v>
      </c>
      <c r="K1785" s="3">
        <v>26</v>
      </c>
      <c r="L1785" s="3" t="s">
        <v>6968</v>
      </c>
      <c r="M1785" s="3" t="str">
        <f>HYPERLINK("http://ictvonline.org/taxonomyHistory.asp?taxnode_id=20152283","ICTVonline=20152283")</f>
        <v>ICTVonline=20152283</v>
      </c>
    </row>
    <row r="1786" spans="1:13" x14ac:dyDescent="0.15">
      <c r="A1786" s="1" t="s">
        <v>934</v>
      </c>
      <c r="B1786" s="1" t="s">
        <v>2146</v>
      </c>
      <c r="D1786" s="1" t="s">
        <v>87</v>
      </c>
      <c r="E1786" s="1" t="s">
        <v>765</v>
      </c>
      <c r="F1786" s="3">
        <v>1</v>
      </c>
      <c r="G1786" s="24" t="s">
        <v>5367</v>
      </c>
      <c r="H1786" s="24" t="s">
        <v>5368</v>
      </c>
      <c r="I1786" s="24" t="s">
        <v>5304</v>
      </c>
      <c r="J1786" s="24" t="s">
        <v>2922</v>
      </c>
      <c r="K1786" s="3">
        <v>26</v>
      </c>
      <c r="L1786" s="3" t="s">
        <v>6969</v>
      </c>
      <c r="M1786" s="3" t="str">
        <f>HYPERLINK("http://ictvonline.org/taxonomyHistory.asp?taxnode_id=20152284","ICTVonline=20152284")</f>
        <v>ICTVonline=20152284</v>
      </c>
    </row>
    <row r="1787" spans="1:13" x14ac:dyDescent="0.15">
      <c r="A1787" s="1" t="s">
        <v>934</v>
      </c>
      <c r="B1787" s="1" t="s">
        <v>2146</v>
      </c>
      <c r="D1787" s="1" t="s">
        <v>1246</v>
      </c>
      <c r="E1787" s="1" t="s">
        <v>1247</v>
      </c>
      <c r="F1787" s="3">
        <v>0</v>
      </c>
      <c r="G1787" s="24" t="s">
        <v>5369</v>
      </c>
      <c r="H1787" s="24" t="s">
        <v>5370</v>
      </c>
      <c r="I1787" s="24" t="s">
        <v>5304</v>
      </c>
      <c r="J1787" s="24" t="s">
        <v>2920</v>
      </c>
      <c r="K1787" s="3">
        <v>22</v>
      </c>
      <c r="L1787" s="3" t="s">
        <v>6970</v>
      </c>
      <c r="M1787" s="3" t="str">
        <f>HYPERLINK("http://ictvonline.org/taxonomyHistory.asp?taxnode_id=20152286","ICTVonline=20152286")</f>
        <v>ICTVonline=20152286</v>
      </c>
    </row>
    <row r="1788" spans="1:13" x14ac:dyDescent="0.15">
      <c r="A1788" s="1" t="s">
        <v>934</v>
      </c>
      <c r="B1788" s="1" t="s">
        <v>2146</v>
      </c>
      <c r="D1788" s="1" t="s">
        <v>1246</v>
      </c>
      <c r="E1788" s="1" t="s">
        <v>89</v>
      </c>
      <c r="F1788" s="3">
        <v>0</v>
      </c>
      <c r="G1788" s="24" t="s">
        <v>5371</v>
      </c>
      <c r="H1788" s="24" t="s">
        <v>5372</v>
      </c>
      <c r="I1788" s="24" t="s">
        <v>5304</v>
      </c>
      <c r="J1788" s="24" t="s">
        <v>2919</v>
      </c>
      <c r="K1788" s="3">
        <v>26</v>
      </c>
      <c r="L1788" s="3" t="s">
        <v>6971</v>
      </c>
      <c r="M1788" s="3" t="str">
        <f>HYPERLINK("http://ictvonline.org/taxonomyHistory.asp?taxnode_id=20152287","ICTVonline=20152287")</f>
        <v>ICTVonline=20152287</v>
      </c>
    </row>
    <row r="1789" spans="1:13" x14ac:dyDescent="0.15">
      <c r="A1789" s="1" t="s">
        <v>934</v>
      </c>
      <c r="B1789" s="1" t="s">
        <v>2146</v>
      </c>
      <c r="D1789" s="1" t="s">
        <v>1246</v>
      </c>
      <c r="E1789" s="1" t="s">
        <v>1248</v>
      </c>
      <c r="F1789" s="3">
        <v>0</v>
      </c>
      <c r="G1789" s="24" t="s">
        <v>5373</v>
      </c>
      <c r="H1789" s="24" t="s">
        <v>4790</v>
      </c>
      <c r="I1789" s="24" t="s">
        <v>5304</v>
      </c>
      <c r="J1789" s="24" t="s">
        <v>2920</v>
      </c>
      <c r="K1789" s="3">
        <v>22</v>
      </c>
      <c r="L1789" s="3" t="s">
        <v>6965</v>
      </c>
      <c r="M1789" s="3" t="str">
        <f>HYPERLINK("http://ictvonline.org/taxonomyHistory.asp?taxnode_id=20152288","ICTVonline=20152288")</f>
        <v>ICTVonline=20152288</v>
      </c>
    </row>
    <row r="1790" spans="1:13" x14ac:dyDescent="0.15">
      <c r="A1790" s="1" t="s">
        <v>934</v>
      </c>
      <c r="B1790" s="1" t="s">
        <v>2146</v>
      </c>
      <c r="D1790" s="1" t="s">
        <v>1246</v>
      </c>
      <c r="E1790" s="1" t="s">
        <v>1249</v>
      </c>
      <c r="F1790" s="3">
        <v>1</v>
      </c>
      <c r="G1790" s="24" t="s">
        <v>5374</v>
      </c>
      <c r="H1790" s="24" t="s">
        <v>5375</v>
      </c>
      <c r="I1790" s="24" t="s">
        <v>5304</v>
      </c>
      <c r="J1790" s="24" t="s">
        <v>2920</v>
      </c>
      <c r="K1790" s="3">
        <v>22</v>
      </c>
      <c r="L1790" s="3" t="s">
        <v>6965</v>
      </c>
      <c r="M1790" s="3" t="str">
        <f>HYPERLINK("http://ictvonline.org/taxonomyHistory.asp?taxnode_id=20152289","ICTVonline=20152289")</f>
        <v>ICTVonline=20152289</v>
      </c>
    </row>
    <row r="1791" spans="1:13" x14ac:dyDescent="0.15">
      <c r="A1791" s="1" t="s">
        <v>934</v>
      </c>
      <c r="B1791" s="1" t="s">
        <v>2146</v>
      </c>
      <c r="D1791" s="1" t="s">
        <v>1250</v>
      </c>
      <c r="E1791" s="1" t="s">
        <v>775</v>
      </c>
      <c r="F1791" s="3">
        <v>1</v>
      </c>
      <c r="G1791" s="24" t="s">
        <v>5376</v>
      </c>
      <c r="H1791" s="24" t="s">
        <v>5377</v>
      </c>
      <c r="I1791" s="24" t="s">
        <v>5304</v>
      </c>
      <c r="J1791" s="24" t="s">
        <v>2920</v>
      </c>
      <c r="K1791" s="3">
        <v>22</v>
      </c>
      <c r="L1791" s="3" t="s">
        <v>6965</v>
      </c>
      <c r="M1791" s="3" t="str">
        <f>HYPERLINK("http://ictvonline.org/taxonomyHistory.asp?taxnode_id=20152291","ICTVonline=20152291")</f>
        <v>ICTVonline=20152291</v>
      </c>
    </row>
    <row r="1792" spans="1:13" x14ac:dyDescent="0.15">
      <c r="A1792" s="1" t="s">
        <v>934</v>
      </c>
      <c r="B1792" s="1" t="s">
        <v>776</v>
      </c>
      <c r="D1792" s="1" t="s">
        <v>777</v>
      </c>
      <c r="E1792" s="1" t="s">
        <v>2369</v>
      </c>
      <c r="F1792" s="3">
        <v>0</v>
      </c>
      <c r="G1792" s="24" t="s">
        <v>7865</v>
      </c>
      <c r="H1792" s="24" t="s">
        <v>5378</v>
      </c>
      <c r="I1792" s="24" t="s">
        <v>3286</v>
      </c>
      <c r="J1792" s="24" t="s">
        <v>2919</v>
      </c>
      <c r="K1792" s="3">
        <v>27</v>
      </c>
      <c r="L1792" s="3" t="s">
        <v>6972</v>
      </c>
      <c r="M1792" s="3" t="str">
        <f>HYPERLINK("http://ictvonline.org/taxonomyHistory.asp?taxnode_id=20152295","ICTVonline=20152295")</f>
        <v>ICTVonline=20152295</v>
      </c>
    </row>
    <row r="1793" spans="1:13" x14ac:dyDescent="0.15">
      <c r="A1793" s="1" t="s">
        <v>934</v>
      </c>
      <c r="B1793" s="1" t="s">
        <v>776</v>
      </c>
      <c r="D1793" s="1" t="s">
        <v>777</v>
      </c>
      <c r="E1793" s="1" t="s">
        <v>2370</v>
      </c>
      <c r="F1793" s="3">
        <v>0</v>
      </c>
      <c r="G1793" s="24" t="s">
        <v>7866</v>
      </c>
      <c r="H1793" s="24" t="s">
        <v>5379</v>
      </c>
      <c r="I1793" s="24" t="s">
        <v>3286</v>
      </c>
      <c r="J1793" s="24" t="s">
        <v>2919</v>
      </c>
      <c r="K1793" s="3">
        <v>27</v>
      </c>
      <c r="L1793" s="3" t="s">
        <v>6972</v>
      </c>
      <c r="M1793" s="3" t="str">
        <f>HYPERLINK("http://ictvonline.org/taxonomyHistory.asp?taxnode_id=20152296","ICTVonline=20152296")</f>
        <v>ICTVonline=20152296</v>
      </c>
    </row>
    <row r="1794" spans="1:13" x14ac:dyDescent="0.15">
      <c r="A1794" s="1" t="s">
        <v>934</v>
      </c>
      <c r="B1794" s="1" t="s">
        <v>776</v>
      </c>
      <c r="D1794" s="1" t="s">
        <v>777</v>
      </c>
      <c r="E1794" s="1" t="s">
        <v>2371</v>
      </c>
      <c r="F1794" s="3">
        <v>0</v>
      </c>
      <c r="I1794" s="24" t="s">
        <v>3286</v>
      </c>
      <c r="J1794" s="24" t="s">
        <v>2919</v>
      </c>
      <c r="K1794" s="3">
        <v>27</v>
      </c>
      <c r="L1794" s="3" t="s">
        <v>6972</v>
      </c>
      <c r="M1794" s="3" t="str">
        <f>HYPERLINK("http://ictvonline.org/taxonomyHistory.asp?taxnode_id=20152297","ICTVonline=20152297")</f>
        <v>ICTVonline=20152297</v>
      </c>
    </row>
    <row r="1795" spans="1:13" x14ac:dyDescent="0.15">
      <c r="A1795" s="1" t="s">
        <v>934</v>
      </c>
      <c r="B1795" s="1" t="s">
        <v>776</v>
      </c>
      <c r="D1795" s="1" t="s">
        <v>777</v>
      </c>
      <c r="E1795" s="1" t="s">
        <v>2372</v>
      </c>
      <c r="F1795" s="3">
        <v>0</v>
      </c>
      <c r="I1795" s="24" t="s">
        <v>3286</v>
      </c>
      <c r="J1795" s="24" t="s">
        <v>2919</v>
      </c>
      <c r="K1795" s="3">
        <v>27</v>
      </c>
      <c r="L1795" s="3" t="s">
        <v>6972</v>
      </c>
      <c r="M1795" s="3" t="str">
        <f>HYPERLINK("http://ictvonline.org/taxonomyHistory.asp?taxnode_id=20152298","ICTVonline=20152298")</f>
        <v>ICTVonline=20152298</v>
      </c>
    </row>
    <row r="1796" spans="1:13" x14ac:dyDescent="0.15">
      <c r="A1796" s="1" t="s">
        <v>934</v>
      </c>
      <c r="B1796" s="1" t="s">
        <v>776</v>
      </c>
      <c r="D1796" s="1" t="s">
        <v>777</v>
      </c>
      <c r="E1796" s="1" t="s">
        <v>778</v>
      </c>
      <c r="F1796" s="3">
        <v>0</v>
      </c>
      <c r="G1796" s="24" t="s">
        <v>7867</v>
      </c>
      <c r="H1796" s="24" t="s">
        <v>5380</v>
      </c>
      <c r="I1796" s="24" t="s">
        <v>3286</v>
      </c>
      <c r="J1796" s="24" t="s">
        <v>2919</v>
      </c>
      <c r="K1796" s="3">
        <v>20</v>
      </c>
      <c r="L1796" s="3" t="s">
        <v>2925</v>
      </c>
      <c r="M1796" s="3" t="str">
        <f>HYPERLINK("http://ictvonline.org/taxonomyHistory.asp?taxnode_id=20152299","ICTVonline=20152299")</f>
        <v>ICTVonline=20152299</v>
      </c>
    </row>
    <row r="1797" spans="1:13" x14ac:dyDescent="0.15">
      <c r="A1797" s="1" t="s">
        <v>934</v>
      </c>
      <c r="B1797" s="1" t="s">
        <v>776</v>
      </c>
      <c r="D1797" s="1" t="s">
        <v>777</v>
      </c>
      <c r="E1797" s="1" t="s">
        <v>779</v>
      </c>
      <c r="F1797" s="3">
        <v>0</v>
      </c>
      <c r="I1797" s="24" t="s">
        <v>3286</v>
      </c>
      <c r="J1797" s="24" t="s">
        <v>2920</v>
      </c>
      <c r="K1797" s="3">
        <v>20</v>
      </c>
      <c r="L1797" s="3" t="s">
        <v>2925</v>
      </c>
      <c r="M1797" s="3" t="str">
        <f>HYPERLINK("http://ictvonline.org/taxonomyHistory.asp?taxnode_id=20152300","ICTVonline=20152300")</f>
        <v>ICTVonline=20152300</v>
      </c>
    </row>
    <row r="1798" spans="1:13" x14ac:dyDescent="0.15">
      <c r="A1798" s="1" t="s">
        <v>934</v>
      </c>
      <c r="B1798" s="1" t="s">
        <v>776</v>
      </c>
      <c r="D1798" s="1" t="s">
        <v>777</v>
      </c>
      <c r="E1798" s="1" t="s">
        <v>780</v>
      </c>
      <c r="F1798" s="3">
        <v>1</v>
      </c>
      <c r="G1798" s="24" t="s">
        <v>7868</v>
      </c>
      <c r="H1798" s="24" t="s">
        <v>5381</v>
      </c>
      <c r="I1798" s="24" t="s">
        <v>3286</v>
      </c>
      <c r="J1798" s="24" t="s">
        <v>2920</v>
      </c>
      <c r="K1798" s="3">
        <v>20</v>
      </c>
      <c r="L1798" s="3" t="s">
        <v>2925</v>
      </c>
      <c r="M1798" s="3" t="str">
        <f>HYPERLINK("http://ictvonline.org/taxonomyHistory.asp?taxnode_id=20152301","ICTVonline=20152301")</f>
        <v>ICTVonline=20152301</v>
      </c>
    </row>
    <row r="1799" spans="1:13" x14ac:dyDescent="0.15">
      <c r="A1799" s="1" t="s">
        <v>934</v>
      </c>
      <c r="B1799" s="1" t="s">
        <v>776</v>
      </c>
      <c r="D1799" s="1" t="s">
        <v>777</v>
      </c>
      <c r="E1799" s="1" t="s">
        <v>781</v>
      </c>
      <c r="F1799" s="3">
        <v>0</v>
      </c>
      <c r="I1799" s="24" t="s">
        <v>3286</v>
      </c>
      <c r="J1799" s="24" t="s">
        <v>2920</v>
      </c>
      <c r="K1799" s="3">
        <v>20</v>
      </c>
      <c r="L1799" s="3" t="s">
        <v>2925</v>
      </c>
      <c r="M1799" s="3" t="str">
        <f>HYPERLINK("http://ictvonline.org/taxonomyHistory.asp?taxnode_id=20152302","ICTVonline=20152302")</f>
        <v>ICTVonline=20152302</v>
      </c>
    </row>
    <row r="1800" spans="1:13" x14ac:dyDescent="0.15">
      <c r="A1800" s="1" t="s">
        <v>934</v>
      </c>
      <c r="B1800" s="1" t="s">
        <v>776</v>
      </c>
      <c r="D1800" s="1" t="s">
        <v>777</v>
      </c>
      <c r="E1800" s="1" t="s">
        <v>2373</v>
      </c>
      <c r="F1800" s="3">
        <v>0</v>
      </c>
      <c r="G1800" s="24" t="s">
        <v>7869</v>
      </c>
      <c r="H1800" s="24" t="s">
        <v>5382</v>
      </c>
      <c r="I1800" s="24" t="s">
        <v>3286</v>
      </c>
      <c r="J1800" s="24" t="s">
        <v>2919</v>
      </c>
      <c r="K1800" s="3">
        <v>27</v>
      </c>
      <c r="L1800" s="3" t="s">
        <v>6972</v>
      </c>
      <c r="M1800" s="3" t="str">
        <f>HYPERLINK("http://ictvonline.org/taxonomyHistory.asp?taxnode_id=20152303","ICTVonline=20152303")</f>
        <v>ICTVonline=20152303</v>
      </c>
    </row>
    <row r="1801" spans="1:13" x14ac:dyDescent="0.15">
      <c r="A1801" s="1" t="s">
        <v>934</v>
      </c>
      <c r="B1801" s="1" t="s">
        <v>782</v>
      </c>
      <c r="D1801" s="1" t="s">
        <v>783</v>
      </c>
      <c r="E1801" s="1" t="s">
        <v>5383</v>
      </c>
      <c r="F1801" s="3">
        <v>0</v>
      </c>
      <c r="G1801" s="24" t="s">
        <v>7526</v>
      </c>
      <c r="H1801" s="24" t="s">
        <v>5384</v>
      </c>
      <c r="I1801" s="24" t="s">
        <v>5392</v>
      </c>
      <c r="J1801" s="24" t="s">
        <v>2919</v>
      </c>
      <c r="K1801" s="3">
        <v>30</v>
      </c>
      <c r="L1801" s="3" t="s">
        <v>5385</v>
      </c>
      <c r="M1801" s="3" t="str">
        <f>HYPERLINK("http://ictvonline.org/taxonomyHistory.asp?taxnode_id=20152318","ICTVonline=20152318")</f>
        <v>ICTVonline=20152318</v>
      </c>
    </row>
    <row r="1802" spans="1:13" x14ac:dyDescent="0.15">
      <c r="A1802" s="1" t="s">
        <v>934</v>
      </c>
      <c r="B1802" s="1" t="s">
        <v>782</v>
      </c>
      <c r="D1802" s="1" t="s">
        <v>783</v>
      </c>
      <c r="E1802" s="1" t="s">
        <v>5386</v>
      </c>
      <c r="F1802" s="3">
        <v>0</v>
      </c>
      <c r="G1802" s="24" t="s">
        <v>7527</v>
      </c>
      <c r="H1802" s="24" t="s">
        <v>5387</v>
      </c>
      <c r="I1802" s="24" t="s">
        <v>5392</v>
      </c>
      <c r="J1802" s="24" t="s">
        <v>2919</v>
      </c>
      <c r="K1802" s="3">
        <v>30</v>
      </c>
      <c r="L1802" s="3" t="s">
        <v>5385</v>
      </c>
      <c r="M1802" s="3" t="str">
        <f>HYPERLINK("http://ictvonline.org/taxonomyHistory.asp?taxnode_id=20152319","ICTVonline=20152319")</f>
        <v>ICTVonline=20152319</v>
      </c>
    </row>
    <row r="1803" spans="1:13" x14ac:dyDescent="0.15">
      <c r="A1803" s="1" t="s">
        <v>934</v>
      </c>
      <c r="B1803" s="1" t="s">
        <v>782</v>
      </c>
      <c r="D1803" s="1" t="s">
        <v>783</v>
      </c>
      <c r="E1803" s="1" t="s">
        <v>5388</v>
      </c>
      <c r="F1803" s="3">
        <v>0</v>
      </c>
      <c r="G1803" s="24" t="s">
        <v>7528</v>
      </c>
      <c r="H1803" s="24" t="s">
        <v>5389</v>
      </c>
      <c r="I1803" s="24" t="s">
        <v>5392</v>
      </c>
      <c r="J1803" s="24" t="s">
        <v>2919</v>
      </c>
      <c r="K1803" s="3">
        <v>30</v>
      </c>
      <c r="L1803" s="3" t="s">
        <v>5385</v>
      </c>
      <c r="M1803" s="3" t="str">
        <f>HYPERLINK("http://ictvonline.org/taxonomyHistory.asp?taxnode_id=20152320","ICTVonline=20152320")</f>
        <v>ICTVonline=20152320</v>
      </c>
    </row>
    <row r="1804" spans="1:13" x14ac:dyDescent="0.15">
      <c r="A1804" s="1" t="s">
        <v>934</v>
      </c>
      <c r="B1804" s="1" t="s">
        <v>782</v>
      </c>
      <c r="D1804" s="1" t="s">
        <v>783</v>
      </c>
      <c r="E1804" s="1" t="s">
        <v>5390</v>
      </c>
      <c r="F1804" s="3">
        <v>0</v>
      </c>
      <c r="G1804" s="24" t="s">
        <v>7529</v>
      </c>
      <c r="H1804" s="24" t="s">
        <v>5391</v>
      </c>
      <c r="I1804" s="24" t="s">
        <v>5392</v>
      </c>
      <c r="J1804" s="24" t="s">
        <v>2919</v>
      </c>
      <c r="K1804" s="3">
        <v>30</v>
      </c>
      <c r="L1804" s="3" t="s">
        <v>5385</v>
      </c>
      <c r="M1804" s="3" t="str">
        <f>HYPERLINK("http://ictvonline.org/taxonomyHistory.asp?taxnode_id=20152321","ICTVonline=20152321")</f>
        <v>ICTVonline=20152321</v>
      </c>
    </row>
    <row r="1805" spans="1:13" x14ac:dyDescent="0.15">
      <c r="A1805" s="1" t="s">
        <v>934</v>
      </c>
      <c r="B1805" s="1" t="s">
        <v>782</v>
      </c>
      <c r="D1805" s="1" t="s">
        <v>783</v>
      </c>
      <c r="E1805" s="1" t="s">
        <v>1914</v>
      </c>
      <c r="F1805" s="3">
        <v>0</v>
      </c>
      <c r="I1805" s="24" t="s">
        <v>5392</v>
      </c>
      <c r="J1805" s="24" t="s">
        <v>2919</v>
      </c>
      <c r="K1805" s="3">
        <v>14</v>
      </c>
      <c r="L1805" s="3" t="s">
        <v>2930</v>
      </c>
      <c r="M1805" s="3" t="str">
        <f>HYPERLINK("http://ictvonline.org/taxonomyHistory.asp?taxnode_id=20152307","ICTVonline=20152307")</f>
        <v>ICTVonline=20152307</v>
      </c>
    </row>
    <row r="1806" spans="1:13" x14ac:dyDescent="0.15">
      <c r="A1806" s="1" t="s">
        <v>934</v>
      </c>
      <c r="B1806" s="1" t="s">
        <v>782</v>
      </c>
      <c r="D1806" s="1" t="s">
        <v>783</v>
      </c>
      <c r="E1806" s="1" t="s">
        <v>1915</v>
      </c>
      <c r="F1806" s="3">
        <v>0</v>
      </c>
      <c r="I1806" s="24" t="s">
        <v>5392</v>
      </c>
      <c r="J1806" s="24" t="s">
        <v>2919</v>
      </c>
      <c r="K1806" s="3">
        <v>21</v>
      </c>
      <c r="L1806" s="3" t="s">
        <v>6973</v>
      </c>
      <c r="M1806" s="3" t="str">
        <f>HYPERLINK("http://ictvonline.org/taxonomyHistory.asp?taxnode_id=20152308","ICTVonline=20152308")</f>
        <v>ICTVonline=20152308</v>
      </c>
    </row>
    <row r="1807" spans="1:13" x14ac:dyDescent="0.15">
      <c r="A1807" s="1" t="s">
        <v>934</v>
      </c>
      <c r="B1807" s="1" t="s">
        <v>782</v>
      </c>
      <c r="D1807" s="1" t="s">
        <v>783</v>
      </c>
      <c r="E1807" s="1" t="s">
        <v>5393</v>
      </c>
      <c r="F1807" s="3">
        <v>0</v>
      </c>
      <c r="G1807" s="24" t="s">
        <v>7530</v>
      </c>
      <c r="H1807" s="24" t="s">
        <v>5394</v>
      </c>
      <c r="I1807" s="24" t="s">
        <v>5392</v>
      </c>
      <c r="J1807" s="24" t="s">
        <v>2919</v>
      </c>
      <c r="K1807" s="3">
        <v>30</v>
      </c>
      <c r="L1807" s="3" t="s">
        <v>5385</v>
      </c>
      <c r="M1807" s="3" t="str">
        <f>HYPERLINK("http://ictvonline.org/taxonomyHistory.asp?taxnode_id=20152322","ICTVonline=20152322")</f>
        <v>ICTVonline=20152322</v>
      </c>
    </row>
    <row r="1808" spans="1:13" x14ac:dyDescent="0.15">
      <c r="A1808" s="1" t="s">
        <v>934</v>
      </c>
      <c r="B1808" s="1" t="s">
        <v>782</v>
      </c>
      <c r="D1808" s="1" t="s">
        <v>783</v>
      </c>
      <c r="E1808" s="1" t="s">
        <v>5395</v>
      </c>
      <c r="F1808" s="3">
        <v>0</v>
      </c>
      <c r="G1808" s="24" t="s">
        <v>7531</v>
      </c>
      <c r="H1808" s="24" t="s">
        <v>5396</v>
      </c>
      <c r="I1808" s="24" t="s">
        <v>5392</v>
      </c>
      <c r="J1808" s="24" t="s">
        <v>2919</v>
      </c>
      <c r="K1808" s="3">
        <v>30</v>
      </c>
      <c r="L1808" s="3" t="s">
        <v>5385</v>
      </c>
      <c r="M1808" s="3" t="str">
        <f>HYPERLINK("http://ictvonline.org/taxonomyHistory.asp?taxnode_id=20152323","ICTVonline=20152323")</f>
        <v>ICTVonline=20152323</v>
      </c>
    </row>
    <row r="1809" spans="1:13" x14ac:dyDescent="0.15">
      <c r="A1809" s="1" t="s">
        <v>934</v>
      </c>
      <c r="B1809" s="1" t="s">
        <v>782</v>
      </c>
      <c r="D1809" s="1" t="s">
        <v>783</v>
      </c>
      <c r="E1809" s="1" t="s">
        <v>785</v>
      </c>
      <c r="F1809" s="3">
        <v>0</v>
      </c>
      <c r="I1809" s="24" t="s">
        <v>5392</v>
      </c>
      <c r="J1809" s="24" t="s">
        <v>2919</v>
      </c>
      <c r="K1809" s="3">
        <v>24</v>
      </c>
      <c r="L1809" s="3" t="s">
        <v>6974</v>
      </c>
      <c r="M1809" s="3" t="str">
        <f>HYPERLINK("http://ictvonline.org/taxonomyHistory.asp?taxnode_id=20152309","ICTVonline=20152309")</f>
        <v>ICTVonline=20152309</v>
      </c>
    </row>
    <row r="1810" spans="1:13" x14ac:dyDescent="0.15">
      <c r="A1810" s="1" t="s">
        <v>934</v>
      </c>
      <c r="B1810" s="1" t="s">
        <v>782</v>
      </c>
      <c r="D1810" s="1" t="s">
        <v>783</v>
      </c>
      <c r="E1810" s="1" t="s">
        <v>5397</v>
      </c>
      <c r="F1810" s="3">
        <v>0</v>
      </c>
      <c r="G1810" s="24" t="s">
        <v>7532</v>
      </c>
      <c r="H1810" s="24" t="s">
        <v>5398</v>
      </c>
      <c r="I1810" s="24" t="s">
        <v>5392</v>
      </c>
      <c r="J1810" s="24" t="s">
        <v>2919</v>
      </c>
      <c r="K1810" s="3">
        <v>30</v>
      </c>
      <c r="L1810" s="3" t="s">
        <v>5385</v>
      </c>
      <c r="M1810" s="3" t="str">
        <f>HYPERLINK("http://ictvonline.org/taxonomyHistory.asp?taxnode_id=20152327","ICTVonline=20152327")</f>
        <v>ICTVonline=20152327</v>
      </c>
    </row>
    <row r="1811" spans="1:13" x14ac:dyDescent="0.15">
      <c r="A1811" s="1" t="s">
        <v>934</v>
      </c>
      <c r="B1811" s="1" t="s">
        <v>782</v>
      </c>
      <c r="D1811" s="1" t="s">
        <v>783</v>
      </c>
      <c r="E1811" s="1" t="s">
        <v>1261</v>
      </c>
      <c r="F1811" s="3">
        <v>0</v>
      </c>
      <c r="I1811" s="24" t="s">
        <v>5392</v>
      </c>
      <c r="J1811" s="24" t="s">
        <v>2919</v>
      </c>
      <c r="K1811" s="3">
        <v>24</v>
      </c>
      <c r="L1811" s="3" t="s">
        <v>6975</v>
      </c>
      <c r="M1811" s="3" t="str">
        <f>HYPERLINK("http://ictvonline.org/taxonomyHistory.asp?taxnode_id=20152310","ICTVonline=20152310")</f>
        <v>ICTVonline=20152310</v>
      </c>
    </row>
    <row r="1812" spans="1:13" x14ac:dyDescent="0.15">
      <c r="A1812" s="1" t="s">
        <v>934</v>
      </c>
      <c r="B1812" s="1" t="s">
        <v>782</v>
      </c>
      <c r="D1812" s="1" t="s">
        <v>783</v>
      </c>
      <c r="E1812" s="1" t="s">
        <v>1262</v>
      </c>
      <c r="F1812" s="3">
        <v>0</v>
      </c>
      <c r="I1812" s="24" t="s">
        <v>5392</v>
      </c>
      <c r="J1812" s="24" t="s">
        <v>2919</v>
      </c>
      <c r="K1812" s="3">
        <v>21</v>
      </c>
      <c r="L1812" s="3" t="s">
        <v>6973</v>
      </c>
      <c r="M1812" s="3" t="str">
        <f>HYPERLINK("http://ictvonline.org/taxonomyHistory.asp?taxnode_id=20152311","ICTVonline=20152311")</f>
        <v>ICTVonline=20152311</v>
      </c>
    </row>
    <row r="1813" spans="1:13" x14ac:dyDescent="0.15">
      <c r="A1813" s="1" t="s">
        <v>934</v>
      </c>
      <c r="B1813" s="1" t="s">
        <v>782</v>
      </c>
      <c r="D1813" s="1" t="s">
        <v>783</v>
      </c>
      <c r="E1813" s="1" t="s">
        <v>1263</v>
      </c>
      <c r="F1813" s="3">
        <v>0</v>
      </c>
      <c r="I1813" s="24" t="s">
        <v>5392</v>
      </c>
      <c r="J1813" s="24" t="s">
        <v>2919</v>
      </c>
      <c r="K1813" s="3">
        <v>24</v>
      </c>
      <c r="L1813" s="3" t="s">
        <v>6975</v>
      </c>
      <c r="M1813" s="3" t="str">
        <f>HYPERLINK("http://ictvonline.org/taxonomyHistory.asp?taxnode_id=20152312","ICTVonline=20152312")</f>
        <v>ICTVonline=20152312</v>
      </c>
    </row>
    <row r="1814" spans="1:13" x14ac:dyDescent="0.15">
      <c r="A1814" s="1" t="s">
        <v>934</v>
      </c>
      <c r="B1814" s="1" t="s">
        <v>782</v>
      </c>
      <c r="D1814" s="1" t="s">
        <v>783</v>
      </c>
      <c r="E1814" s="1" t="s">
        <v>5399</v>
      </c>
      <c r="F1814" s="3">
        <v>0</v>
      </c>
      <c r="G1814" s="24" t="s">
        <v>7533</v>
      </c>
      <c r="H1814" s="24" t="s">
        <v>5400</v>
      </c>
      <c r="I1814" s="24" t="s">
        <v>5392</v>
      </c>
      <c r="J1814" s="24" t="s">
        <v>2919</v>
      </c>
      <c r="K1814" s="3">
        <v>30</v>
      </c>
      <c r="L1814" s="3" t="s">
        <v>5385</v>
      </c>
      <c r="M1814" s="3" t="str">
        <f>HYPERLINK("http://ictvonline.org/taxonomyHistory.asp?taxnode_id=20152324","ICTVonline=20152324")</f>
        <v>ICTVonline=20152324</v>
      </c>
    </row>
    <row r="1815" spans="1:13" x14ac:dyDescent="0.15">
      <c r="A1815" s="1" t="s">
        <v>934</v>
      </c>
      <c r="B1815" s="1" t="s">
        <v>782</v>
      </c>
      <c r="D1815" s="1" t="s">
        <v>783</v>
      </c>
      <c r="E1815" s="1" t="s">
        <v>5401</v>
      </c>
      <c r="F1815" s="3">
        <v>0</v>
      </c>
      <c r="G1815" s="24" t="s">
        <v>7534</v>
      </c>
      <c r="H1815" s="24" t="s">
        <v>5402</v>
      </c>
      <c r="I1815" s="24" t="s">
        <v>5392</v>
      </c>
      <c r="J1815" s="24" t="s">
        <v>2919</v>
      </c>
      <c r="K1815" s="3">
        <v>30</v>
      </c>
      <c r="L1815" s="3" t="s">
        <v>5385</v>
      </c>
      <c r="M1815" s="3" t="str">
        <f>HYPERLINK("http://ictvonline.org/taxonomyHistory.asp?taxnode_id=20152325","ICTVonline=20152325")</f>
        <v>ICTVonline=20152325</v>
      </c>
    </row>
    <row r="1816" spans="1:13" x14ac:dyDescent="0.15">
      <c r="A1816" s="1" t="s">
        <v>934</v>
      </c>
      <c r="B1816" s="1" t="s">
        <v>782</v>
      </c>
      <c r="D1816" s="1" t="s">
        <v>783</v>
      </c>
      <c r="E1816" s="1" t="s">
        <v>784</v>
      </c>
      <c r="F1816" s="3">
        <v>0</v>
      </c>
      <c r="I1816" s="24" t="s">
        <v>5392</v>
      </c>
      <c r="J1816" s="24" t="s">
        <v>2919</v>
      </c>
      <c r="K1816" s="3">
        <v>23</v>
      </c>
      <c r="L1816" s="3" t="s">
        <v>2933</v>
      </c>
      <c r="M1816" s="3" t="str">
        <f>HYPERLINK("http://ictvonline.org/taxonomyHistory.asp?taxnode_id=20152313","ICTVonline=20152313")</f>
        <v>ICTVonline=20152313</v>
      </c>
    </row>
    <row r="1817" spans="1:13" x14ac:dyDescent="0.15">
      <c r="A1817" s="1" t="s">
        <v>934</v>
      </c>
      <c r="B1817" s="1" t="s">
        <v>782</v>
      </c>
      <c r="D1817" s="1" t="s">
        <v>783</v>
      </c>
      <c r="E1817" s="1" t="s">
        <v>5403</v>
      </c>
      <c r="F1817" s="3">
        <v>1</v>
      </c>
      <c r="I1817" s="24" t="s">
        <v>5392</v>
      </c>
      <c r="J1817" s="24" t="s">
        <v>2924</v>
      </c>
      <c r="K1817" s="3">
        <v>30</v>
      </c>
      <c r="L1817" s="3" t="s">
        <v>5385</v>
      </c>
      <c r="M1817" s="3" t="str">
        <f>HYPERLINK("http://ictvonline.org/taxonomyHistory.asp?taxnode_id=20152314","ICTVonline=20152314")</f>
        <v>ICTVonline=20152314</v>
      </c>
    </row>
    <row r="1818" spans="1:13" x14ac:dyDescent="0.15">
      <c r="A1818" s="1" t="s">
        <v>934</v>
      </c>
      <c r="B1818" s="1" t="s">
        <v>782</v>
      </c>
      <c r="D1818" s="1" t="s">
        <v>783</v>
      </c>
      <c r="E1818" s="1" t="s">
        <v>5404</v>
      </c>
      <c r="F1818" s="3">
        <v>0</v>
      </c>
      <c r="I1818" s="24" t="s">
        <v>5392</v>
      </c>
      <c r="J1818" s="24" t="s">
        <v>2924</v>
      </c>
      <c r="K1818" s="3">
        <v>30</v>
      </c>
      <c r="L1818" s="3" t="s">
        <v>5385</v>
      </c>
      <c r="M1818" s="3" t="str">
        <f>HYPERLINK("http://ictvonline.org/taxonomyHistory.asp?taxnode_id=20152315","ICTVonline=20152315")</f>
        <v>ICTVonline=20152315</v>
      </c>
    </row>
    <row r="1819" spans="1:13" x14ac:dyDescent="0.15">
      <c r="A1819" s="1" t="s">
        <v>934</v>
      </c>
      <c r="B1819" s="1" t="s">
        <v>782</v>
      </c>
      <c r="D1819" s="1" t="s">
        <v>783</v>
      </c>
      <c r="E1819" s="1" t="s">
        <v>5405</v>
      </c>
      <c r="F1819" s="3">
        <v>0</v>
      </c>
      <c r="G1819" s="24" t="s">
        <v>7535</v>
      </c>
      <c r="H1819" s="24" t="s">
        <v>5406</v>
      </c>
      <c r="I1819" s="24" t="s">
        <v>5392</v>
      </c>
      <c r="J1819" s="24" t="s">
        <v>2919</v>
      </c>
      <c r="K1819" s="3">
        <v>30</v>
      </c>
      <c r="L1819" s="3" t="s">
        <v>5385</v>
      </c>
      <c r="M1819" s="3" t="str">
        <f>HYPERLINK("http://ictvonline.org/taxonomyHistory.asp?taxnode_id=20152326","ICTVonline=20152326")</f>
        <v>ICTVonline=20152326</v>
      </c>
    </row>
    <row r="1820" spans="1:13" x14ac:dyDescent="0.15">
      <c r="A1820" s="1" t="s">
        <v>934</v>
      </c>
      <c r="B1820" s="1" t="s">
        <v>782</v>
      </c>
      <c r="D1820" s="1" t="s">
        <v>783</v>
      </c>
      <c r="E1820" s="1" t="s">
        <v>2087</v>
      </c>
      <c r="F1820" s="3">
        <v>0</v>
      </c>
      <c r="I1820" s="24" t="s">
        <v>5392</v>
      </c>
      <c r="J1820" s="24" t="s">
        <v>2919</v>
      </c>
      <c r="K1820" s="3">
        <v>24</v>
      </c>
      <c r="L1820" s="3" t="s">
        <v>6975</v>
      </c>
      <c r="M1820" s="3" t="str">
        <f>HYPERLINK("http://ictvonline.org/taxonomyHistory.asp?taxnode_id=20152316","ICTVonline=20152316")</f>
        <v>ICTVonline=20152316</v>
      </c>
    </row>
    <row r="1821" spans="1:13" x14ac:dyDescent="0.15">
      <c r="A1821" s="1" t="s">
        <v>934</v>
      </c>
      <c r="B1821" s="1" t="s">
        <v>782</v>
      </c>
      <c r="D1821" s="1" t="s">
        <v>783</v>
      </c>
      <c r="E1821" s="1" t="s">
        <v>1964</v>
      </c>
      <c r="F1821" s="3">
        <v>0</v>
      </c>
      <c r="I1821" s="24" t="s">
        <v>5392</v>
      </c>
      <c r="J1821" s="24" t="s">
        <v>2919</v>
      </c>
      <c r="K1821" s="3">
        <v>25</v>
      </c>
      <c r="L1821" s="3" t="s">
        <v>6976</v>
      </c>
      <c r="M1821" s="3" t="str">
        <f>HYPERLINK("http://ictvonline.org/taxonomyHistory.asp?taxnode_id=20152317","ICTVonline=20152317")</f>
        <v>ICTVonline=20152317</v>
      </c>
    </row>
    <row r="1822" spans="1:13" x14ac:dyDescent="0.15">
      <c r="A1822" s="1" t="s">
        <v>934</v>
      </c>
      <c r="B1822" s="1" t="s">
        <v>782</v>
      </c>
      <c r="D1822" s="1" t="s">
        <v>783</v>
      </c>
      <c r="E1822" s="1" t="s">
        <v>5407</v>
      </c>
      <c r="F1822" s="3">
        <v>0</v>
      </c>
      <c r="G1822" s="24" t="s">
        <v>7536</v>
      </c>
      <c r="H1822" s="24" t="s">
        <v>5408</v>
      </c>
      <c r="I1822" s="24" t="s">
        <v>5392</v>
      </c>
      <c r="J1822" s="24" t="s">
        <v>2919</v>
      </c>
      <c r="K1822" s="3">
        <v>30</v>
      </c>
      <c r="L1822" s="3" t="s">
        <v>5385</v>
      </c>
      <c r="M1822" s="3" t="str">
        <f>HYPERLINK("http://ictvonline.org/taxonomyHistory.asp?taxnode_id=20152328","ICTVonline=20152328")</f>
        <v>ICTVonline=20152328</v>
      </c>
    </row>
    <row r="1823" spans="1:13" x14ac:dyDescent="0.15">
      <c r="A1823" s="1" t="s">
        <v>934</v>
      </c>
      <c r="B1823" s="1" t="s">
        <v>782</v>
      </c>
      <c r="D1823" s="1" t="s">
        <v>5409</v>
      </c>
      <c r="E1823" s="1" t="s">
        <v>5410</v>
      </c>
      <c r="F1823" s="3">
        <v>0</v>
      </c>
      <c r="G1823" s="24" t="s">
        <v>7537</v>
      </c>
      <c r="H1823" s="24" t="s">
        <v>5411</v>
      </c>
      <c r="I1823" s="24" t="s">
        <v>5392</v>
      </c>
      <c r="J1823" s="24" t="s">
        <v>2919</v>
      </c>
      <c r="K1823" s="3">
        <v>30</v>
      </c>
      <c r="L1823" s="3" t="s">
        <v>6977</v>
      </c>
      <c r="M1823" s="3" t="str">
        <f>HYPERLINK("http://ictvonline.org/taxonomyHistory.asp?taxnode_id=20152332","ICTVonline=20152332")</f>
        <v>ICTVonline=20152332</v>
      </c>
    </row>
    <row r="1824" spans="1:13" x14ac:dyDescent="0.15">
      <c r="A1824" s="1" t="s">
        <v>934</v>
      </c>
      <c r="B1824" s="1" t="s">
        <v>782</v>
      </c>
      <c r="D1824" s="1" t="s">
        <v>5409</v>
      </c>
      <c r="E1824" s="1" t="s">
        <v>5412</v>
      </c>
      <c r="F1824" s="3">
        <v>0</v>
      </c>
      <c r="G1824" s="24" t="s">
        <v>7538</v>
      </c>
      <c r="H1824" s="24" t="s">
        <v>5413</v>
      </c>
      <c r="I1824" s="24" t="s">
        <v>5392</v>
      </c>
      <c r="J1824" s="24" t="s">
        <v>2919</v>
      </c>
      <c r="K1824" s="3">
        <v>30</v>
      </c>
      <c r="L1824" s="3" t="s">
        <v>6977</v>
      </c>
      <c r="M1824" s="3" t="str">
        <f>HYPERLINK("http://ictvonline.org/taxonomyHistory.asp?taxnode_id=20152333","ICTVonline=20152333")</f>
        <v>ICTVonline=20152333</v>
      </c>
    </row>
    <row r="1825" spans="1:13" x14ac:dyDescent="0.15">
      <c r="A1825" s="1" t="s">
        <v>934</v>
      </c>
      <c r="B1825" s="1" t="s">
        <v>782</v>
      </c>
      <c r="D1825" s="1" t="s">
        <v>5409</v>
      </c>
      <c r="E1825" s="1" t="s">
        <v>5414</v>
      </c>
      <c r="F1825" s="3">
        <v>0</v>
      </c>
      <c r="G1825" s="24" t="s">
        <v>7539</v>
      </c>
      <c r="H1825" s="24" t="s">
        <v>5415</v>
      </c>
      <c r="I1825" s="24" t="s">
        <v>5392</v>
      </c>
      <c r="J1825" s="24" t="s">
        <v>2919</v>
      </c>
      <c r="K1825" s="3">
        <v>30</v>
      </c>
      <c r="L1825" s="3" t="s">
        <v>6977</v>
      </c>
      <c r="M1825" s="3" t="str">
        <f>HYPERLINK("http://ictvonline.org/taxonomyHistory.asp?taxnode_id=20152334","ICTVonline=20152334")</f>
        <v>ICTVonline=20152334</v>
      </c>
    </row>
    <row r="1826" spans="1:13" x14ac:dyDescent="0.15">
      <c r="A1826" s="1" t="s">
        <v>934</v>
      </c>
      <c r="B1826" s="1" t="s">
        <v>782</v>
      </c>
      <c r="D1826" s="1" t="s">
        <v>5409</v>
      </c>
      <c r="E1826" s="1" t="s">
        <v>5416</v>
      </c>
      <c r="F1826" s="3">
        <v>0</v>
      </c>
      <c r="G1826" s="24" t="s">
        <v>7540</v>
      </c>
      <c r="H1826" s="24" t="s">
        <v>5417</v>
      </c>
      <c r="I1826" s="24" t="s">
        <v>5392</v>
      </c>
      <c r="J1826" s="24" t="s">
        <v>2919</v>
      </c>
      <c r="K1826" s="3">
        <v>30</v>
      </c>
      <c r="L1826" s="3" t="s">
        <v>6977</v>
      </c>
      <c r="M1826" s="3" t="str">
        <f>HYPERLINK("http://ictvonline.org/taxonomyHistory.asp?taxnode_id=20152335","ICTVonline=20152335")</f>
        <v>ICTVonline=20152335</v>
      </c>
    </row>
    <row r="1827" spans="1:13" x14ac:dyDescent="0.15">
      <c r="A1827" s="1" t="s">
        <v>934</v>
      </c>
      <c r="B1827" s="1" t="s">
        <v>782</v>
      </c>
      <c r="D1827" s="1" t="s">
        <v>5409</v>
      </c>
      <c r="E1827" s="1" t="s">
        <v>5418</v>
      </c>
      <c r="F1827" s="3">
        <v>0</v>
      </c>
      <c r="G1827" s="24" t="s">
        <v>7541</v>
      </c>
      <c r="H1827" s="24" t="s">
        <v>5419</v>
      </c>
      <c r="I1827" s="24" t="s">
        <v>5392</v>
      </c>
      <c r="J1827" s="24" t="s">
        <v>2919</v>
      </c>
      <c r="K1827" s="3">
        <v>30</v>
      </c>
      <c r="L1827" s="3" t="s">
        <v>6977</v>
      </c>
      <c r="M1827" s="3" t="str">
        <f>HYPERLINK("http://ictvonline.org/taxonomyHistory.asp?taxnode_id=20152336","ICTVonline=20152336")</f>
        <v>ICTVonline=20152336</v>
      </c>
    </row>
    <row r="1828" spans="1:13" x14ac:dyDescent="0.15">
      <c r="A1828" s="1" t="s">
        <v>934</v>
      </c>
      <c r="B1828" s="1" t="s">
        <v>782</v>
      </c>
      <c r="D1828" s="1" t="s">
        <v>5409</v>
      </c>
      <c r="E1828" s="1" t="s">
        <v>5420</v>
      </c>
      <c r="F1828" s="3">
        <v>0</v>
      </c>
      <c r="G1828" s="24" t="s">
        <v>7542</v>
      </c>
      <c r="H1828" s="24" t="s">
        <v>5421</v>
      </c>
      <c r="I1828" s="24" t="s">
        <v>5392</v>
      </c>
      <c r="J1828" s="24" t="s">
        <v>2919</v>
      </c>
      <c r="K1828" s="3">
        <v>30</v>
      </c>
      <c r="L1828" s="3" t="s">
        <v>6977</v>
      </c>
      <c r="M1828" s="3" t="str">
        <f>HYPERLINK("http://ictvonline.org/taxonomyHistory.asp?taxnode_id=20152337","ICTVonline=20152337")</f>
        <v>ICTVonline=20152337</v>
      </c>
    </row>
    <row r="1829" spans="1:13" x14ac:dyDescent="0.15">
      <c r="A1829" s="1" t="s">
        <v>934</v>
      </c>
      <c r="B1829" s="1" t="s">
        <v>782</v>
      </c>
      <c r="D1829" s="1" t="s">
        <v>5409</v>
      </c>
      <c r="E1829" s="1" t="s">
        <v>5422</v>
      </c>
      <c r="F1829" s="3">
        <v>0</v>
      </c>
      <c r="G1829" s="24" t="s">
        <v>7543</v>
      </c>
      <c r="H1829" s="24" t="s">
        <v>5423</v>
      </c>
      <c r="I1829" s="24" t="s">
        <v>5392</v>
      </c>
      <c r="J1829" s="24" t="s">
        <v>2919</v>
      </c>
      <c r="K1829" s="3">
        <v>30</v>
      </c>
      <c r="L1829" s="3" t="s">
        <v>6977</v>
      </c>
      <c r="M1829" s="3" t="str">
        <f>HYPERLINK("http://ictvonline.org/taxonomyHistory.asp?taxnode_id=20152338","ICTVonline=20152338")</f>
        <v>ICTVonline=20152338</v>
      </c>
    </row>
    <row r="1830" spans="1:13" x14ac:dyDescent="0.15">
      <c r="A1830" s="1" t="s">
        <v>934</v>
      </c>
      <c r="B1830" s="1" t="s">
        <v>782</v>
      </c>
      <c r="D1830" s="1" t="s">
        <v>5409</v>
      </c>
      <c r="E1830" s="1" t="s">
        <v>5424</v>
      </c>
      <c r="F1830" s="3">
        <v>0</v>
      </c>
      <c r="G1830" s="24" t="s">
        <v>7544</v>
      </c>
      <c r="H1830" s="24" t="s">
        <v>5425</v>
      </c>
      <c r="I1830" s="24" t="s">
        <v>5392</v>
      </c>
      <c r="J1830" s="24" t="s">
        <v>2919</v>
      </c>
      <c r="K1830" s="3">
        <v>30</v>
      </c>
      <c r="L1830" s="3" t="s">
        <v>6977</v>
      </c>
      <c r="M1830" s="3" t="str">
        <f>HYPERLINK("http://ictvonline.org/taxonomyHistory.asp?taxnode_id=20152339","ICTVonline=20152339")</f>
        <v>ICTVonline=20152339</v>
      </c>
    </row>
    <row r="1831" spans="1:13" x14ac:dyDescent="0.15">
      <c r="A1831" s="1" t="s">
        <v>934</v>
      </c>
      <c r="B1831" s="1" t="s">
        <v>782</v>
      </c>
      <c r="D1831" s="1" t="s">
        <v>5409</v>
      </c>
      <c r="E1831" s="1" t="s">
        <v>5426</v>
      </c>
      <c r="F1831" s="3">
        <v>0</v>
      </c>
      <c r="G1831" s="24" t="s">
        <v>7545</v>
      </c>
      <c r="H1831" s="24" t="s">
        <v>5427</v>
      </c>
      <c r="I1831" s="24" t="s">
        <v>5392</v>
      </c>
      <c r="J1831" s="24" t="s">
        <v>2919</v>
      </c>
      <c r="K1831" s="3">
        <v>30</v>
      </c>
      <c r="L1831" s="3" t="s">
        <v>6977</v>
      </c>
      <c r="M1831" s="3" t="str">
        <f>HYPERLINK("http://ictvonline.org/taxonomyHistory.asp?taxnode_id=20152340","ICTVonline=20152340")</f>
        <v>ICTVonline=20152340</v>
      </c>
    </row>
    <row r="1832" spans="1:13" x14ac:dyDescent="0.15">
      <c r="A1832" s="1" t="s">
        <v>934</v>
      </c>
      <c r="B1832" s="1" t="s">
        <v>782</v>
      </c>
      <c r="D1832" s="1" t="s">
        <v>5409</v>
      </c>
      <c r="E1832" s="1" t="s">
        <v>5428</v>
      </c>
      <c r="F1832" s="3">
        <v>0</v>
      </c>
      <c r="G1832" s="24" t="s">
        <v>7546</v>
      </c>
      <c r="H1832" s="24" t="s">
        <v>5429</v>
      </c>
      <c r="I1832" s="24" t="s">
        <v>5392</v>
      </c>
      <c r="J1832" s="24" t="s">
        <v>2919</v>
      </c>
      <c r="K1832" s="3">
        <v>30</v>
      </c>
      <c r="L1832" s="3" t="s">
        <v>6977</v>
      </c>
      <c r="M1832" s="3" t="str">
        <f>HYPERLINK("http://ictvonline.org/taxonomyHistory.asp?taxnode_id=20152341","ICTVonline=20152341")</f>
        <v>ICTVonline=20152341</v>
      </c>
    </row>
    <row r="1833" spans="1:13" x14ac:dyDescent="0.15">
      <c r="A1833" s="1" t="s">
        <v>934</v>
      </c>
      <c r="B1833" s="1" t="s">
        <v>782</v>
      </c>
      <c r="D1833" s="1" t="s">
        <v>5409</v>
      </c>
      <c r="E1833" s="1" t="s">
        <v>5430</v>
      </c>
      <c r="F1833" s="3">
        <v>0</v>
      </c>
      <c r="G1833" s="24" t="s">
        <v>7547</v>
      </c>
      <c r="H1833" s="24" t="s">
        <v>5431</v>
      </c>
      <c r="I1833" s="24" t="s">
        <v>5392</v>
      </c>
      <c r="J1833" s="24" t="s">
        <v>2919</v>
      </c>
      <c r="K1833" s="3">
        <v>30</v>
      </c>
      <c r="L1833" s="3" t="s">
        <v>6977</v>
      </c>
      <c r="M1833" s="3" t="str">
        <f>HYPERLINK("http://ictvonline.org/taxonomyHistory.asp?taxnode_id=20152342","ICTVonline=20152342")</f>
        <v>ICTVonline=20152342</v>
      </c>
    </row>
    <row r="1834" spans="1:13" x14ac:dyDescent="0.15">
      <c r="A1834" s="1" t="s">
        <v>934</v>
      </c>
      <c r="B1834" s="1" t="s">
        <v>782</v>
      </c>
      <c r="D1834" s="1" t="s">
        <v>5409</v>
      </c>
      <c r="E1834" s="1" t="s">
        <v>5432</v>
      </c>
      <c r="F1834" s="3">
        <v>0</v>
      </c>
      <c r="G1834" s="24" t="s">
        <v>7548</v>
      </c>
      <c r="H1834" s="24" t="s">
        <v>5433</v>
      </c>
      <c r="I1834" s="24" t="s">
        <v>5392</v>
      </c>
      <c r="J1834" s="24" t="s">
        <v>2919</v>
      </c>
      <c r="K1834" s="3">
        <v>30</v>
      </c>
      <c r="L1834" s="3" t="s">
        <v>6977</v>
      </c>
      <c r="M1834" s="3" t="str">
        <f>HYPERLINK("http://ictvonline.org/taxonomyHistory.asp?taxnode_id=20152343","ICTVonline=20152343")</f>
        <v>ICTVonline=20152343</v>
      </c>
    </row>
    <row r="1835" spans="1:13" x14ac:dyDescent="0.15">
      <c r="A1835" s="1" t="s">
        <v>934</v>
      </c>
      <c r="B1835" s="1" t="s">
        <v>782</v>
      </c>
      <c r="D1835" s="1" t="s">
        <v>5409</v>
      </c>
      <c r="E1835" s="1" t="s">
        <v>5434</v>
      </c>
      <c r="F1835" s="3">
        <v>0</v>
      </c>
      <c r="G1835" s="24" t="s">
        <v>7549</v>
      </c>
      <c r="H1835" s="24" t="s">
        <v>5435</v>
      </c>
      <c r="I1835" s="24" t="s">
        <v>5392</v>
      </c>
      <c r="J1835" s="24" t="s">
        <v>2919</v>
      </c>
      <c r="K1835" s="3">
        <v>30</v>
      </c>
      <c r="L1835" s="3" t="s">
        <v>6977</v>
      </c>
      <c r="M1835" s="3" t="str">
        <f>HYPERLINK("http://ictvonline.org/taxonomyHistory.asp?taxnode_id=20152344","ICTVonline=20152344")</f>
        <v>ICTVonline=20152344</v>
      </c>
    </row>
    <row r="1836" spans="1:13" x14ac:dyDescent="0.15">
      <c r="A1836" s="1" t="s">
        <v>934</v>
      </c>
      <c r="B1836" s="1" t="s">
        <v>782</v>
      </c>
      <c r="D1836" s="1" t="s">
        <v>5409</v>
      </c>
      <c r="E1836" s="1" t="s">
        <v>5436</v>
      </c>
      <c r="F1836" s="3">
        <v>0</v>
      </c>
      <c r="G1836" s="24" t="s">
        <v>7550</v>
      </c>
      <c r="H1836" s="24" t="s">
        <v>5437</v>
      </c>
      <c r="I1836" s="24" t="s">
        <v>5392</v>
      </c>
      <c r="J1836" s="24" t="s">
        <v>2919</v>
      </c>
      <c r="K1836" s="3">
        <v>30</v>
      </c>
      <c r="L1836" s="3" t="s">
        <v>6977</v>
      </c>
      <c r="M1836" s="3" t="str">
        <f>HYPERLINK("http://ictvonline.org/taxonomyHistory.asp?taxnode_id=20152345","ICTVonline=20152345")</f>
        <v>ICTVonline=20152345</v>
      </c>
    </row>
    <row r="1837" spans="1:13" x14ac:dyDescent="0.15">
      <c r="A1837" s="1" t="s">
        <v>934</v>
      </c>
      <c r="B1837" s="1" t="s">
        <v>782</v>
      </c>
      <c r="D1837" s="1" t="s">
        <v>5409</v>
      </c>
      <c r="E1837" s="1" t="s">
        <v>5438</v>
      </c>
      <c r="F1837" s="3">
        <v>0</v>
      </c>
      <c r="G1837" s="24" t="s">
        <v>7551</v>
      </c>
      <c r="H1837" s="24" t="s">
        <v>5439</v>
      </c>
      <c r="I1837" s="24" t="s">
        <v>5392</v>
      </c>
      <c r="J1837" s="24" t="s">
        <v>2919</v>
      </c>
      <c r="K1837" s="3">
        <v>30</v>
      </c>
      <c r="L1837" s="3" t="s">
        <v>6977</v>
      </c>
      <c r="M1837" s="3" t="str">
        <f>HYPERLINK("http://ictvonline.org/taxonomyHistory.asp?taxnode_id=20152346","ICTVonline=20152346")</f>
        <v>ICTVonline=20152346</v>
      </c>
    </row>
    <row r="1838" spans="1:13" x14ac:dyDescent="0.15">
      <c r="A1838" s="1" t="s">
        <v>934</v>
      </c>
      <c r="B1838" s="1" t="s">
        <v>782</v>
      </c>
      <c r="D1838" s="1" t="s">
        <v>5409</v>
      </c>
      <c r="E1838" s="1" t="s">
        <v>5440</v>
      </c>
      <c r="F1838" s="3">
        <v>0</v>
      </c>
      <c r="G1838" s="24" t="s">
        <v>7552</v>
      </c>
      <c r="H1838" s="24" t="s">
        <v>5440</v>
      </c>
      <c r="I1838" s="24" t="s">
        <v>5392</v>
      </c>
      <c r="J1838" s="24" t="s">
        <v>2919</v>
      </c>
      <c r="K1838" s="3">
        <v>30</v>
      </c>
      <c r="L1838" s="3" t="s">
        <v>6977</v>
      </c>
      <c r="M1838" s="3" t="str">
        <f>HYPERLINK("http://ictvonline.org/taxonomyHistory.asp?taxnode_id=20152347","ICTVonline=20152347")</f>
        <v>ICTVonline=20152347</v>
      </c>
    </row>
    <row r="1839" spans="1:13" x14ac:dyDescent="0.15">
      <c r="A1839" s="1" t="s">
        <v>934</v>
      </c>
      <c r="B1839" s="1" t="s">
        <v>782</v>
      </c>
      <c r="D1839" s="1" t="s">
        <v>5409</v>
      </c>
      <c r="E1839" s="1" t="s">
        <v>5441</v>
      </c>
      <c r="F1839" s="3">
        <v>0</v>
      </c>
      <c r="G1839" s="24" t="s">
        <v>7553</v>
      </c>
      <c r="H1839" s="24" t="s">
        <v>5442</v>
      </c>
      <c r="I1839" s="24" t="s">
        <v>5392</v>
      </c>
      <c r="J1839" s="24" t="s">
        <v>2919</v>
      </c>
      <c r="K1839" s="3">
        <v>30</v>
      </c>
      <c r="L1839" s="3" t="s">
        <v>6977</v>
      </c>
      <c r="M1839" s="3" t="str">
        <f>HYPERLINK("http://ictvonline.org/taxonomyHistory.asp?taxnode_id=20152348","ICTVonline=20152348")</f>
        <v>ICTVonline=20152348</v>
      </c>
    </row>
    <row r="1840" spans="1:13" x14ac:dyDescent="0.15">
      <c r="A1840" s="1" t="s">
        <v>934</v>
      </c>
      <c r="B1840" s="1" t="s">
        <v>782</v>
      </c>
      <c r="D1840" s="1" t="s">
        <v>5409</v>
      </c>
      <c r="E1840" s="1" t="s">
        <v>5443</v>
      </c>
      <c r="F1840" s="3">
        <v>0</v>
      </c>
      <c r="G1840" s="24" t="s">
        <v>7554</v>
      </c>
      <c r="H1840" s="24" t="s">
        <v>5444</v>
      </c>
      <c r="I1840" s="24" t="s">
        <v>5392</v>
      </c>
      <c r="J1840" s="24" t="s">
        <v>2919</v>
      </c>
      <c r="K1840" s="3">
        <v>30</v>
      </c>
      <c r="L1840" s="3" t="s">
        <v>6977</v>
      </c>
      <c r="M1840" s="3" t="str">
        <f>HYPERLINK("http://ictvonline.org/taxonomyHistory.asp?taxnode_id=20152349","ICTVonline=20152349")</f>
        <v>ICTVonline=20152349</v>
      </c>
    </row>
    <row r="1841" spans="1:13" x14ac:dyDescent="0.15">
      <c r="A1841" s="1" t="s">
        <v>934</v>
      </c>
      <c r="B1841" s="1" t="s">
        <v>782</v>
      </c>
      <c r="D1841" s="1" t="s">
        <v>5409</v>
      </c>
      <c r="E1841" s="1" t="s">
        <v>5445</v>
      </c>
      <c r="F1841" s="3">
        <v>1</v>
      </c>
      <c r="G1841" s="24" t="s">
        <v>7555</v>
      </c>
      <c r="H1841" s="24" t="s">
        <v>5446</v>
      </c>
      <c r="I1841" s="24" t="s">
        <v>5392</v>
      </c>
      <c r="J1841" s="24" t="s">
        <v>2919</v>
      </c>
      <c r="K1841" s="3">
        <v>30</v>
      </c>
      <c r="L1841" s="3" t="s">
        <v>6977</v>
      </c>
      <c r="M1841" s="3" t="str">
        <f>HYPERLINK("http://ictvonline.org/taxonomyHistory.asp?taxnode_id=20152350","ICTVonline=20152350")</f>
        <v>ICTVonline=20152350</v>
      </c>
    </row>
    <row r="1842" spans="1:13" x14ac:dyDescent="0.15">
      <c r="A1842" s="1" t="s">
        <v>934</v>
      </c>
      <c r="B1842" s="1" t="s">
        <v>782</v>
      </c>
      <c r="D1842" s="1" t="s">
        <v>5409</v>
      </c>
      <c r="E1842" s="1" t="s">
        <v>5447</v>
      </c>
      <c r="F1842" s="3">
        <v>0</v>
      </c>
      <c r="G1842" s="24" t="s">
        <v>7556</v>
      </c>
      <c r="H1842" s="24" t="s">
        <v>5448</v>
      </c>
      <c r="I1842" s="24" t="s">
        <v>5392</v>
      </c>
      <c r="J1842" s="24" t="s">
        <v>2919</v>
      </c>
      <c r="K1842" s="3">
        <v>30</v>
      </c>
      <c r="L1842" s="3" t="s">
        <v>6977</v>
      </c>
      <c r="M1842" s="3" t="str">
        <f>HYPERLINK("http://ictvonline.org/taxonomyHistory.asp?taxnode_id=20152351","ICTVonline=20152351")</f>
        <v>ICTVonline=20152351</v>
      </c>
    </row>
    <row r="1843" spans="1:13" x14ac:dyDescent="0.15">
      <c r="A1843" s="1" t="s">
        <v>934</v>
      </c>
      <c r="B1843" s="1" t="s">
        <v>782</v>
      </c>
      <c r="D1843" s="1" t="s">
        <v>5409</v>
      </c>
      <c r="E1843" s="1" t="s">
        <v>5449</v>
      </c>
      <c r="F1843" s="3">
        <v>0</v>
      </c>
      <c r="G1843" s="24" t="s">
        <v>7557</v>
      </c>
      <c r="H1843" s="24" t="s">
        <v>5450</v>
      </c>
      <c r="I1843" s="24" t="s">
        <v>5392</v>
      </c>
      <c r="J1843" s="24" t="s">
        <v>2919</v>
      </c>
      <c r="K1843" s="3">
        <v>30</v>
      </c>
      <c r="L1843" s="3" t="s">
        <v>6977</v>
      </c>
      <c r="M1843" s="3" t="str">
        <f>HYPERLINK("http://ictvonline.org/taxonomyHistory.asp?taxnode_id=20152352","ICTVonline=20152352")</f>
        <v>ICTVonline=20152352</v>
      </c>
    </row>
    <row r="1844" spans="1:13" x14ac:dyDescent="0.15">
      <c r="A1844" s="1" t="s">
        <v>934</v>
      </c>
      <c r="B1844" s="1" t="s">
        <v>782</v>
      </c>
      <c r="D1844" s="1" t="s">
        <v>5409</v>
      </c>
      <c r="E1844" s="1" t="s">
        <v>5451</v>
      </c>
      <c r="F1844" s="3">
        <v>0</v>
      </c>
      <c r="G1844" s="24" t="s">
        <v>7558</v>
      </c>
      <c r="H1844" s="24" t="s">
        <v>5452</v>
      </c>
      <c r="I1844" s="24" t="s">
        <v>5392</v>
      </c>
      <c r="J1844" s="24" t="s">
        <v>2919</v>
      </c>
      <c r="K1844" s="3">
        <v>30</v>
      </c>
      <c r="L1844" s="3" t="s">
        <v>6977</v>
      </c>
      <c r="M1844" s="3" t="str">
        <f>HYPERLINK("http://ictvonline.org/taxonomyHistory.asp?taxnode_id=20152353","ICTVonline=20152353")</f>
        <v>ICTVonline=20152353</v>
      </c>
    </row>
    <row r="1845" spans="1:13" x14ac:dyDescent="0.15">
      <c r="A1845" s="1" t="s">
        <v>934</v>
      </c>
      <c r="B1845" s="1" t="s">
        <v>782</v>
      </c>
      <c r="D1845" s="1" t="s">
        <v>5409</v>
      </c>
      <c r="E1845" s="1" t="s">
        <v>5453</v>
      </c>
      <c r="F1845" s="3">
        <v>0</v>
      </c>
      <c r="G1845" s="24" t="s">
        <v>7559</v>
      </c>
      <c r="H1845" s="24" t="s">
        <v>5454</v>
      </c>
      <c r="I1845" s="24" t="s">
        <v>5392</v>
      </c>
      <c r="J1845" s="24" t="s">
        <v>2919</v>
      </c>
      <c r="K1845" s="3">
        <v>30</v>
      </c>
      <c r="L1845" s="3" t="s">
        <v>6977</v>
      </c>
      <c r="M1845" s="3" t="str">
        <f>HYPERLINK("http://ictvonline.org/taxonomyHistory.asp?taxnode_id=20152354","ICTVonline=20152354")</f>
        <v>ICTVonline=20152354</v>
      </c>
    </row>
    <row r="1846" spans="1:13" x14ac:dyDescent="0.15">
      <c r="A1846" s="1" t="s">
        <v>934</v>
      </c>
      <c r="B1846" s="1" t="s">
        <v>782</v>
      </c>
      <c r="D1846" s="1" t="s">
        <v>5409</v>
      </c>
      <c r="E1846" s="1" t="s">
        <v>5455</v>
      </c>
      <c r="F1846" s="3">
        <v>0</v>
      </c>
      <c r="G1846" s="24" t="s">
        <v>7560</v>
      </c>
      <c r="H1846" s="24" t="s">
        <v>5456</v>
      </c>
      <c r="I1846" s="24" t="s">
        <v>5392</v>
      </c>
      <c r="J1846" s="24" t="s">
        <v>2919</v>
      </c>
      <c r="K1846" s="3">
        <v>30</v>
      </c>
      <c r="L1846" s="3" t="s">
        <v>6977</v>
      </c>
      <c r="M1846" s="3" t="str">
        <f>HYPERLINK("http://ictvonline.org/taxonomyHistory.asp?taxnode_id=20152355","ICTVonline=20152355")</f>
        <v>ICTVonline=20152355</v>
      </c>
    </row>
    <row r="1847" spans="1:13" x14ac:dyDescent="0.15">
      <c r="A1847" s="1" t="s">
        <v>934</v>
      </c>
      <c r="B1847" s="1" t="s">
        <v>782</v>
      </c>
      <c r="D1847" s="1" t="s">
        <v>5409</v>
      </c>
      <c r="E1847" s="1" t="s">
        <v>5457</v>
      </c>
      <c r="F1847" s="3">
        <v>0</v>
      </c>
      <c r="G1847" s="24" t="s">
        <v>7561</v>
      </c>
      <c r="H1847" s="24" t="s">
        <v>5458</v>
      </c>
      <c r="I1847" s="24" t="s">
        <v>5392</v>
      </c>
      <c r="J1847" s="24" t="s">
        <v>2919</v>
      </c>
      <c r="K1847" s="3">
        <v>30</v>
      </c>
      <c r="L1847" s="3" t="s">
        <v>6977</v>
      </c>
      <c r="M1847" s="3" t="str">
        <f>HYPERLINK("http://ictvonline.org/taxonomyHistory.asp?taxnode_id=20152356","ICTVonline=20152356")</f>
        <v>ICTVonline=20152356</v>
      </c>
    </row>
    <row r="1848" spans="1:13" x14ac:dyDescent="0.15">
      <c r="A1848" s="1" t="s">
        <v>934</v>
      </c>
      <c r="B1848" s="1" t="s">
        <v>782</v>
      </c>
      <c r="D1848" s="1" t="s">
        <v>5409</v>
      </c>
      <c r="E1848" s="1" t="s">
        <v>5459</v>
      </c>
      <c r="F1848" s="3">
        <v>0</v>
      </c>
      <c r="G1848" s="24" t="s">
        <v>7562</v>
      </c>
      <c r="H1848" s="24" t="s">
        <v>5460</v>
      </c>
      <c r="I1848" s="24" t="s">
        <v>5392</v>
      </c>
      <c r="J1848" s="24" t="s">
        <v>2919</v>
      </c>
      <c r="K1848" s="3">
        <v>30</v>
      </c>
      <c r="L1848" s="3" t="s">
        <v>6977</v>
      </c>
      <c r="M1848" s="3" t="str">
        <f>HYPERLINK("http://ictvonline.org/taxonomyHistory.asp?taxnode_id=20152357","ICTVonline=20152357")</f>
        <v>ICTVonline=20152357</v>
      </c>
    </row>
    <row r="1849" spans="1:13" x14ac:dyDescent="0.15">
      <c r="A1849" s="1" t="s">
        <v>934</v>
      </c>
      <c r="B1849" s="1" t="s">
        <v>782</v>
      </c>
      <c r="D1849" s="1" t="s">
        <v>5409</v>
      </c>
      <c r="E1849" s="1" t="s">
        <v>5461</v>
      </c>
      <c r="F1849" s="3">
        <v>0</v>
      </c>
      <c r="G1849" s="24" t="s">
        <v>7563</v>
      </c>
      <c r="H1849" s="24" t="s">
        <v>5462</v>
      </c>
      <c r="I1849" s="24" t="s">
        <v>5392</v>
      </c>
      <c r="J1849" s="24" t="s">
        <v>2919</v>
      </c>
      <c r="K1849" s="3">
        <v>30</v>
      </c>
      <c r="L1849" s="3" t="s">
        <v>6977</v>
      </c>
      <c r="M1849" s="3" t="str">
        <f>HYPERLINK("http://ictvonline.org/taxonomyHistory.asp?taxnode_id=20152358","ICTVonline=20152358")</f>
        <v>ICTVonline=20152358</v>
      </c>
    </row>
    <row r="1850" spans="1:13" x14ac:dyDescent="0.15">
      <c r="A1850" s="1" t="s">
        <v>934</v>
      </c>
      <c r="B1850" s="1" t="s">
        <v>782</v>
      </c>
      <c r="D1850" s="1" t="s">
        <v>5409</v>
      </c>
      <c r="E1850" s="1" t="s">
        <v>5463</v>
      </c>
      <c r="F1850" s="3">
        <v>0</v>
      </c>
      <c r="G1850" s="24" t="s">
        <v>7564</v>
      </c>
      <c r="H1850" s="24" t="s">
        <v>5464</v>
      </c>
      <c r="I1850" s="24" t="s">
        <v>5392</v>
      </c>
      <c r="J1850" s="24" t="s">
        <v>2919</v>
      </c>
      <c r="K1850" s="3">
        <v>30</v>
      </c>
      <c r="L1850" s="3" t="s">
        <v>6977</v>
      </c>
      <c r="M1850" s="3" t="str">
        <f>HYPERLINK("http://ictvonline.org/taxonomyHistory.asp?taxnode_id=20152359","ICTVonline=20152359")</f>
        <v>ICTVonline=20152359</v>
      </c>
    </row>
    <row r="1851" spans="1:13" x14ac:dyDescent="0.15">
      <c r="A1851" s="1" t="s">
        <v>934</v>
      </c>
      <c r="B1851" s="1" t="s">
        <v>90</v>
      </c>
      <c r="D1851" s="1" t="s">
        <v>91</v>
      </c>
      <c r="E1851" s="1" t="s">
        <v>92</v>
      </c>
      <c r="F1851" s="3">
        <v>1</v>
      </c>
      <c r="G1851" s="24" t="s">
        <v>5465</v>
      </c>
      <c r="I1851" s="24" t="s">
        <v>2965</v>
      </c>
      <c r="J1851" s="24" t="s">
        <v>2921</v>
      </c>
      <c r="K1851" s="3">
        <v>26</v>
      </c>
      <c r="L1851" s="3" t="s">
        <v>6978</v>
      </c>
      <c r="M1851" s="3" t="str">
        <f>HYPERLINK("http://ictvonline.org/taxonomyHistory.asp?taxnode_id=20152363","ICTVonline=20152363")</f>
        <v>ICTVonline=20152363</v>
      </c>
    </row>
    <row r="1852" spans="1:13" x14ac:dyDescent="0.15">
      <c r="A1852" s="1" t="s">
        <v>934</v>
      </c>
      <c r="B1852" s="1" t="s">
        <v>2090</v>
      </c>
      <c r="D1852" s="1" t="s">
        <v>2091</v>
      </c>
      <c r="E1852" s="1" t="s">
        <v>5466</v>
      </c>
      <c r="F1852" s="3">
        <v>0</v>
      </c>
      <c r="G1852" s="24" t="s">
        <v>7565</v>
      </c>
      <c r="H1852" s="24" t="s">
        <v>5467</v>
      </c>
      <c r="I1852" s="24" t="s">
        <v>3265</v>
      </c>
      <c r="J1852" s="24" t="s">
        <v>2919</v>
      </c>
      <c r="K1852" s="3">
        <v>30</v>
      </c>
      <c r="L1852" s="3" t="s">
        <v>6979</v>
      </c>
      <c r="M1852" s="3" t="str">
        <f>HYPERLINK("http://ictvonline.org/taxonomyHistory.asp?taxnode_id=20152375","ICTVonline=20152375")</f>
        <v>ICTVonline=20152375</v>
      </c>
    </row>
    <row r="1853" spans="1:13" x14ac:dyDescent="0.15">
      <c r="A1853" s="1" t="s">
        <v>934</v>
      </c>
      <c r="B1853" s="1" t="s">
        <v>2090</v>
      </c>
      <c r="D1853" s="1" t="s">
        <v>2091</v>
      </c>
      <c r="E1853" s="1" t="s">
        <v>2193</v>
      </c>
      <c r="F1853" s="3">
        <v>0</v>
      </c>
      <c r="G1853" s="24" t="s">
        <v>5468</v>
      </c>
      <c r="H1853" s="24" t="s">
        <v>6732</v>
      </c>
      <c r="I1853" s="24" t="s">
        <v>3265</v>
      </c>
      <c r="J1853" s="24" t="s">
        <v>2919</v>
      </c>
      <c r="K1853" s="3">
        <v>20</v>
      </c>
      <c r="L1853" s="3" t="s">
        <v>2925</v>
      </c>
      <c r="M1853" s="3" t="str">
        <f>HYPERLINK("http://ictvonline.org/taxonomyHistory.asp?taxnode_id=20152367","ICTVonline=20152367")</f>
        <v>ICTVonline=20152367</v>
      </c>
    </row>
    <row r="1854" spans="1:13" x14ac:dyDescent="0.15">
      <c r="A1854" s="1" t="s">
        <v>934</v>
      </c>
      <c r="B1854" s="1" t="s">
        <v>2090</v>
      </c>
      <c r="D1854" s="1" t="s">
        <v>2091</v>
      </c>
      <c r="E1854" s="1" t="s">
        <v>2194</v>
      </c>
      <c r="F1854" s="3">
        <v>1</v>
      </c>
      <c r="G1854" s="24" t="s">
        <v>5469</v>
      </c>
      <c r="H1854" s="24" t="s">
        <v>5470</v>
      </c>
      <c r="I1854" s="24" t="s">
        <v>3265</v>
      </c>
      <c r="J1854" s="24" t="s">
        <v>2922</v>
      </c>
      <c r="K1854" s="3">
        <v>20</v>
      </c>
      <c r="L1854" s="3" t="s">
        <v>2925</v>
      </c>
      <c r="M1854" s="3" t="str">
        <f>HYPERLINK("http://ictvonline.org/taxonomyHistory.asp?taxnode_id=20152368","ICTVonline=20152368")</f>
        <v>ICTVonline=20152368</v>
      </c>
    </row>
    <row r="1855" spans="1:13" x14ac:dyDescent="0.15">
      <c r="A1855" s="1" t="s">
        <v>934</v>
      </c>
      <c r="B1855" s="1" t="s">
        <v>2090</v>
      </c>
      <c r="D1855" s="1" t="s">
        <v>2091</v>
      </c>
      <c r="E1855" s="1" t="s">
        <v>2374</v>
      </c>
      <c r="F1855" s="3">
        <v>0</v>
      </c>
      <c r="G1855" s="24" t="s">
        <v>5471</v>
      </c>
      <c r="H1855" s="24" t="s">
        <v>5472</v>
      </c>
      <c r="I1855" s="24" t="s">
        <v>3265</v>
      </c>
      <c r="J1855" s="24" t="s">
        <v>2919</v>
      </c>
      <c r="K1855" s="3">
        <v>27</v>
      </c>
      <c r="L1855" s="3" t="s">
        <v>6980</v>
      </c>
      <c r="M1855" s="3" t="str">
        <f>HYPERLINK("http://ictvonline.org/taxonomyHistory.asp?taxnode_id=20152369","ICTVonline=20152369")</f>
        <v>ICTVonline=20152369</v>
      </c>
    </row>
    <row r="1856" spans="1:13" x14ac:dyDescent="0.15">
      <c r="A1856" s="1" t="s">
        <v>934</v>
      </c>
      <c r="B1856" s="1" t="s">
        <v>2090</v>
      </c>
      <c r="D1856" s="1" t="s">
        <v>2091</v>
      </c>
      <c r="E1856" s="1" t="s">
        <v>2195</v>
      </c>
      <c r="F1856" s="3">
        <v>0</v>
      </c>
      <c r="G1856" s="24" t="s">
        <v>5473</v>
      </c>
      <c r="H1856" s="24" t="s">
        <v>5474</v>
      </c>
      <c r="I1856" s="24" t="s">
        <v>3265</v>
      </c>
      <c r="J1856" s="24" t="s">
        <v>2943</v>
      </c>
      <c r="K1856" s="3">
        <v>20</v>
      </c>
      <c r="L1856" s="3" t="s">
        <v>2925</v>
      </c>
      <c r="M1856" s="3" t="str">
        <f>HYPERLINK("http://ictvonline.org/taxonomyHistory.asp?taxnode_id=20152370","ICTVonline=20152370")</f>
        <v>ICTVonline=20152370</v>
      </c>
    </row>
    <row r="1857" spans="1:13" x14ac:dyDescent="0.15">
      <c r="A1857" s="1" t="s">
        <v>934</v>
      </c>
      <c r="B1857" s="1" t="s">
        <v>2090</v>
      </c>
      <c r="D1857" s="1" t="s">
        <v>2091</v>
      </c>
      <c r="E1857" s="1" t="s">
        <v>2196</v>
      </c>
      <c r="F1857" s="3">
        <v>0</v>
      </c>
      <c r="G1857" s="24" t="s">
        <v>5475</v>
      </c>
      <c r="H1857" s="24" t="s">
        <v>5476</v>
      </c>
      <c r="I1857" s="24" t="s">
        <v>3265</v>
      </c>
      <c r="J1857" s="24" t="s">
        <v>2919</v>
      </c>
      <c r="K1857" s="3">
        <v>20</v>
      </c>
      <c r="L1857" s="3" t="s">
        <v>2925</v>
      </c>
      <c r="M1857" s="3" t="str">
        <f>HYPERLINK("http://ictvonline.org/taxonomyHistory.asp?taxnode_id=20152371","ICTVonline=20152371")</f>
        <v>ICTVonline=20152371</v>
      </c>
    </row>
    <row r="1858" spans="1:13" x14ac:dyDescent="0.15">
      <c r="A1858" s="1" t="s">
        <v>934</v>
      </c>
      <c r="B1858" s="1" t="s">
        <v>2090</v>
      </c>
      <c r="D1858" s="1" t="s">
        <v>2091</v>
      </c>
      <c r="E1858" s="1" t="s">
        <v>2197</v>
      </c>
      <c r="F1858" s="3">
        <v>0</v>
      </c>
      <c r="I1858" s="24" t="s">
        <v>3265</v>
      </c>
      <c r="J1858" s="24" t="s">
        <v>2919</v>
      </c>
      <c r="K1858" s="3">
        <v>20</v>
      </c>
      <c r="L1858" s="3" t="s">
        <v>2925</v>
      </c>
      <c r="M1858" s="3" t="str">
        <f>HYPERLINK("http://ictvonline.org/taxonomyHistory.asp?taxnode_id=20152372","ICTVonline=20152372")</f>
        <v>ICTVonline=20152372</v>
      </c>
    </row>
    <row r="1859" spans="1:13" x14ac:dyDescent="0.15">
      <c r="A1859" s="1" t="s">
        <v>934</v>
      </c>
      <c r="B1859" s="1" t="s">
        <v>2090</v>
      </c>
      <c r="D1859" s="1" t="s">
        <v>2091</v>
      </c>
      <c r="E1859" s="1" t="s">
        <v>1944</v>
      </c>
      <c r="F1859" s="3">
        <v>0</v>
      </c>
      <c r="I1859" s="24" t="s">
        <v>3265</v>
      </c>
      <c r="J1859" s="24" t="s">
        <v>2919</v>
      </c>
      <c r="K1859" s="3">
        <v>25</v>
      </c>
      <c r="L1859" s="3" t="s">
        <v>6981</v>
      </c>
      <c r="M1859" s="3" t="str">
        <f>HYPERLINK("http://ictvonline.org/taxonomyHistory.asp?taxnode_id=20152373","ICTVonline=20152373")</f>
        <v>ICTVonline=20152373</v>
      </c>
    </row>
    <row r="1860" spans="1:13" x14ac:dyDescent="0.15">
      <c r="A1860" s="1" t="s">
        <v>934</v>
      </c>
      <c r="B1860" s="1" t="s">
        <v>2090</v>
      </c>
      <c r="D1860" s="1" t="s">
        <v>2091</v>
      </c>
      <c r="E1860" s="1" t="s">
        <v>2265</v>
      </c>
      <c r="F1860" s="3">
        <v>0</v>
      </c>
      <c r="G1860" s="24" t="s">
        <v>5477</v>
      </c>
      <c r="H1860" s="24" t="s">
        <v>5478</v>
      </c>
      <c r="I1860" s="24" t="s">
        <v>3265</v>
      </c>
      <c r="J1860" s="24" t="s">
        <v>2919</v>
      </c>
      <c r="K1860" s="3">
        <v>25</v>
      </c>
      <c r="L1860" s="3" t="s">
        <v>6982</v>
      </c>
      <c r="M1860" s="3" t="str">
        <f>HYPERLINK("http://ictvonline.org/taxonomyHistory.asp?taxnode_id=20152374","ICTVonline=20152374")</f>
        <v>ICTVonline=20152374</v>
      </c>
    </row>
    <row r="1861" spans="1:13" x14ac:dyDescent="0.15">
      <c r="A1861" s="1" t="s">
        <v>934</v>
      </c>
      <c r="B1861" s="1" t="s">
        <v>2090</v>
      </c>
      <c r="D1861" s="1" t="s">
        <v>2198</v>
      </c>
      <c r="E1861" s="1" t="s">
        <v>2199</v>
      </c>
      <c r="F1861" s="3">
        <v>0</v>
      </c>
      <c r="I1861" s="24" t="s">
        <v>3265</v>
      </c>
      <c r="J1861" s="24" t="s">
        <v>2920</v>
      </c>
      <c r="K1861" s="3">
        <v>15</v>
      </c>
      <c r="L1861" s="3" t="s">
        <v>2935</v>
      </c>
      <c r="M1861" s="3" t="str">
        <f>HYPERLINK("http://ictvonline.org/taxonomyHistory.asp?taxnode_id=20152377","ICTVonline=20152377")</f>
        <v>ICTVonline=20152377</v>
      </c>
    </row>
    <row r="1862" spans="1:13" x14ac:dyDescent="0.15">
      <c r="A1862" s="1" t="s">
        <v>934</v>
      </c>
      <c r="B1862" s="1" t="s">
        <v>2090</v>
      </c>
      <c r="D1862" s="1" t="s">
        <v>2198</v>
      </c>
      <c r="E1862" s="1" t="s">
        <v>2200</v>
      </c>
      <c r="F1862" s="3">
        <v>1</v>
      </c>
      <c r="G1862" s="24" t="s">
        <v>5479</v>
      </c>
      <c r="H1862" s="24" t="s">
        <v>5480</v>
      </c>
      <c r="I1862" s="24" t="s">
        <v>3265</v>
      </c>
      <c r="J1862" s="24" t="s">
        <v>2920</v>
      </c>
      <c r="K1862" s="3">
        <v>15</v>
      </c>
      <c r="L1862" s="3" t="s">
        <v>2935</v>
      </c>
      <c r="M1862" s="3" t="str">
        <f>HYPERLINK("http://ictvonline.org/taxonomyHistory.asp?taxnode_id=20152378","ICTVonline=20152378")</f>
        <v>ICTVonline=20152378</v>
      </c>
    </row>
    <row r="1863" spans="1:13" x14ac:dyDescent="0.15">
      <c r="A1863" s="1" t="s">
        <v>934</v>
      </c>
      <c r="B1863" s="1" t="s">
        <v>2090</v>
      </c>
      <c r="D1863" s="1" t="s">
        <v>2198</v>
      </c>
      <c r="E1863" s="1" t="s">
        <v>2201</v>
      </c>
      <c r="F1863" s="3">
        <v>0</v>
      </c>
      <c r="I1863" s="24" t="s">
        <v>3265</v>
      </c>
      <c r="J1863" s="24" t="s">
        <v>2920</v>
      </c>
      <c r="K1863" s="3">
        <v>15</v>
      </c>
      <c r="L1863" s="3" t="s">
        <v>2935</v>
      </c>
      <c r="M1863" s="3" t="str">
        <f>HYPERLINK("http://ictvonline.org/taxonomyHistory.asp?taxnode_id=20152379","ICTVonline=20152379")</f>
        <v>ICTVonline=20152379</v>
      </c>
    </row>
    <row r="1864" spans="1:13" x14ac:dyDescent="0.15">
      <c r="A1864" s="1" t="s">
        <v>934</v>
      </c>
      <c r="B1864" s="1" t="s">
        <v>2090</v>
      </c>
      <c r="D1864" s="1" t="s">
        <v>2198</v>
      </c>
      <c r="E1864" s="1" t="s">
        <v>2202</v>
      </c>
      <c r="F1864" s="3">
        <v>0</v>
      </c>
      <c r="I1864" s="24" t="s">
        <v>3265</v>
      </c>
      <c r="J1864" s="24" t="s">
        <v>2920</v>
      </c>
      <c r="K1864" s="3">
        <v>15</v>
      </c>
      <c r="L1864" s="3" t="s">
        <v>2935</v>
      </c>
      <c r="M1864" s="3" t="str">
        <f>HYPERLINK("http://ictvonline.org/taxonomyHistory.asp?taxnode_id=20152380","ICTVonline=20152380")</f>
        <v>ICTVonline=20152380</v>
      </c>
    </row>
    <row r="1865" spans="1:13" x14ac:dyDescent="0.15">
      <c r="A1865" s="1" t="s">
        <v>934</v>
      </c>
      <c r="B1865" s="1" t="s">
        <v>2090</v>
      </c>
      <c r="D1865" s="1" t="s">
        <v>2198</v>
      </c>
      <c r="E1865" s="1" t="s">
        <v>2203</v>
      </c>
      <c r="F1865" s="3">
        <v>0</v>
      </c>
      <c r="G1865" s="24" t="s">
        <v>5481</v>
      </c>
      <c r="H1865" s="24" t="s">
        <v>5482</v>
      </c>
      <c r="I1865" s="24" t="s">
        <v>3265</v>
      </c>
      <c r="J1865" s="24" t="s">
        <v>2920</v>
      </c>
      <c r="K1865" s="3">
        <v>15</v>
      </c>
      <c r="L1865" s="3" t="s">
        <v>2935</v>
      </c>
      <c r="M1865" s="3" t="str">
        <f>HYPERLINK("http://ictvonline.org/taxonomyHistory.asp?taxnode_id=20152381","ICTVonline=20152381")</f>
        <v>ICTVonline=20152381</v>
      </c>
    </row>
    <row r="1866" spans="1:13" x14ac:dyDescent="0.15">
      <c r="A1866" s="1" t="s">
        <v>934</v>
      </c>
      <c r="B1866" s="1" t="s">
        <v>2090</v>
      </c>
      <c r="D1866" s="1" t="s">
        <v>2198</v>
      </c>
      <c r="E1866" s="1" t="s">
        <v>2204</v>
      </c>
      <c r="F1866" s="3">
        <v>0</v>
      </c>
      <c r="G1866" s="24" t="s">
        <v>5483</v>
      </c>
      <c r="H1866" s="24" t="s">
        <v>5484</v>
      </c>
      <c r="I1866" s="24" t="s">
        <v>3265</v>
      </c>
      <c r="J1866" s="24" t="s">
        <v>2920</v>
      </c>
      <c r="K1866" s="3">
        <v>15</v>
      </c>
      <c r="L1866" s="3" t="s">
        <v>2935</v>
      </c>
      <c r="M1866" s="3" t="str">
        <f>HYPERLINK("http://ictvonline.org/taxonomyHistory.asp?taxnode_id=20152382","ICTVonline=20152382")</f>
        <v>ICTVonline=20152382</v>
      </c>
    </row>
    <row r="1867" spans="1:13" x14ac:dyDescent="0.15">
      <c r="A1867" s="1" t="s">
        <v>934</v>
      </c>
      <c r="B1867" s="1" t="s">
        <v>2090</v>
      </c>
      <c r="D1867" s="1" t="s">
        <v>2198</v>
      </c>
      <c r="E1867" s="1" t="s">
        <v>2205</v>
      </c>
      <c r="F1867" s="3">
        <v>0</v>
      </c>
      <c r="G1867" s="24" t="s">
        <v>5485</v>
      </c>
      <c r="H1867" s="24" t="s">
        <v>5486</v>
      </c>
      <c r="I1867" s="24" t="s">
        <v>3265</v>
      </c>
      <c r="J1867" s="24" t="s">
        <v>2919</v>
      </c>
      <c r="K1867" s="3">
        <v>18</v>
      </c>
      <c r="L1867" s="3" t="s">
        <v>2929</v>
      </c>
      <c r="M1867" s="3" t="str">
        <f>HYPERLINK("http://ictvonline.org/taxonomyHistory.asp?taxnode_id=20152383","ICTVonline=20152383")</f>
        <v>ICTVonline=20152383</v>
      </c>
    </row>
    <row r="1868" spans="1:13" x14ac:dyDescent="0.15">
      <c r="A1868" s="1" t="s">
        <v>934</v>
      </c>
      <c r="B1868" s="1" t="s">
        <v>2090</v>
      </c>
      <c r="D1868" s="1" t="s">
        <v>2198</v>
      </c>
      <c r="E1868" s="1" t="s">
        <v>2206</v>
      </c>
      <c r="F1868" s="3">
        <v>0</v>
      </c>
      <c r="G1868" s="24" t="s">
        <v>5487</v>
      </c>
      <c r="H1868" s="24" t="s">
        <v>7566</v>
      </c>
      <c r="I1868" s="24" t="s">
        <v>3265</v>
      </c>
      <c r="J1868" s="24" t="s">
        <v>2919</v>
      </c>
      <c r="K1868" s="3">
        <v>24</v>
      </c>
      <c r="L1868" s="3" t="s">
        <v>6983</v>
      </c>
      <c r="M1868" s="3" t="str">
        <f>HYPERLINK("http://ictvonline.org/taxonomyHistory.asp?taxnode_id=20152384","ICTVonline=20152384")</f>
        <v>ICTVonline=20152384</v>
      </c>
    </row>
    <row r="1869" spans="1:13" x14ac:dyDescent="0.15">
      <c r="A1869" s="1" t="s">
        <v>934</v>
      </c>
      <c r="B1869" s="1" t="s">
        <v>2090</v>
      </c>
      <c r="D1869" s="1" t="s">
        <v>2198</v>
      </c>
      <c r="E1869" s="1" t="s">
        <v>93</v>
      </c>
      <c r="F1869" s="3">
        <v>0</v>
      </c>
      <c r="G1869" s="24" t="s">
        <v>5488</v>
      </c>
      <c r="H1869" s="24" t="s">
        <v>5489</v>
      </c>
      <c r="I1869" s="24" t="s">
        <v>3265</v>
      </c>
      <c r="J1869" s="24" t="s">
        <v>2919</v>
      </c>
      <c r="K1869" s="3">
        <v>26</v>
      </c>
      <c r="L1869" s="3" t="s">
        <v>6984</v>
      </c>
      <c r="M1869" s="3" t="str">
        <f>HYPERLINK("http://ictvonline.org/taxonomyHistory.asp?taxnode_id=20152385","ICTVonline=20152385")</f>
        <v>ICTVonline=20152385</v>
      </c>
    </row>
    <row r="1870" spans="1:13" x14ac:dyDescent="0.15">
      <c r="A1870" s="1" t="s">
        <v>934</v>
      </c>
      <c r="B1870" s="1" t="s">
        <v>2090</v>
      </c>
      <c r="D1870" s="1" t="s">
        <v>2198</v>
      </c>
      <c r="E1870" s="1" t="s">
        <v>94</v>
      </c>
      <c r="F1870" s="3">
        <v>0</v>
      </c>
      <c r="G1870" s="24" t="s">
        <v>5490</v>
      </c>
      <c r="H1870" s="24" t="s">
        <v>4744</v>
      </c>
      <c r="I1870" s="24" t="s">
        <v>3265</v>
      </c>
      <c r="J1870" s="24" t="s">
        <v>2919</v>
      </c>
      <c r="K1870" s="3">
        <v>26</v>
      </c>
      <c r="L1870" s="3" t="s">
        <v>6984</v>
      </c>
      <c r="M1870" s="3" t="str">
        <f>HYPERLINK("http://ictvonline.org/taxonomyHistory.asp?taxnode_id=20152386","ICTVonline=20152386")</f>
        <v>ICTVonline=20152386</v>
      </c>
    </row>
    <row r="1871" spans="1:13" x14ac:dyDescent="0.15">
      <c r="A1871" s="1" t="s">
        <v>934</v>
      </c>
      <c r="B1871" s="1" t="s">
        <v>2090</v>
      </c>
      <c r="D1871" s="1" t="s">
        <v>2198</v>
      </c>
      <c r="E1871" s="1" t="s">
        <v>2207</v>
      </c>
      <c r="F1871" s="3">
        <v>0</v>
      </c>
      <c r="I1871" s="24" t="s">
        <v>3265</v>
      </c>
      <c r="J1871" s="24" t="s">
        <v>2920</v>
      </c>
      <c r="K1871" s="3">
        <v>15</v>
      </c>
      <c r="L1871" s="3" t="s">
        <v>2935</v>
      </c>
      <c r="M1871" s="3" t="str">
        <f>HYPERLINK("http://ictvonline.org/taxonomyHistory.asp?taxnode_id=20152387","ICTVonline=20152387")</f>
        <v>ICTVonline=20152387</v>
      </c>
    </row>
    <row r="1872" spans="1:13" x14ac:dyDescent="0.15">
      <c r="A1872" s="1" t="s">
        <v>934</v>
      </c>
      <c r="B1872" s="1" t="s">
        <v>2090</v>
      </c>
      <c r="D1872" s="1" t="s">
        <v>2208</v>
      </c>
      <c r="E1872" s="1" t="s">
        <v>2209</v>
      </c>
      <c r="F1872" s="3">
        <v>0</v>
      </c>
      <c r="I1872" s="24" t="s">
        <v>3265</v>
      </c>
      <c r="J1872" s="24" t="s">
        <v>2919</v>
      </c>
      <c r="K1872" s="3">
        <v>17</v>
      </c>
      <c r="L1872" s="3" t="s">
        <v>2928</v>
      </c>
      <c r="M1872" s="3" t="str">
        <f>HYPERLINK("http://ictvonline.org/taxonomyHistory.asp?taxnode_id=20152389","ICTVonline=20152389")</f>
        <v>ICTVonline=20152389</v>
      </c>
    </row>
    <row r="1873" spans="1:13" x14ac:dyDescent="0.15">
      <c r="A1873" s="1" t="s">
        <v>934</v>
      </c>
      <c r="B1873" s="1" t="s">
        <v>2090</v>
      </c>
      <c r="D1873" s="1" t="s">
        <v>2208</v>
      </c>
      <c r="E1873" s="1" t="s">
        <v>2266</v>
      </c>
      <c r="F1873" s="3">
        <v>0</v>
      </c>
      <c r="G1873" s="24" t="s">
        <v>7870</v>
      </c>
      <c r="H1873" s="24" t="s">
        <v>5491</v>
      </c>
      <c r="I1873" s="24" t="s">
        <v>3265</v>
      </c>
      <c r="J1873" s="24" t="s">
        <v>2919</v>
      </c>
      <c r="K1873" s="3">
        <v>25</v>
      </c>
      <c r="L1873" s="3" t="s">
        <v>6985</v>
      </c>
      <c r="M1873" s="3" t="str">
        <f>HYPERLINK("http://ictvonline.org/taxonomyHistory.asp?taxnode_id=20152390","ICTVonline=20152390")</f>
        <v>ICTVonline=20152390</v>
      </c>
    </row>
    <row r="1874" spans="1:13" x14ac:dyDescent="0.15">
      <c r="A1874" s="1" t="s">
        <v>934</v>
      </c>
      <c r="B1874" s="1" t="s">
        <v>2090</v>
      </c>
      <c r="D1874" s="1" t="s">
        <v>2208</v>
      </c>
      <c r="E1874" s="1" t="s">
        <v>504</v>
      </c>
      <c r="F1874" s="3">
        <v>0</v>
      </c>
      <c r="G1874" s="24" t="s">
        <v>7871</v>
      </c>
      <c r="H1874" s="24" t="s">
        <v>5492</v>
      </c>
      <c r="I1874" s="24" t="s">
        <v>3265</v>
      </c>
      <c r="J1874" s="24" t="s">
        <v>2919</v>
      </c>
      <c r="K1874" s="3">
        <v>23</v>
      </c>
      <c r="L1874" s="3" t="s">
        <v>2933</v>
      </c>
      <c r="M1874" s="3" t="str">
        <f>HYPERLINK("http://ictvonline.org/taxonomyHistory.asp?taxnode_id=20152391","ICTVonline=20152391")</f>
        <v>ICTVonline=20152391</v>
      </c>
    </row>
    <row r="1875" spans="1:13" x14ac:dyDescent="0.15">
      <c r="A1875" s="1" t="s">
        <v>934</v>
      </c>
      <c r="B1875" s="1" t="s">
        <v>2090</v>
      </c>
      <c r="D1875" s="1" t="s">
        <v>2208</v>
      </c>
      <c r="E1875" s="1" t="s">
        <v>505</v>
      </c>
      <c r="F1875" s="3">
        <v>0</v>
      </c>
      <c r="G1875" s="24" t="s">
        <v>7872</v>
      </c>
      <c r="H1875" s="24" t="s">
        <v>5493</v>
      </c>
      <c r="I1875" s="24" t="s">
        <v>3265</v>
      </c>
      <c r="J1875" s="24" t="s">
        <v>2919</v>
      </c>
      <c r="K1875" s="3">
        <v>24</v>
      </c>
      <c r="L1875" s="3" t="s">
        <v>6986</v>
      </c>
      <c r="M1875" s="3" t="str">
        <f>HYPERLINK("http://ictvonline.org/taxonomyHistory.asp?taxnode_id=20152392","ICTVonline=20152392")</f>
        <v>ICTVonline=20152392</v>
      </c>
    </row>
    <row r="1876" spans="1:13" x14ac:dyDescent="0.15">
      <c r="A1876" s="1" t="s">
        <v>934</v>
      </c>
      <c r="B1876" s="1" t="s">
        <v>2090</v>
      </c>
      <c r="D1876" s="1" t="s">
        <v>2208</v>
      </c>
      <c r="E1876" s="1" t="s">
        <v>2210</v>
      </c>
      <c r="F1876" s="3">
        <v>0</v>
      </c>
      <c r="G1876" s="24" t="s">
        <v>7873</v>
      </c>
      <c r="H1876" s="24" t="s">
        <v>5494</v>
      </c>
      <c r="I1876" s="24" t="s">
        <v>3265</v>
      </c>
      <c r="J1876" s="24" t="s">
        <v>2919</v>
      </c>
      <c r="K1876" s="3">
        <v>17</v>
      </c>
      <c r="L1876" s="3" t="s">
        <v>2928</v>
      </c>
      <c r="M1876" s="3" t="str">
        <f>HYPERLINK("http://ictvonline.org/taxonomyHistory.asp?taxnode_id=20152393","ICTVonline=20152393")</f>
        <v>ICTVonline=20152393</v>
      </c>
    </row>
    <row r="1877" spans="1:13" x14ac:dyDescent="0.15">
      <c r="A1877" s="1" t="s">
        <v>934</v>
      </c>
      <c r="B1877" s="1" t="s">
        <v>2090</v>
      </c>
      <c r="D1877" s="1" t="s">
        <v>2208</v>
      </c>
      <c r="E1877" s="1" t="s">
        <v>2375</v>
      </c>
      <c r="F1877" s="3">
        <v>0</v>
      </c>
      <c r="G1877" s="24" t="s">
        <v>7874</v>
      </c>
      <c r="H1877" s="24" t="s">
        <v>5495</v>
      </c>
      <c r="I1877" s="24" t="s">
        <v>3265</v>
      </c>
      <c r="J1877" s="24" t="s">
        <v>2919</v>
      </c>
      <c r="K1877" s="3">
        <v>27</v>
      </c>
      <c r="L1877" s="3" t="s">
        <v>6987</v>
      </c>
      <c r="M1877" s="3" t="str">
        <f>HYPERLINK("http://ictvonline.org/taxonomyHistory.asp?taxnode_id=20152394","ICTVonline=20152394")</f>
        <v>ICTVonline=20152394</v>
      </c>
    </row>
    <row r="1878" spans="1:13" x14ac:dyDescent="0.15">
      <c r="A1878" s="1" t="s">
        <v>934</v>
      </c>
      <c r="B1878" s="1" t="s">
        <v>2090</v>
      </c>
      <c r="D1878" s="1" t="s">
        <v>2208</v>
      </c>
      <c r="E1878" s="1" t="s">
        <v>2103</v>
      </c>
      <c r="F1878" s="3">
        <v>0</v>
      </c>
      <c r="G1878" s="24" t="s">
        <v>7875</v>
      </c>
      <c r="H1878" s="24" t="s">
        <v>5496</v>
      </c>
      <c r="I1878" s="24" t="s">
        <v>3265</v>
      </c>
      <c r="J1878" s="24" t="s">
        <v>2919</v>
      </c>
      <c r="K1878" s="3">
        <v>17</v>
      </c>
      <c r="L1878" s="3" t="s">
        <v>2928</v>
      </c>
      <c r="M1878" s="3" t="str">
        <f>HYPERLINK("http://ictvonline.org/taxonomyHistory.asp?taxnode_id=20152395","ICTVonline=20152395")</f>
        <v>ICTVonline=20152395</v>
      </c>
    </row>
    <row r="1879" spans="1:13" x14ac:dyDescent="0.15">
      <c r="A1879" s="1" t="s">
        <v>934</v>
      </c>
      <c r="B1879" s="1" t="s">
        <v>2090</v>
      </c>
      <c r="D1879" s="1" t="s">
        <v>2208</v>
      </c>
      <c r="E1879" s="1" t="s">
        <v>2104</v>
      </c>
      <c r="F1879" s="3">
        <v>1</v>
      </c>
      <c r="G1879" s="24" t="s">
        <v>7876</v>
      </c>
      <c r="H1879" s="24" t="s">
        <v>6733</v>
      </c>
      <c r="I1879" s="24" t="s">
        <v>3265</v>
      </c>
      <c r="J1879" s="24" t="s">
        <v>2920</v>
      </c>
      <c r="K1879" s="3">
        <v>16</v>
      </c>
      <c r="L1879" s="3" t="s">
        <v>2940</v>
      </c>
      <c r="M1879" s="3" t="str">
        <f>HYPERLINK("http://ictvonline.org/taxonomyHistory.asp?taxnode_id=20152396","ICTVonline=20152396")</f>
        <v>ICTVonline=20152396</v>
      </c>
    </row>
    <row r="1880" spans="1:13" x14ac:dyDescent="0.15">
      <c r="A1880" s="1" t="s">
        <v>934</v>
      </c>
      <c r="B1880" s="1" t="s">
        <v>2090</v>
      </c>
      <c r="D1880" s="1" t="s">
        <v>2208</v>
      </c>
      <c r="E1880" s="1" t="s">
        <v>2105</v>
      </c>
      <c r="F1880" s="3">
        <v>0</v>
      </c>
      <c r="G1880" s="24" t="s">
        <v>7877</v>
      </c>
      <c r="H1880" s="24" t="s">
        <v>5497</v>
      </c>
      <c r="I1880" s="24" t="s">
        <v>3265</v>
      </c>
      <c r="J1880" s="24" t="s">
        <v>2919</v>
      </c>
      <c r="K1880" s="3">
        <v>24</v>
      </c>
      <c r="L1880" s="3" t="s">
        <v>6988</v>
      </c>
      <c r="M1880" s="3" t="str">
        <f>HYPERLINK("http://ictvonline.org/taxonomyHistory.asp?taxnode_id=20152397","ICTVonline=20152397")</f>
        <v>ICTVonline=20152397</v>
      </c>
    </row>
    <row r="1881" spans="1:13" x14ac:dyDescent="0.15">
      <c r="A1881" s="1" t="s">
        <v>934</v>
      </c>
      <c r="B1881" s="1" t="s">
        <v>2090</v>
      </c>
      <c r="D1881" s="1" t="s">
        <v>2208</v>
      </c>
      <c r="E1881" s="1" t="s">
        <v>2106</v>
      </c>
      <c r="F1881" s="3">
        <v>0</v>
      </c>
      <c r="G1881" s="24" t="s">
        <v>7878</v>
      </c>
      <c r="H1881" s="24" t="s">
        <v>5498</v>
      </c>
      <c r="I1881" s="24" t="s">
        <v>3265</v>
      </c>
      <c r="J1881" s="24" t="s">
        <v>2919</v>
      </c>
      <c r="K1881" s="3">
        <v>24</v>
      </c>
      <c r="L1881" s="3" t="s">
        <v>6989</v>
      </c>
      <c r="M1881" s="3" t="str">
        <f>HYPERLINK("http://ictvonline.org/taxonomyHistory.asp?taxnode_id=20152398","ICTVonline=20152398")</f>
        <v>ICTVonline=20152398</v>
      </c>
    </row>
    <row r="1882" spans="1:13" x14ac:dyDescent="0.15">
      <c r="A1882" s="1" t="s">
        <v>934</v>
      </c>
      <c r="B1882" s="1" t="s">
        <v>2090</v>
      </c>
      <c r="D1882" s="1" t="s">
        <v>2208</v>
      </c>
      <c r="E1882" s="1" t="s">
        <v>502</v>
      </c>
      <c r="F1882" s="3">
        <v>0</v>
      </c>
      <c r="G1882" s="24" t="s">
        <v>7879</v>
      </c>
      <c r="H1882" s="24" t="s">
        <v>5499</v>
      </c>
      <c r="I1882" s="24" t="s">
        <v>3265</v>
      </c>
      <c r="J1882" s="24" t="s">
        <v>2919</v>
      </c>
      <c r="K1882" s="3">
        <v>17</v>
      </c>
      <c r="L1882" s="3" t="s">
        <v>2928</v>
      </c>
      <c r="M1882" s="3" t="str">
        <f>HYPERLINK("http://ictvonline.org/taxonomyHistory.asp?taxnode_id=20152399","ICTVonline=20152399")</f>
        <v>ICTVonline=20152399</v>
      </c>
    </row>
    <row r="1883" spans="1:13" x14ac:dyDescent="0.15">
      <c r="A1883" s="1" t="s">
        <v>934</v>
      </c>
      <c r="B1883" s="1" t="s">
        <v>2090</v>
      </c>
      <c r="D1883" s="1" t="s">
        <v>2208</v>
      </c>
      <c r="E1883" s="1" t="s">
        <v>503</v>
      </c>
      <c r="F1883" s="3">
        <v>0</v>
      </c>
      <c r="G1883" s="24" t="s">
        <v>7880</v>
      </c>
      <c r="H1883" s="24" t="s">
        <v>5500</v>
      </c>
      <c r="I1883" s="24" t="s">
        <v>3265</v>
      </c>
      <c r="J1883" s="24" t="s">
        <v>2919</v>
      </c>
      <c r="K1883" s="3">
        <v>17</v>
      </c>
      <c r="L1883" s="3" t="s">
        <v>2928</v>
      </c>
      <c r="M1883" s="3" t="str">
        <f>HYPERLINK("http://ictvonline.org/taxonomyHistory.asp?taxnode_id=20152400","ICTVonline=20152400")</f>
        <v>ICTVonline=20152400</v>
      </c>
    </row>
    <row r="1884" spans="1:13" x14ac:dyDescent="0.15">
      <c r="A1884" s="1" t="s">
        <v>934</v>
      </c>
      <c r="B1884" s="1" t="s">
        <v>2090</v>
      </c>
      <c r="D1884" s="1" t="s">
        <v>2208</v>
      </c>
      <c r="E1884" s="1" t="s">
        <v>1661</v>
      </c>
      <c r="F1884" s="3">
        <v>0</v>
      </c>
      <c r="G1884" s="24" t="s">
        <v>7881</v>
      </c>
      <c r="H1884" s="24" t="s">
        <v>5501</v>
      </c>
      <c r="I1884" s="24" t="s">
        <v>3265</v>
      </c>
      <c r="J1884" s="24" t="s">
        <v>2919</v>
      </c>
      <c r="K1884" s="3">
        <v>17</v>
      </c>
      <c r="L1884" s="3" t="s">
        <v>2928</v>
      </c>
      <c r="M1884" s="3" t="str">
        <f>HYPERLINK("http://ictvonline.org/taxonomyHistory.asp?taxnode_id=20152401","ICTVonline=20152401")</f>
        <v>ICTVonline=20152401</v>
      </c>
    </row>
    <row r="1885" spans="1:13" x14ac:dyDescent="0.15">
      <c r="A1885" s="1" t="s">
        <v>934</v>
      </c>
      <c r="B1885" s="1" t="s">
        <v>2090</v>
      </c>
      <c r="D1885" s="1" t="s">
        <v>934</v>
      </c>
      <c r="E1885" s="1" t="s">
        <v>2292</v>
      </c>
      <c r="F1885" s="3">
        <v>0</v>
      </c>
      <c r="I1885" s="24" t="s">
        <v>3265</v>
      </c>
      <c r="J1885" s="24" t="s">
        <v>2919</v>
      </c>
      <c r="K1885" s="3">
        <v>26</v>
      </c>
      <c r="L1885" s="3" t="s">
        <v>6990</v>
      </c>
      <c r="M1885" s="3" t="str">
        <f>HYPERLINK("http://ictvonline.org/taxonomyHistory.asp?taxnode_id=20152403","ICTVonline=20152403")</f>
        <v>ICTVonline=20152403</v>
      </c>
    </row>
    <row r="1886" spans="1:13" x14ac:dyDescent="0.15">
      <c r="A1886" s="1" t="s">
        <v>934</v>
      </c>
      <c r="B1886" s="1" t="s">
        <v>2090</v>
      </c>
      <c r="D1886" s="1" t="s">
        <v>934</v>
      </c>
      <c r="E1886" s="1" t="s">
        <v>5502</v>
      </c>
      <c r="F1886" s="3">
        <v>0</v>
      </c>
      <c r="G1886" s="24" t="s">
        <v>7567</v>
      </c>
      <c r="H1886" s="24" t="s">
        <v>5503</v>
      </c>
      <c r="I1886" s="24" t="s">
        <v>3265</v>
      </c>
      <c r="J1886" s="24" t="s">
        <v>2919</v>
      </c>
      <c r="K1886" s="3">
        <v>30</v>
      </c>
      <c r="L1886" s="3" t="s">
        <v>6979</v>
      </c>
      <c r="M1886" s="3" t="str">
        <f>HYPERLINK("http://ictvonline.org/taxonomyHistory.asp?taxnode_id=20152407","ICTVonline=20152407")</f>
        <v>ICTVonline=20152407</v>
      </c>
    </row>
    <row r="1887" spans="1:13" x14ac:dyDescent="0.15">
      <c r="A1887" s="1" t="s">
        <v>934</v>
      </c>
      <c r="B1887" s="1" t="s">
        <v>2090</v>
      </c>
      <c r="D1887" s="1" t="s">
        <v>934</v>
      </c>
      <c r="E1887" s="1" t="s">
        <v>2295</v>
      </c>
      <c r="F1887" s="3">
        <v>0</v>
      </c>
      <c r="I1887" s="24" t="s">
        <v>3265</v>
      </c>
      <c r="J1887" s="24" t="s">
        <v>2919</v>
      </c>
      <c r="K1887" s="3">
        <v>26</v>
      </c>
      <c r="L1887" s="3" t="s">
        <v>6990</v>
      </c>
      <c r="M1887" s="3" t="str">
        <f>HYPERLINK("http://ictvonline.org/taxonomyHistory.asp?taxnode_id=20152404","ICTVonline=20152404")</f>
        <v>ICTVonline=20152404</v>
      </c>
    </row>
    <row r="1888" spans="1:13" x14ac:dyDescent="0.15">
      <c r="A1888" s="1" t="s">
        <v>934</v>
      </c>
      <c r="B1888" s="1" t="s">
        <v>2090</v>
      </c>
      <c r="D1888" s="1" t="s">
        <v>934</v>
      </c>
      <c r="E1888" s="1" t="s">
        <v>1662</v>
      </c>
      <c r="F1888" s="3">
        <v>0</v>
      </c>
      <c r="G1888" s="24" t="s">
        <v>5504</v>
      </c>
      <c r="H1888" s="24" t="s">
        <v>5505</v>
      </c>
      <c r="I1888" s="24" t="s">
        <v>3265</v>
      </c>
      <c r="J1888" s="24" t="s">
        <v>2919</v>
      </c>
      <c r="K1888" s="3">
        <v>24</v>
      </c>
      <c r="L1888" s="3" t="s">
        <v>6991</v>
      </c>
      <c r="M1888" s="3" t="str">
        <f>HYPERLINK("http://ictvonline.org/taxonomyHistory.asp?taxnode_id=20152405","ICTVonline=20152405")</f>
        <v>ICTVonline=20152405</v>
      </c>
    </row>
    <row r="1889" spans="1:13" x14ac:dyDescent="0.15">
      <c r="A1889" s="1" t="s">
        <v>934</v>
      </c>
      <c r="B1889" s="1" t="s">
        <v>2090</v>
      </c>
      <c r="D1889" s="1" t="s">
        <v>934</v>
      </c>
      <c r="E1889" s="1" t="s">
        <v>2296</v>
      </c>
      <c r="F1889" s="3">
        <v>0</v>
      </c>
      <c r="I1889" s="24" t="s">
        <v>3265</v>
      </c>
      <c r="J1889" s="24" t="s">
        <v>2919</v>
      </c>
      <c r="K1889" s="3">
        <v>26</v>
      </c>
      <c r="L1889" s="3" t="s">
        <v>6990</v>
      </c>
      <c r="M1889" s="3" t="str">
        <f>HYPERLINK("http://ictvonline.org/taxonomyHistory.asp?taxnode_id=20152406","ICTVonline=20152406")</f>
        <v>ICTVonline=20152406</v>
      </c>
    </row>
    <row r="1890" spans="1:13" x14ac:dyDescent="0.15">
      <c r="A1890" s="1" t="s">
        <v>934</v>
      </c>
      <c r="B1890" s="1" t="s">
        <v>2090</v>
      </c>
      <c r="D1890" s="1" t="s">
        <v>2536</v>
      </c>
      <c r="E1890" s="1" t="s">
        <v>2537</v>
      </c>
      <c r="F1890" s="3">
        <v>0</v>
      </c>
      <c r="G1890" s="24" t="s">
        <v>5506</v>
      </c>
      <c r="H1890" s="24" t="s">
        <v>5507</v>
      </c>
      <c r="I1890" s="24" t="s">
        <v>3265</v>
      </c>
      <c r="J1890" s="24" t="s">
        <v>2919</v>
      </c>
      <c r="K1890" s="3">
        <v>28</v>
      </c>
      <c r="L1890" s="3" t="s">
        <v>6992</v>
      </c>
      <c r="M1890" s="3" t="str">
        <f>HYPERLINK("http://ictvonline.org/taxonomyHistory.asp?taxnode_id=20152409","ICTVonline=20152409")</f>
        <v>ICTVonline=20152409</v>
      </c>
    </row>
    <row r="1891" spans="1:13" x14ac:dyDescent="0.15">
      <c r="A1891" s="1" t="s">
        <v>934</v>
      </c>
      <c r="B1891" s="1" t="s">
        <v>2090</v>
      </c>
      <c r="D1891" s="1" t="s">
        <v>2536</v>
      </c>
      <c r="E1891" s="1" t="s">
        <v>5508</v>
      </c>
      <c r="F1891" s="3">
        <v>0</v>
      </c>
      <c r="G1891" s="24" t="s">
        <v>7568</v>
      </c>
      <c r="H1891" s="24" t="s">
        <v>5509</v>
      </c>
      <c r="I1891" s="24" t="s">
        <v>3265</v>
      </c>
      <c r="J1891" s="24" t="s">
        <v>2919</v>
      </c>
      <c r="K1891" s="3">
        <v>30</v>
      </c>
      <c r="L1891" s="3" t="s">
        <v>6979</v>
      </c>
      <c r="M1891" s="3" t="str">
        <f>HYPERLINK("http://ictvonline.org/taxonomyHistory.asp?taxnode_id=20152412","ICTVonline=20152412")</f>
        <v>ICTVonline=20152412</v>
      </c>
    </row>
    <row r="1892" spans="1:13" x14ac:dyDescent="0.15">
      <c r="A1892" s="1" t="s">
        <v>934</v>
      </c>
      <c r="B1892" s="1" t="s">
        <v>2090</v>
      </c>
      <c r="D1892" s="1" t="s">
        <v>2536</v>
      </c>
      <c r="E1892" s="1" t="s">
        <v>5510</v>
      </c>
      <c r="F1892" s="3">
        <v>0</v>
      </c>
      <c r="G1892" s="24" t="s">
        <v>7569</v>
      </c>
      <c r="H1892" s="24" t="s">
        <v>5509</v>
      </c>
      <c r="I1892" s="24" t="s">
        <v>3265</v>
      </c>
      <c r="J1892" s="24" t="s">
        <v>2919</v>
      </c>
      <c r="K1892" s="3">
        <v>30</v>
      </c>
      <c r="L1892" s="3" t="s">
        <v>6979</v>
      </c>
      <c r="M1892" s="3" t="str">
        <f>HYPERLINK("http://ictvonline.org/taxonomyHistory.asp?taxnode_id=20152413","ICTVonline=20152413")</f>
        <v>ICTVonline=20152413</v>
      </c>
    </row>
    <row r="1893" spans="1:13" x14ac:dyDescent="0.15">
      <c r="A1893" s="1" t="s">
        <v>934</v>
      </c>
      <c r="B1893" s="1" t="s">
        <v>2090</v>
      </c>
      <c r="D1893" s="1" t="s">
        <v>2536</v>
      </c>
      <c r="E1893" s="1" t="s">
        <v>5511</v>
      </c>
      <c r="F1893" s="3">
        <v>0</v>
      </c>
      <c r="G1893" s="24" t="s">
        <v>7570</v>
      </c>
      <c r="H1893" s="24" t="s">
        <v>5509</v>
      </c>
      <c r="I1893" s="24" t="s">
        <v>3265</v>
      </c>
      <c r="J1893" s="24" t="s">
        <v>2919</v>
      </c>
      <c r="K1893" s="3">
        <v>30</v>
      </c>
      <c r="L1893" s="3" t="s">
        <v>6979</v>
      </c>
      <c r="M1893" s="3" t="str">
        <f>HYPERLINK("http://ictvonline.org/taxonomyHistory.asp?taxnode_id=20152414","ICTVonline=20152414")</f>
        <v>ICTVonline=20152414</v>
      </c>
    </row>
    <row r="1894" spans="1:13" x14ac:dyDescent="0.15">
      <c r="A1894" s="1" t="s">
        <v>934</v>
      </c>
      <c r="B1894" s="1" t="s">
        <v>2090</v>
      </c>
      <c r="D1894" s="1" t="s">
        <v>2536</v>
      </c>
      <c r="E1894" s="1" t="s">
        <v>2293</v>
      </c>
      <c r="F1894" s="3">
        <v>1</v>
      </c>
      <c r="G1894" s="24" t="s">
        <v>5512</v>
      </c>
      <c r="H1894" s="24" t="s">
        <v>5513</v>
      </c>
      <c r="I1894" s="24" t="s">
        <v>3265</v>
      </c>
      <c r="J1894" s="24" t="s">
        <v>2920</v>
      </c>
      <c r="K1894" s="3">
        <v>28</v>
      </c>
      <c r="L1894" s="3" t="s">
        <v>6992</v>
      </c>
      <c r="M1894" s="3" t="str">
        <f>HYPERLINK("http://ictvonline.org/taxonomyHistory.asp?taxnode_id=20152410","ICTVonline=20152410")</f>
        <v>ICTVonline=20152410</v>
      </c>
    </row>
    <row r="1895" spans="1:13" x14ac:dyDescent="0.15">
      <c r="A1895" s="1" t="s">
        <v>934</v>
      </c>
      <c r="B1895" s="1" t="s">
        <v>2090</v>
      </c>
      <c r="D1895" s="1" t="s">
        <v>2536</v>
      </c>
      <c r="E1895" s="1" t="s">
        <v>2294</v>
      </c>
      <c r="F1895" s="3">
        <v>0</v>
      </c>
      <c r="G1895" s="24" t="s">
        <v>5514</v>
      </c>
      <c r="H1895" s="24" t="s">
        <v>5515</v>
      </c>
      <c r="I1895" s="24" t="s">
        <v>3265</v>
      </c>
      <c r="J1895" s="24" t="s">
        <v>2920</v>
      </c>
      <c r="K1895" s="3">
        <v>28</v>
      </c>
      <c r="L1895" s="3" t="s">
        <v>6992</v>
      </c>
      <c r="M1895" s="3" t="str">
        <f>HYPERLINK("http://ictvonline.org/taxonomyHistory.asp?taxnode_id=20152411","ICTVonline=20152411")</f>
        <v>ICTVonline=20152411</v>
      </c>
    </row>
    <row r="1896" spans="1:13" x14ac:dyDescent="0.15">
      <c r="A1896" s="1" t="s">
        <v>934</v>
      </c>
      <c r="B1896" s="1" t="s">
        <v>2211</v>
      </c>
      <c r="D1896" s="1" t="s">
        <v>2212</v>
      </c>
      <c r="E1896" s="1" t="s">
        <v>5516</v>
      </c>
      <c r="F1896" s="3">
        <v>1</v>
      </c>
      <c r="I1896" s="24" t="s">
        <v>2965</v>
      </c>
      <c r="J1896" s="24" t="s">
        <v>2924</v>
      </c>
      <c r="K1896" s="3">
        <v>30</v>
      </c>
      <c r="L1896" s="3" t="s">
        <v>6745</v>
      </c>
      <c r="M1896" s="3" t="str">
        <f>HYPERLINK("http://ictvonline.org/taxonomyHistory.asp?taxnode_id=20152418","ICTVonline=20152418")</f>
        <v>ICTVonline=20152418</v>
      </c>
    </row>
    <row r="1897" spans="1:13" x14ac:dyDescent="0.15">
      <c r="A1897" s="1" t="s">
        <v>934</v>
      </c>
      <c r="B1897" s="1" t="s">
        <v>2214</v>
      </c>
      <c r="D1897" s="1" t="s">
        <v>2219</v>
      </c>
      <c r="E1897" s="1" t="s">
        <v>5517</v>
      </c>
      <c r="F1897" s="3">
        <v>1</v>
      </c>
      <c r="I1897" s="24" t="s">
        <v>3286</v>
      </c>
      <c r="J1897" s="24" t="s">
        <v>2924</v>
      </c>
      <c r="K1897" s="3">
        <v>30</v>
      </c>
      <c r="L1897" s="3" t="s">
        <v>6745</v>
      </c>
      <c r="M1897" s="3" t="str">
        <f>HYPERLINK("http://ictvonline.org/taxonomyHistory.asp?taxnode_id=20152422","ICTVonline=20152422")</f>
        <v>ICTVonline=20152422</v>
      </c>
    </row>
    <row r="1898" spans="1:13" x14ac:dyDescent="0.15">
      <c r="A1898" s="1" t="s">
        <v>934</v>
      </c>
      <c r="B1898" s="1" t="s">
        <v>1749</v>
      </c>
      <c r="D1898" s="1" t="s">
        <v>1750</v>
      </c>
      <c r="E1898" s="1" t="s">
        <v>5518</v>
      </c>
      <c r="F1898" s="3">
        <v>0</v>
      </c>
      <c r="G1898" s="24" t="s">
        <v>7571</v>
      </c>
      <c r="H1898" s="24" t="s">
        <v>5519</v>
      </c>
      <c r="I1898" s="24" t="s">
        <v>3286</v>
      </c>
      <c r="J1898" s="24" t="s">
        <v>2919</v>
      </c>
      <c r="K1898" s="3">
        <v>30</v>
      </c>
      <c r="L1898" s="3" t="s">
        <v>6993</v>
      </c>
      <c r="M1898" s="3" t="str">
        <f>HYPERLINK("http://ictvonline.org/taxonomyHistory.asp?taxnode_id=20152434","ICTVonline=20152434")</f>
        <v>ICTVonline=20152434</v>
      </c>
    </row>
    <row r="1899" spans="1:13" x14ac:dyDescent="0.15">
      <c r="A1899" s="1" t="s">
        <v>934</v>
      </c>
      <c r="B1899" s="1" t="s">
        <v>1749</v>
      </c>
      <c r="D1899" s="1" t="s">
        <v>1750</v>
      </c>
      <c r="E1899" s="1" t="s">
        <v>2376</v>
      </c>
      <c r="F1899" s="3">
        <v>0</v>
      </c>
      <c r="G1899" s="24" t="s">
        <v>5520</v>
      </c>
      <c r="H1899" s="24" t="s">
        <v>5521</v>
      </c>
      <c r="I1899" s="24" t="s">
        <v>3286</v>
      </c>
      <c r="J1899" s="24" t="s">
        <v>2919</v>
      </c>
      <c r="K1899" s="3">
        <v>27</v>
      </c>
      <c r="L1899" s="3" t="s">
        <v>6994</v>
      </c>
      <c r="M1899" s="3" t="str">
        <f>HYPERLINK("http://ictvonline.org/taxonomyHistory.asp?taxnode_id=20152426","ICTVonline=20152426")</f>
        <v>ICTVonline=20152426</v>
      </c>
    </row>
    <row r="1900" spans="1:13" x14ac:dyDescent="0.15">
      <c r="A1900" s="1" t="s">
        <v>934</v>
      </c>
      <c r="B1900" s="1" t="s">
        <v>1749</v>
      </c>
      <c r="D1900" s="1" t="s">
        <v>1750</v>
      </c>
      <c r="E1900" s="1" t="s">
        <v>300</v>
      </c>
      <c r="F1900" s="3">
        <v>0</v>
      </c>
      <c r="G1900" s="24" t="s">
        <v>5522</v>
      </c>
      <c r="H1900" s="24" t="s">
        <v>5523</v>
      </c>
      <c r="I1900" s="24" t="s">
        <v>3286</v>
      </c>
      <c r="J1900" s="24" t="s">
        <v>2919</v>
      </c>
      <c r="K1900" s="3">
        <v>25</v>
      </c>
      <c r="L1900" s="3" t="s">
        <v>6995</v>
      </c>
      <c r="M1900" s="3" t="str">
        <f>HYPERLINK("http://ictvonline.org/taxonomyHistory.asp?taxnode_id=20152427","ICTVonline=20152427")</f>
        <v>ICTVonline=20152427</v>
      </c>
    </row>
    <row r="1901" spans="1:13" x14ac:dyDescent="0.15">
      <c r="A1901" s="1" t="s">
        <v>934</v>
      </c>
      <c r="B1901" s="1" t="s">
        <v>1749</v>
      </c>
      <c r="D1901" s="1" t="s">
        <v>1750</v>
      </c>
      <c r="E1901" s="1" t="s">
        <v>1751</v>
      </c>
      <c r="F1901" s="3">
        <v>0</v>
      </c>
      <c r="G1901" s="24" t="s">
        <v>5524</v>
      </c>
      <c r="H1901" s="24" t="s">
        <v>5525</v>
      </c>
      <c r="I1901" s="24" t="s">
        <v>3286</v>
      </c>
      <c r="J1901" s="24" t="s">
        <v>2920</v>
      </c>
      <c r="K1901" s="3">
        <v>24</v>
      </c>
      <c r="L1901" s="3" t="s">
        <v>6996</v>
      </c>
      <c r="M1901" s="3" t="str">
        <f>HYPERLINK("http://ictvonline.org/taxonomyHistory.asp?taxnode_id=20152428","ICTVonline=20152428")</f>
        <v>ICTVonline=20152428</v>
      </c>
    </row>
    <row r="1902" spans="1:13" x14ac:dyDescent="0.15">
      <c r="A1902" s="1" t="s">
        <v>934</v>
      </c>
      <c r="B1902" s="1" t="s">
        <v>1749</v>
      </c>
      <c r="D1902" s="1" t="s">
        <v>1750</v>
      </c>
      <c r="E1902" s="1" t="s">
        <v>1752</v>
      </c>
      <c r="F1902" s="3">
        <v>0</v>
      </c>
      <c r="G1902" s="24" t="s">
        <v>5526</v>
      </c>
      <c r="H1902" s="24" t="s">
        <v>5527</v>
      </c>
      <c r="I1902" s="24" t="s">
        <v>3286</v>
      </c>
      <c r="J1902" s="24" t="s">
        <v>2920</v>
      </c>
      <c r="K1902" s="3">
        <v>24</v>
      </c>
      <c r="L1902" s="3" t="s">
        <v>6996</v>
      </c>
      <c r="M1902" s="3" t="str">
        <f>HYPERLINK("http://ictvonline.org/taxonomyHistory.asp?taxnode_id=20152429","ICTVonline=20152429")</f>
        <v>ICTVonline=20152429</v>
      </c>
    </row>
    <row r="1903" spans="1:13" x14ac:dyDescent="0.15">
      <c r="A1903" s="1" t="s">
        <v>934</v>
      </c>
      <c r="B1903" s="1" t="s">
        <v>1749</v>
      </c>
      <c r="D1903" s="1" t="s">
        <v>1750</v>
      </c>
      <c r="E1903" s="1" t="s">
        <v>5528</v>
      </c>
      <c r="F1903" s="3">
        <v>0</v>
      </c>
      <c r="G1903" s="24" t="s">
        <v>7572</v>
      </c>
      <c r="H1903" s="24" t="s">
        <v>5529</v>
      </c>
      <c r="I1903" s="24" t="s">
        <v>3286</v>
      </c>
      <c r="J1903" s="24" t="s">
        <v>2919</v>
      </c>
      <c r="K1903" s="3">
        <v>30</v>
      </c>
      <c r="L1903" s="3" t="s">
        <v>6997</v>
      </c>
      <c r="M1903" s="3" t="str">
        <f>HYPERLINK("http://ictvonline.org/taxonomyHistory.asp?taxnode_id=20152435","ICTVonline=20152435")</f>
        <v>ICTVonline=20152435</v>
      </c>
    </row>
    <row r="1904" spans="1:13" x14ac:dyDescent="0.15">
      <c r="A1904" s="1" t="s">
        <v>934</v>
      </c>
      <c r="B1904" s="1" t="s">
        <v>1749</v>
      </c>
      <c r="D1904" s="1" t="s">
        <v>1750</v>
      </c>
      <c r="E1904" s="1" t="s">
        <v>2538</v>
      </c>
      <c r="F1904" s="3">
        <v>0</v>
      </c>
      <c r="G1904" s="24" t="s">
        <v>5530</v>
      </c>
      <c r="H1904" s="24" t="s">
        <v>5531</v>
      </c>
      <c r="I1904" s="24" t="s">
        <v>3286</v>
      </c>
      <c r="J1904" s="24" t="s">
        <v>2924</v>
      </c>
      <c r="K1904" s="3">
        <v>28</v>
      </c>
      <c r="L1904" s="3" t="s">
        <v>6998</v>
      </c>
      <c r="M1904" s="3" t="str">
        <f>HYPERLINK("http://ictvonline.org/taxonomyHistory.asp?taxnode_id=20152430","ICTVonline=20152430")</f>
        <v>ICTVonline=20152430</v>
      </c>
    </row>
    <row r="1905" spans="1:13" x14ac:dyDescent="0.15">
      <c r="A1905" s="1" t="s">
        <v>934</v>
      </c>
      <c r="B1905" s="1" t="s">
        <v>1749</v>
      </c>
      <c r="D1905" s="1" t="s">
        <v>1750</v>
      </c>
      <c r="E1905" s="1" t="s">
        <v>2539</v>
      </c>
      <c r="F1905" s="3">
        <v>0</v>
      </c>
      <c r="G1905" s="24" t="s">
        <v>5532</v>
      </c>
      <c r="H1905" s="24" t="s">
        <v>5531</v>
      </c>
      <c r="I1905" s="24" t="s">
        <v>3286</v>
      </c>
      <c r="J1905" s="24" t="s">
        <v>2919</v>
      </c>
      <c r="K1905" s="3">
        <v>28</v>
      </c>
      <c r="L1905" s="3" t="s">
        <v>6998</v>
      </c>
      <c r="M1905" s="3" t="str">
        <f>HYPERLINK("http://ictvonline.org/taxonomyHistory.asp?taxnode_id=20152431","ICTVonline=20152431")</f>
        <v>ICTVonline=20152431</v>
      </c>
    </row>
    <row r="1906" spans="1:13" x14ac:dyDescent="0.15">
      <c r="A1906" s="1" t="s">
        <v>934</v>
      </c>
      <c r="B1906" s="1" t="s">
        <v>1749</v>
      </c>
      <c r="D1906" s="1" t="s">
        <v>1750</v>
      </c>
      <c r="E1906" s="1" t="s">
        <v>301</v>
      </c>
      <c r="F1906" s="3">
        <v>0</v>
      </c>
      <c r="G1906" s="24" t="s">
        <v>5533</v>
      </c>
      <c r="H1906" s="24" t="s">
        <v>5534</v>
      </c>
      <c r="I1906" s="24" t="s">
        <v>3286</v>
      </c>
      <c r="J1906" s="24" t="s">
        <v>2919</v>
      </c>
      <c r="K1906" s="3">
        <v>25</v>
      </c>
      <c r="L1906" s="3" t="s">
        <v>6995</v>
      </c>
      <c r="M1906" s="3" t="str">
        <f>HYPERLINK("http://ictvonline.org/taxonomyHistory.asp?taxnode_id=20152432","ICTVonline=20152432")</f>
        <v>ICTVonline=20152432</v>
      </c>
    </row>
    <row r="1907" spans="1:13" x14ac:dyDescent="0.15">
      <c r="A1907" s="1" t="s">
        <v>934</v>
      </c>
      <c r="B1907" s="1" t="s">
        <v>1749</v>
      </c>
      <c r="D1907" s="1" t="s">
        <v>1750</v>
      </c>
      <c r="E1907" s="1" t="s">
        <v>5535</v>
      </c>
      <c r="F1907" s="3">
        <v>0</v>
      </c>
      <c r="G1907" s="24" t="s">
        <v>7573</v>
      </c>
      <c r="H1907" s="24" t="s">
        <v>6734</v>
      </c>
      <c r="I1907" s="24" t="s">
        <v>3286</v>
      </c>
      <c r="J1907" s="24" t="s">
        <v>2919</v>
      </c>
      <c r="K1907" s="3">
        <v>30</v>
      </c>
      <c r="L1907" s="3" t="s">
        <v>6999</v>
      </c>
      <c r="M1907" s="3" t="str">
        <f>HYPERLINK("http://ictvonline.org/taxonomyHistory.asp?taxnode_id=20152437","ICTVonline=20152437")</f>
        <v>ICTVonline=20152437</v>
      </c>
    </row>
    <row r="1908" spans="1:13" x14ac:dyDescent="0.15">
      <c r="A1908" s="1" t="s">
        <v>934</v>
      </c>
      <c r="B1908" s="1" t="s">
        <v>1749</v>
      </c>
      <c r="D1908" s="1" t="s">
        <v>1750</v>
      </c>
      <c r="E1908" s="1" t="s">
        <v>1753</v>
      </c>
      <c r="F1908" s="3">
        <v>1</v>
      </c>
      <c r="G1908" s="24" t="s">
        <v>5536</v>
      </c>
      <c r="H1908" s="24" t="s">
        <v>7574</v>
      </c>
      <c r="I1908" s="24" t="s">
        <v>3286</v>
      </c>
      <c r="J1908" s="24" t="s">
        <v>2920</v>
      </c>
      <c r="K1908" s="3">
        <v>24</v>
      </c>
      <c r="L1908" s="3" t="s">
        <v>6996</v>
      </c>
      <c r="M1908" s="3" t="str">
        <f>HYPERLINK("http://ictvonline.org/taxonomyHistory.asp?taxnode_id=20152433","ICTVonline=20152433")</f>
        <v>ICTVonline=20152433</v>
      </c>
    </row>
    <row r="1909" spans="1:13" x14ac:dyDescent="0.15">
      <c r="A1909" s="1" t="s">
        <v>934</v>
      </c>
      <c r="B1909" s="1" t="s">
        <v>1749</v>
      </c>
      <c r="D1909" s="1" t="s">
        <v>1750</v>
      </c>
      <c r="E1909" s="1" t="s">
        <v>5537</v>
      </c>
      <c r="F1909" s="3">
        <v>0</v>
      </c>
      <c r="G1909" s="24" t="s">
        <v>7575</v>
      </c>
      <c r="H1909" s="24" t="s">
        <v>5538</v>
      </c>
      <c r="I1909" s="24" t="s">
        <v>3286</v>
      </c>
      <c r="J1909" s="24" t="s">
        <v>2919</v>
      </c>
      <c r="K1909" s="3">
        <v>30</v>
      </c>
      <c r="L1909" s="3" t="s">
        <v>7000</v>
      </c>
      <c r="M1909" s="3" t="str">
        <f>HYPERLINK("http://ictvonline.org/taxonomyHistory.asp?taxnode_id=20152436","ICTVonline=20152436")</f>
        <v>ICTVonline=20152436</v>
      </c>
    </row>
    <row r="1910" spans="1:13" x14ac:dyDescent="0.15">
      <c r="A1910" s="1" t="s">
        <v>934</v>
      </c>
      <c r="B1910" s="1" t="s">
        <v>1176</v>
      </c>
      <c r="D1910" s="1" t="s">
        <v>1177</v>
      </c>
      <c r="E1910" s="1" t="s">
        <v>1178</v>
      </c>
      <c r="F1910" s="3">
        <v>0</v>
      </c>
      <c r="I1910" s="24" t="s">
        <v>3265</v>
      </c>
      <c r="J1910" s="24" t="s">
        <v>2920</v>
      </c>
      <c r="K1910" s="3">
        <v>9</v>
      </c>
      <c r="L1910" s="3" t="s">
        <v>2944</v>
      </c>
      <c r="M1910" s="3" t="str">
        <f>HYPERLINK("http://ictvonline.org/taxonomyHistory.asp?taxnode_id=20152441","ICTVonline=20152441")</f>
        <v>ICTVonline=20152441</v>
      </c>
    </row>
    <row r="1911" spans="1:13" x14ac:dyDescent="0.15">
      <c r="A1911" s="1" t="s">
        <v>934</v>
      </c>
      <c r="B1911" s="1" t="s">
        <v>1176</v>
      </c>
      <c r="D1911" s="1" t="s">
        <v>1177</v>
      </c>
      <c r="E1911" s="1" t="s">
        <v>1179</v>
      </c>
      <c r="F1911" s="3">
        <v>0</v>
      </c>
      <c r="I1911" s="24" t="s">
        <v>3265</v>
      </c>
      <c r="J1911" s="24" t="s">
        <v>2919</v>
      </c>
      <c r="K1911" s="3">
        <v>18</v>
      </c>
      <c r="L1911" s="3" t="s">
        <v>2929</v>
      </c>
      <c r="M1911" s="3" t="str">
        <f>HYPERLINK("http://ictvonline.org/taxonomyHistory.asp?taxnode_id=20152442","ICTVonline=20152442")</f>
        <v>ICTVonline=20152442</v>
      </c>
    </row>
    <row r="1912" spans="1:13" x14ac:dyDescent="0.15">
      <c r="A1912" s="1" t="s">
        <v>934</v>
      </c>
      <c r="B1912" s="1" t="s">
        <v>1176</v>
      </c>
      <c r="D1912" s="1" t="s">
        <v>1177</v>
      </c>
      <c r="E1912" s="1" t="s">
        <v>1180</v>
      </c>
      <c r="F1912" s="3">
        <v>0</v>
      </c>
      <c r="I1912" s="24" t="s">
        <v>3265</v>
      </c>
      <c r="J1912" s="24" t="s">
        <v>2920</v>
      </c>
      <c r="K1912" s="3">
        <v>9</v>
      </c>
      <c r="L1912" s="3" t="s">
        <v>2944</v>
      </c>
      <c r="M1912" s="3" t="str">
        <f>HYPERLINK("http://ictvonline.org/taxonomyHistory.asp?taxnode_id=20152443","ICTVonline=20152443")</f>
        <v>ICTVonline=20152443</v>
      </c>
    </row>
    <row r="1913" spans="1:13" x14ac:dyDescent="0.15">
      <c r="A1913" s="1" t="s">
        <v>934</v>
      </c>
      <c r="B1913" s="1" t="s">
        <v>1176</v>
      </c>
      <c r="D1913" s="1" t="s">
        <v>1177</v>
      </c>
      <c r="E1913" s="1" t="s">
        <v>1181</v>
      </c>
      <c r="F1913" s="3">
        <v>0</v>
      </c>
      <c r="I1913" s="24" t="s">
        <v>3265</v>
      </c>
      <c r="J1913" s="24" t="s">
        <v>2920</v>
      </c>
      <c r="K1913" s="3">
        <v>9</v>
      </c>
      <c r="L1913" s="3" t="s">
        <v>2944</v>
      </c>
      <c r="M1913" s="3" t="str">
        <f>HYPERLINK("http://ictvonline.org/taxonomyHistory.asp?taxnode_id=20152444","ICTVonline=20152444")</f>
        <v>ICTVonline=20152444</v>
      </c>
    </row>
    <row r="1914" spans="1:13" x14ac:dyDescent="0.15">
      <c r="A1914" s="1" t="s">
        <v>934</v>
      </c>
      <c r="B1914" s="1" t="s">
        <v>1176</v>
      </c>
      <c r="D1914" s="1" t="s">
        <v>1177</v>
      </c>
      <c r="E1914" s="1" t="s">
        <v>1182</v>
      </c>
      <c r="F1914" s="3">
        <v>0</v>
      </c>
      <c r="I1914" s="24" t="s">
        <v>3265</v>
      </c>
      <c r="J1914" s="24" t="s">
        <v>2920</v>
      </c>
      <c r="K1914" s="3">
        <v>9</v>
      </c>
      <c r="L1914" s="3" t="s">
        <v>2944</v>
      </c>
      <c r="M1914" s="3" t="str">
        <f>HYPERLINK("http://ictvonline.org/taxonomyHistory.asp?taxnode_id=20152445","ICTVonline=20152445")</f>
        <v>ICTVonline=20152445</v>
      </c>
    </row>
    <row r="1915" spans="1:13" x14ac:dyDescent="0.15">
      <c r="A1915" s="1" t="s">
        <v>934</v>
      </c>
      <c r="B1915" s="1" t="s">
        <v>1176</v>
      </c>
      <c r="D1915" s="1" t="s">
        <v>1177</v>
      </c>
      <c r="E1915" s="1" t="s">
        <v>1183</v>
      </c>
      <c r="F1915" s="3">
        <v>0</v>
      </c>
      <c r="I1915" s="24" t="s">
        <v>3265</v>
      </c>
      <c r="J1915" s="24" t="s">
        <v>2920</v>
      </c>
      <c r="K1915" s="3">
        <v>9</v>
      </c>
      <c r="L1915" s="3" t="s">
        <v>2944</v>
      </c>
      <c r="M1915" s="3" t="str">
        <f>HYPERLINK("http://ictvonline.org/taxonomyHistory.asp?taxnode_id=20152446","ICTVonline=20152446")</f>
        <v>ICTVonline=20152446</v>
      </c>
    </row>
    <row r="1916" spans="1:13" x14ac:dyDescent="0.15">
      <c r="A1916" s="1" t="s">
        <v>934</v>
      </c>
      <c r="B1916" s="1" t="s">
        <v>1176</v>
      </c>
      <c r="D1916" s="1" t="s">
        <v>1177</v>
      </c>
      <c r="E1916" s="1" t="s">
        <v>1758</v>
      </c>
      <c r="F1916" s="3">
        <v>0</v>
      </c>
      <c r="I1916" s="24" t="s">
        <v>3265</v>
      </c>
      <c r="J1916" s="24" t="s">
        <v>2919</v>
      </c>
      <c r="K1916" s="3">
        <v>18</v>
      </c>
      <c r="L1916" s="3" t="s">
        <v>2929</v>
      </c>
      <c r="M1916" s="3" t="str">
        <f>HYPERLINK("http://ictvonline.org/taxonomyHistory.asp?taxnode_id=20152447","ICTVonline=20152447")</f>
        <v>ICTVonline=20152447</v>
      </c>
    </row>
    <row r="1917" spans="1:13" x14ac:dyDescent="0.15">
      <c r="A1917" s="1" t="s">
        <v>934</v>
      </c>
      <c r="B1917" s="1" t="s">
        <v>1176</v>
      </c>
      <c r="D1917" s="1" t="s">
        <v>1177</v>
      </c>
      <c r="E1917" s="1" t="s">
        <v>1759</v>
      </c>
      <c r="F1917" s="3">
        <v>0</v>
      </c>
      <c r="I1917" s="24" t="s">
        <v>3265</v>
      </c>
      <c r="J1917" s="24" t="s">
        <v>2920</v>
      </c>
      <c r="K1917" s="3">
        <v>9</v>
      </c>
      <c r="L1917" s="3" t="s">
        <v>2944</v>
      </c>
      <c r="M1917" s="3" t="str">
        <f>HYPERLINK("http://ictvonline.org/taxonomyHistory.asp?taxnode_id=20152448","ICTVonline=20152448")</f>
        <v>ICTVonline=20152448</v>
      </c>
    </row>
    <row r="1918" spans="1:13" x14ac:dyDescent="0.15">
      <c r="A1918" s="1" t="s">
        <v>934</v>
      </c>
      <c r="B1918" s="1" t="s">
        <v>1176</v>
      </c>
      <c r="D1918" s="1" t="s">
        <v>1177</v>
      </c>
      <c r="E1918" s="1" t="s">
        <v>1760</v>
      </c>
      <c r="F1918" s="3">
        <v>0</v>
      </c>
      <c r="I1918" s="24" t="s">
        <v>3265</v>
      </c>
      <c r="J1918" s="24" t="s">
        <v>2920</v>
      </c>
      <c r="K1918" s="3">
        <v>9</v>
      </c>
      <c r="L1918" s="3" t="s">
        <v>2944</v>
      </c>
      <c r="M1918" s="3" t="str">
        <f>HYPERLINK("http://ictvonline.org/taxonomyHistory.asp?taxnode_id=20152449","ICTVonline=20152449")</f>
        <v>ICTVonline=20152449</v>
      </c>
    </row>
    <row r="1919" spans="1:13" x14ac:dyDescent="0.15">
      <c r="A1919" s="1" t="s">
        <v>934</v>
      </c>
      <c r="B1919" s="1" t="s">
        <v>1176</v>
      </c>
      <c r="D1919" s="1" t="s">
        <v>1177</v>
      </c>
      <c r="E1919" s="1" t="s">
        <v>1761</v>
      </c>
      <c r="F1919" s="3">
        <v>0</v>
      </c>
      <c r="I1919" s="24" t="s">
        <v>3265</v>
      </c>
      <c r="J1919" s="24" t="s">
        <v>2920</v>
      </c>
      <c r="K1919" s="3">
        <v>9</v>
      </c>
      <c r="L1919" s="3" t="s">
        <v>2944</v>
      </c>
      <c r="M1919" s="3" t="str">
        <f>HYPERLINK("http://ictvonline.org/taxonomyHistory.asp?taxnode_id=20152450","ICTVonline=20152450")</f>
        <v>ICTVonline=20152450</v>
      </c>
    </row>
    <row r="1920" spans="1:13" x14ac:dyDescent="0.15">
      <c r="A1920" s="1" t="s">
        <v>934</v>
      </c>
      <c r="B1920" s="1" t="s">
        <v>1176</v>
      </c>
      <c r="D1920" s="1" t="s">
        <v>1177</v>
      </c>
      <c r="E1920" s="1" t="s">
        <v>1762</v>
      </c>
      <c r="F1920" s="3">
        <v>0</v>
      </c>
      <c r="I1920" s="24" t="s">
        <v>3265</v>
      </c>
      <c r="J1920" s="24" t="s">
        <v>2931</v>
      </c>
      <c r="K1920" s="3">
        <v>18</v>
      </c>
      <c r="L1920" s="3" t="s">
        <v>2929</v>
      </c>
      <c r="M1920" s="3" t="str">
        <f>HYPERLINK("http://ictvonline.org/taxonomyHistory.asp?taxnode_id=20152451","ICTVonline=20152451")</f>
        <v>ICTVonline=20152451</v>
      </c>
    </row>
    <row r="1921" spans="1:13" x14ac:dyDescent="0.15">
      <c r="A1921" s="1" t="s">
        <v>934</v>
      </c>
      <c r="B1921" s="1" t="s">
        <v>1176</v>
      </c>
      <c r="D1921" s="1" t="s">
        <v>1177</v>
      </c>
      <c r="E1921" s="1" t="s">
        <v>1763</v>
      </c>
      <c r="F1921" s="3">
        <v>0</v>
      </c>
      <c r="I1921" s="24" t="s">
        <v>3265</v>
      </c>
      <c r="J1921" s="24" t="s">
        <v>2924</v>
      </c>
      <c r="K1921" s="3">
        <v>12</v>
      </c>
      <c r="L1921" s="3" t="s">
        <v>2927</v>
      </c>
      <c r="M1921" s="3" t="str">
        <f>HYPERLINK("http://ictvonline.org/taxonomyHistory.asp?taxnode_id=20152452","ICTVonline=20152452")</f>
        <v>ICTVonline=20152452</v>
      </c>
    </row>
    <row r="1922" spans="1:13" x14ac:dyDescent="0.15">
      <c r="A1922" s="1" t="s">
        <v>934</v>
      </c>
      <c r="B1922" s="1" t="s">
        <v>1176</v>
      </c>
      <c r="D1922" s="1" t="s">
        <v>1177</v>
      </c>
      <c r="E1922" s="1" t="s">
        <v>1764</v>
      </c>
      <c r="F1922" s="3">
        <v>0</v>
      </c>
      <c r="I1922" s="24" t="s">
        <v>3265</v>
      </c>
      <c r="J1922" s="24" t="s">
        <v>2920</v>
      </c>
      <c r="K1922" s="3">
        <v>9</v>
      </c>
      <c r="L1922" s="3" t="s">
        <v>2944</v>
      </c>
      <c r="M1922" s="3" t="str">
        <f>HYPERLINK("http://ictvonline.org/taxonomyHistory.asp?taxnode_id=20152453","ICTVonline=20152453")</f>
        <v>ICTVonline=20152453</v>
      </c>
    </row>
    <row r="1923" spans="1:13" x14ac:dyDescent="0.15">
      <c r="A1923" s="1" t="s">
        <v>934</v>
      </c>
      <c r="B1923" s="1" t="s">
        <v>1176</v>
      </c>
      <c r="D1923" s="1" t="s">
        <v>1177</v>
      </c>
      <c r="E1923" s="1" t="s">
        <v>1765</v>
      </c>
      <c r="F1923" s="3">
        <v>0</v>
      </c>
      <c r="I1923" s="24" t="s">
        <v>3265</v>
      </c>
      <c r="J1923" s="24" t="s">
        <v>2919</v>
      </c>
      <c r="K1923" s="3">
        <v>18</v>
      </c>
      <c r="L1923" s="3" t="s">
        <v>2929</v>
      </c>
      <c r="M1923" s="3" t="str">
        <f>HYPERLINK("http://ictvonline.org/taxonomyHistory.asp?taxnode_id=20152454","ICTVonline=20152454")</f>
        <v>ICTVonline=20152454</v>
      </c>
    </row>
    <row r="1924" spans="1:13" x14ac:dyDescent="0.15">
      <c r="A1924" s="1" t="s">
        <v>934</v>
      </c>
      <c r="B1924" s="1" t="s">
        <v>1176</v>
      </c>
      <c r="D1924" s="1" t="s">
        <v>1177</v>
      </c>
      <c r="E1924" s="1" t="s">
        <v>1766</v>
      </c>
      <c r="F1924" s="3">
        <v>0</v>
      </c>
      <c r="I1924" s="24" t="s">
        <v>3265</v>
      </c>
      <c r="J1924" s="24" t="s">
        <v>2919</v>
      </c>
      <c r="K1924" s="3">
        <v>18</v>
      </c>
      <c r="L1924" s="3" t="s">
        <v>2929</v>
      </c>
      <c r="M1924" s="3" t="str">
        <f>HYPERLINK("http://ictvonline.org/taxonomyHistory.asp?taxnode_id=20152455","ICTVonline=20152455")</f>
        <v>ICTVonline=20152455</v>
      </c>
    </row>
    <row r="1925" spans="1:13" x14ac:dyDescent="0.15">
      <c r="A1925" s="1" t="s">
        <v>934</v>
      </c>
      <c r="B1925" s="1" t="s">
        <v>1176</v>
      </c>
      <c r="D1925" s="1" t="s">
        <v>1177</v>
      </c>
      <c r="E1925" s="1" t="s">
        <v>1767</v>
      </c>
      <c r="F1925" s="3">
        <v>0</v>
      </c>
      <c r="I1925" s="24" t="s">
        <v>3265</v>
      </c>
      <c r="J1925" s="24" t="s">
        <v>2924</v>
      </c>
      <c r="K1925" s="3">
        <v>18</v>
      </c>
      <c r="L1925" s="3" t="s">
        <v>2929</v>
      </c>
      <c r="M1925" s="3" t="str">
        <f>HYPERLINK("http://ictvonline.org/taxonomyHistory.asp?taxnode_id=20152456","ICTVonline=20152456")</f>
        <v>ICTVonline=20152456</v>
      </c>
    </row>
    <row r="1926" spans="1:13" x14ac:dyDescent="0.15">
      <c r="A1926" s="1" t="s">
        <v>934</v>
      </c>
      <c r="B1926" s="1" t="s">
        <v>1176</v>
      </c>
      <c r="D1926" s="1" t="s">
        <v>1177</v>
      </c>
      <c r="E1926" s="1" t="s">
        <v>1768</v>
      </c>
      <c r="F1926" s="3">
        <v>0</v>
      </c>
      <c r="I1926" s="24" t="s">
        <v>3265</v>
      </c>
      <c r="J1926" s="24" t="s">
        <v>2920</v>
      </c>
      <c r="K1926" s="3">
        <v>9</v>
      </c>
      <c r="L1926" s="3" t="s">
        <v>2944</v>
      </c>
      <c r="M1926" s="3" t="str">
        <f>HYPERLINK("http://ictvonline.org/taxonomyHistory.asp?taxnode_id=20152457","ICTVonline=20152457")</f>
        <v>ICTVonline=20152457</v>
      </c>
    </row>
    <row r="1927" spans="1:13" x14ac:dyDescent="0.15">
      <c r="A1927" s="1" t="s">
        <v>934</v>
      </c>
      <c r="B1927" s="1" t="s">
        <v>1176</v>
      </c>
      <c r="D1927" s="1" t="s">
        <v>1177</v>
      </c>
      <c r="E1927" s="1" t="s">
        <v>1769</v>
      </c>
      <c r="F1927" s="3">
        <v>0</v>
      </c>
      <c r="I1927" s="24" t="s">
        <v>3265</v>
      </c>
      <c r="J1927" s="24" t="s">
        <v>2919</v>
      </c>
      <c r="K1927" s="3">
        <v>18</v>
      </c>
      <c r="L1927" s="3" t="s">
        <v>2929</v>
      </c>
      <c r="M1927" s="3" t="str">
        <f>HYPERLINK("http://ictvonline.org/taxonomyHistory.asp?taxnode_id=20152458","ICTVonline=20152458")</f>
        <v>ICTVonline=20152458</v>
      </c>
    </row>
    <row r="1928" spans="1:13" x14ac:dyDescent="0.15">
      <c r="A1928" s="1" t="s">
        <v>934</v>
      </c>
      <c r="B1928" s="1" t="s">
        <v>1176</v>
      </c>
      <c r="D1928" s="1" t="s">
        <v>1177</v>
      </c>
      <c r="E1928" s="1" t="s">
        <v>1770</v>
      </c>
      <c r="F1928" s="3">
        <v>0</v>
      </c>
      <c r="I1928" s="24" t="s">
        <v>3265</v>
      </c>
      <c r="J1928" s="24" t="s">
        <v>2920</v>
      </c>
      <c r="K1928" s="3">
        <v>9</v>
      </c>
      <c r="L1928" s="3" t="s">
        <v>2944</v>
      </c>
      <c r="M1928" s="3" t="str">
        <f>HYPERLINK("http://ictvonline.org/taxonomyHistory.asp?taxnode_id=20152459","ICTVonline=20152459")</f>
        <v>ICTVonline=20152459</v>
      </c>
    </row>
    <row r="1929" spans="1:13" x14ac:dyDescent="0.15">
      <c r="A1929" s="1" t="s">
        <v>934</v>
      </c>
      <c r="B1929" s="1" t="s">
        <v>1176</v>
      </c>
      <c r="D1929" s="1" t="s">
        <v>1177</v>
      </c>
      <c r="E1929" s="1" t="s">
        <v>1771</v>
      </c>
      <c r="F1929" s="3">
        <v>0</v>
      </c>
      <c r="I1929" s="24" t="s">
        <v>3265</v>
      </c>
      <c r="J1929" s="24" t="s">
        <v>2919</v>
      </c>
      <c r="K1929" s="3">
        <v>18</v>
      </c>
      <c r="L1929" s="3" t="s">
        <v>2929</v>
      </c>
      <c r="M1929" s="3" t="str">
        <f>HYPERLINK("http://ictvonline.org/taxonomyHistory.asp?taxnode_id=20152460","ICTVonline=20152460")</f>
        <v>ICTVonline=20152460</v>
      </c>
    </row>
    <row r="1930" spans="1:13" x14ac:dyDescent="0.15">
      <c r="A1930" s="1" t="s">
        <v>934</v>
      </c>
      <c r="B1930" s="1" t="s">
        <v>1176</v>
      </c>
      <c r="D1930" s="1" t="s">
        <v>1177</v>
      </c>
      <c r="E1930" s="1" t="s">
        <v>1772</v>
      </c>
      <c r="F1930" s="3">
        <v>0</v>
      </c>
      <c r="I1930" s="24" t="s">
        <v>3265</v>
      </c>
      <c r="J1930" s="24" t="s">
        <v>2919</v>
      </c>
      <c r="K1930" s="3">
        <v>18</v>
      </c>
      <c r="L1930" s="3" t="s">
        <v>2929</v>
      </c>
      <c r="M1930" s="3" t="str">
        <f>HYPERLINK("http://ictvonline.org/taxonomyHistory.asp?taxnode_id=20152461","ICTVonline=20152461")</f>
        <v>ICTVonline=20152461</v>
      </c>
    </row>
    <row r="1931" spans="1:13" x14ac:dyDescent="0.15">
      <c r="A1931" s="1" t="s">
        <v>934</v>
      </c>
      <c r="B1931" s="1" t="s">
        <v>1176</v>
      </c>
      <c r="D1931" s="1" t="s">
        <v>1177</v>
      </c>
      <c r="E1931" s="1" t="s">
        <v>1773</v>
      </c>
      <c r="F1931" s="3">
        <v>0</v>
      </c>
      <c r="I1931" s="24" t="s">
        <v>3265</v>
      </c>
      <c r="J1931" s="24" t="s">
        <v>2931</v>
      </c>
      <c r="K1931" s="3">
        <v>18</v>
      </c>
      <c r="L1931" s="3" t="s">
        <v>2929</v>
      </c>
      <c r="M1931" s="3" t="str">
        <f>HYPERLINK("http://ictvonline.org/taxonomyHistory.asp?taxnode_id=20152462","ICTVonline=20152462")</f>
        <v>ICTVonline=20152462</v>
      </c>
    </row>
    <row r="1932" spans="1:13" x14ac:dyDescent="0.15">
      <c r="A1932" s="1" t="s">
        <v>934</v>
      </c>
      <c r="B1932" s="1" t="s">
        <v>1176</v>
      </c>
      <c r="D1932" s="1" t="s">
        <v>1177</v>
      </c>
      <c r="E1932" s="1" t="s">
        <v>1774</v>
      </c>
      <c r="F1932" s="3">
        <v>0</v>
      </c>
      <c r="I1932" s="24" t="s">
        <v>3265</v>
      </c>
      <c r="J1932" s="24" t="s">
        <v>2920</v>
      </c>
      <c r="K1932" s="3">
        <v>9</v>
      </c>
      <c r="L1932" s="3" t="s">
        <v>2944</v>
      </c>
      <c r="M1932" s="3" t="str">
        <f>HYPERLINK("http://ictvonline.org/taxonomyHistory.asp?taxnode_id=20152463","ICTVonline=20152463")</f>
        <v>ICTVonline=20152463</v>
      </c>
    </row>
    <row r="1933" spans="1:13" x14ac:dyDescent="0.15">
      <c r="A1933" s="1" t="s">
        <v>934</v>
      </c>
      <c r="B1933" s="1" t="s">
        <v>1176</v>
      </c>
      <c r="D1933" s="1" t="s">
        <v>1177</v>
      </c>
      <c r="E1933" s="1" t="s">
        <v>1775</v>
      </c>
      <c r="F1933" s="3">
        <v>0</v>
      </c>
      <c r="I1933" s="24" t="s">
        <v>3265</v>
      </c>
      <c r="J1933" s="24" t="s">
        <v>2920</v>
      </c>
      <c r="K1933" s="3">
        <v>9</v>
      </c>
      <c r="L1933" s="3" t="s">
        <v>2944</v>
      </c>
      <c r="M1933" s="3" t="str">
        <f>HYPERLINK("http://ictvonline.org/taxonomyHistory.asp?taxnode_id=20152464","ICTVonline=20152464")</f>
        <v>ICTVonline=20152464</v>
      </c>
    </row>
    <row r="1934" spans="1:13" x14ac:dyDescent="0.15">
      <c r="A1934" s="1" t="s">
        <v>934</v>
      </c>
      <c r="B1934" s="1" t="s">
        <v>1176</v>
      </c>
      <c r="D1934" s="1" t="s">
        <v>1177</v>
      </c>
      <c r="E1934" s="1" t="s">
        <v>1776</v>
      </c>
      <c r="F1934" s="3">
        <v>0</v>
      </c>
      <c r="I1934" s="24" t="s">
        <v>3265</v>
      </c>
      <c r="J1934" s="24" t="s">
        <v>2920</v>
      </c>
      <c r="K1934" s="3">
        <v>9</v>
      </c>
      <c r="L1934" s="3" t="s">
        <v>2944</v>
      </c>
      <c r="M1934" s="3" t="str">
        <f>HYPERLINK("http://ictvonline.org/taxonomyHistory.asp?taxnode_id=20152465","ICTVonline=20152465")</f>
        <v>ICTVonline=20152465</v>
      </c>
    </row>
    <row r="1935" spans="1:13" x14ac:dyDescent="0.15">
      <c r="A1935" s="1" t="s">
        <v>934</v>
      </c>
      <c r="B1935" s="1" t="s">
        <v>1176</v>
      </c>
      <c r="D1935" s="1" t="s">
        <v>1177</v>
      </c>
      <c r="E1935" s="1" t="s">
        <v>1777</v>
      </c>
      <c r="F1935" s="3">
        <v>0</v>
      </c>
      <c r="I1935" s="24" t="s">
        <v>3265</v>
      </c>
      <c r="J1935" s="24" t="s">
        <v>2920</v>
      </c>
      <c r="K1935" s="3">
        <v>9</v>
      </c>
      <c r="L1935" s="3" t="s">
        <v>2944</v>
      </c>
      <c r="M1935" s="3" t="str">
        <f>HYPERLINK("http://ictvonline.org/taxonomyHistory.asp?taxnode_id=20152466","ICTVonline=20152466")</f>
        <v>ICTVonline=20152466</v>
      </c>
    </row>
    <row r="1936" spans="1:13" x14ac:dyDescent="0.15">
      <c r="A1936" s="1" t="s">
        <v>934</v>
      </c>
      <c r="B1936" s="1" t="s">
        <v>1176</v>
      </c>
      <c r="D1936" s="1" t="s">
        <v>1177</v>
      </c>
      <c r="E1936" s="1" t="s">
        <v>1778</v>
      </c>
      <c r="F1936" s="3">
        <v>0</v>
      </c>
      <c r="I1936" s="24" t="s">
        <v>3265</v>
      </c>
      <c r="J1936" s="24" t="s">
        <v>2919</v>
      </c>
      <c r="K1936" s="3">
        <v>12</v>
      </c>
      <c r="L1936" s="3" t="s">
        <v>2927</v>
      </c>
      <c r="M1936" s="3" t="str">
        <f>HYPERLINK("http://ictvonline.org/taxonomyHistory.asp?taxnode_id=20152467","ICTVonline=20152467")</f>
        <v>ICTVonline=20152467</v>
      </c>
    </row>
    <row r="1937" spans="1:13" x14ac:dyDescent="0.15">
      <c r="A1937" s="1" t="s">
        <v>934</v>
      </c>
      <c r="B1937" s="1" t="s">
        <v>1176</v>
      </c>
      <c r="D1937" s="1" t="s">
        <v>1177</v>
      </c>
      <c r="E1937" s="1" t="s">
        <v>1779</v>
      </c>
      <c r="F1937" s="3">
        <v>0</v>
      </c>
      <c r="I1937" s="24" t="s">
        <v>3265</v>
      </c>
      <c r="J1937" s="24" t="s">
        <v>2920</v>
      </c>
      <c r="K1937" s="3">
        <v>9</v>
      </c>
      <c r="L1937" s="3" t="s">
        <v>2944</v>
      </c>
      <c r="M1937" s="3" t="str">
        <f>HYPERLINK("http://ictvonline.org/taxonomyHistory.asp?taxnode_id=20152468","ICTVonline=20152468")</f>
        <v>ICTVonline=20152468</v>
      </c>
    </row>
    <row r="1938" spans="1:13" x14ac:dyDescent="0.15">
      <c r="A1938" s="1" t="s">
        <v>934</v>
      </c>
      <c r="B1938" s="1" t="s">
        <v>1176</v>
      </c>
      <c r="D1938" s="1" t="s">
        <v>1177</v>
      </c>
      <c r="E1938" s="1" t="s">
        <v>2125</v>
      </c>
      <c r="F1938" s="3">
        <v>0</v>
      </c>
      <c r="I1938" s="24" t="s">
        <v>3265</v>
      </c>
      <c r="J1938" s="24" t="s">
        <v>2919</v>
      </c>
      <c r="K1938" s="3">
        <v>18</v>
      </c>
      <c r="L1938" s="3" t="s">
        <v>2929</v>
      </c>
      <c r="M1938" s="3" t="str">
        <f>HYPERLINK("http://ictvonline.org/taxonomyHistory.asp?taxnode_id=20152469","ICTVonline=20152469")</f>
        <v>ICTVonline=20152469</v>
      </c>
    </row>
    <row r="1939" spans="1:13" x14ac:dyDescent="0.15">
      <c r="A1939" s="1" t="s">
        <v>934</v>
      </c>
      <c r="B1939" s="1" t="s">
        <v>1176</v>
      </c>
      <c r="D1939" s="1" t="s">
        <v>1177</v>
      </c>
      <c r="E1939" s="1" t="s">
        <v>1213</v>
      </c>
      <c r="F1939" s="3">
        <v>0</v>
      </c>
      <c r="I1939" s="24" t="s">
        <v>3265</v>
      </c>
      <c r="J1939" s="24" t="s">
        <v>2931</v>
      </c>
      <c r="K1939" s="3">
        <v>18</v>
      </c>
      <c r="L1939" s="3" t="s">
        <v>2929</v>
      </c>
      <c r="M1939" s="3" t="str">
        <f>HYPERLINK("http://ictvonline.org/taxonomyHistory.asp?taxnode_id=20152470","ICTVonline=20152470")</f>
        <v>ICTVonline=20152470</v>
      </c>
    </row>
    <row r="1940" spans="1:13" x14ac:dyDescent="0.15">
      <c r="A1940" s="1" t="s">
        <v>934</v>
      </c>
      <c r="B1940" s="1" t="s">
        <v>1176</v>
      </c>
      <c r="D1940" s="1" t="s">
        <v>1177</v>
      </c>
      <c r="E1940" s="1" t="s">
        <v>1214</v>
      </c>
      <c r="F1940" s="3">
        <v>0</v>
      </c>
      <c r="I1940" s="24" t="s">
        <v>3265</v>
      </c>
      <c r="J1940" s="24" t="s">
        <v>2920</v>
      </c>
      <c r="K1940" s="3">
        <v>9</v>
      </c>
      <c r="L1940" s="3" t="s">
        <v>2944</v>
      </c>
      <c r="M1940" s="3" t="str">
        <f>HYPERLINK("http://ictvonline.org/taxonomyHistory.asp?taxnode_id=20152471","ICTVonline=20152471")</f>
        <v>ICTVonline=20152471</v>
      </c>
    </row>
    <row r="1941" spans="1:13" x14ac:dyDescent="0.15">
      <c r="A1941" s="1" t="s">
        <v>934</v>
      </c>
      <c r="B1941" s="1" t="s">
        <v>1176</v>
      </c>
      <c r="D1941" s="1" t="s">
        <v>1177</v>
      </c>
      <c r="E1941" s="1" t="s">
        <v>1215</v>
      </c>
      <c r="F1941" s="3">
        <v>0</v>
      </c>
      <c r="I1941" s="24" t="s">
        <v>3265</v>
      </c>
      <c r="J1941" s="24" t="s">
        <v>2920</v>
      </c>
      <c r="K1941" s="3">
        <v>9</v>
      </c>
      <c r="L1941" s="3" t="s">
        <v>2944</v>
      </c>
      <c r="M1941" s="3" t="str">
        <f>HYPERLINK("http://ictvonline.org/taxonomyHistory.asp?taxnode_id=20152472","ICTVonline=20152472")</f>
        <v>ICTVonline=20152472</v>
      </c>
    </row>
    <row r="1942" spans="1:13" x14ac:dyDescent="0.15">
      <c r="A1942" s="1" t="s">
        <v>934</v>
      </c>
      <c r="B1942" s="1" t="s">
        <v>1176</v>
      </c>
      <c r="D1942" s="1" t="s">
        <v>1177</v>
      </c>
      <c r="E1942" s="1" t="s">
        <v>738</v>
      </c>
      <c r="F1942" s="3">
        <v>0</v>
      </c>
      <c r="I1942" s="24" t="s">
        <v>3265</v>
      </c>
      <c r="J1942" s="24" t="s">
        <v>2920</v>
      </c>
      <c r="K1942" s="3">
        <v>9</v>
      </c>
      <c r="L1942" s="3" t="s">
        <v>2944</v>
      </c>
      <c r="M1942" s="3" t="str">
        <f>HYPERLINK("http://ictvonline.org/taxonomyHistory.asp?taxnode_id=20152473","ICTVonline=20152473")</f>
        <v>ICTVonline=20152473</v>
      </c>
    </row>
    <row r="1943" spans="1:13" x14ac:dyDescent="0.15">
      <c r="A1943" s="1" t="s">
        <v>934</v>
      </c>
      <c r="B1943" s="1" t="s">
        <v>1176</v>
      </c>
      <c r="D1943" s="1" t="s">
        <v>1177</v>
      </c>
      <c r="E1943" s="1" t="s">
        <v>739</v>
      </c>
      <c r="F1943" s="3">
        <v>0</v>
      </c>
      <c r="I1943" s="24" t="s">
        <v>3265</v>
      </c>
      <c r="J1943" s="24" t="s">
        <v>2920</v>
      </c>
      <c r="K1943" s="3">
        <v>9</v>
      </c>
      <c r="L1943" s="3" t="s">
        <v>2944</v>
      </c>
      <c r="M1943" s="3" t="str">
        <f>HYPERLINK("http://ictvonline.org/taxonomyHistory.asp?taxnode_id=20152474","ICTVonline=20152474")</f>
        <v>ICTVonline=20152474</v>
      </c>
    </row>
    <row r="1944" spans="1:13" x14ac:dyDescent="0.15">
      <c r="A1944" s="1" t="s">
        <v>934</v>
      </c>
      <c r="B1944" s="1" t="s">
        <v>1176</v>
      </c>
      <c r="D1944" s="1" t="s">
        <v>1177</v>
      </c>
      <c r="E1944" s="1" t="s">
        <v>740</v>
      </c>
      <c r="F1944" s="3">
        <v>0</v>
      </c>
      <c r="I1944" s="24" t="s">
        <v>3265</v>
      </c>
      <c r="J1944" s="24" t="s">
        <v>2920</v>
      </c>
      <c r="K1944" s="3">
        <v>9</v>
      </c>
      <c r="L1944" s="3" t="s">
        <v>2944</v>
      </c>
      <c r="M1944" s="3" t="str">
        <f>HYPERLINK("http://ictvonline.org/taxonomyHistory.asp?taxnode_id=20152475","ICTVonline=20152475")</f>
        <v>ICTVonline=20152475</v>
      </c>
    </row>
    <row r="1945" spans="1:13" x14ac:dyDescent="0.15">
      <c r="A1945" s="1" t="s">
        <v>934</v>
      </c>
      <c r="B1945" s="1" t="s">
        <v>1176</v>
      </c>
      <c r="D1945" s="1" t="s">
        <v>1177</v>
      </c>
      <c r="E1945" s="1" t="s">
        <v>741</v>
      </c>
      <c r="F1945" s="3">
        <v>0</v>
      </c>
      <c r="I1945" s="24" t="s">
        <v>3265</v>
      </c>
      <c r="J1945" s="24" t="s">
        <v>2931</v>
      </c>
      <c r="K1945" s="3">
        <v>18</v>
      </c>
      <c r="L1945" s="3" t="s">
        <v>2929</v>
      </c>
      <c r="M1945" s="3" t="str">
        <f>HYPERLINK("http://ictvonline.org/taxonomyHistory.asp?taxnode_id=20152476","ICTVonline=20152476")</f>
        <v>ICTVonline=20152476</v>
      </c>
    </row>
    <row r="1946" spans="1:13" x14ac:dyDescent="0.15">
      <c r="A1946" s="1" t="s">
        <v>934</v>
      </c>
      <c r="B1946" s="1" t="s">
        <v>1176</v>
      </c>
      <c r="D1946" s="1" t="s">
        <v>1177</v>
      </c>
      <c r="E1946" s="1" t="s">
        <v>742</v>
      </c>
      <c r="F1946" s="3">
        <v>0</v>
      </c>
      <c r="I1946" s="24" t="s">
        <v>3265</v>
      </c>
      <c r="J1946" s="24" t="s">
        <v>2920</v>
      </c>
      <c r="K1946" s="3">
        <v>9</v>
      </c>
      <c r="L1946" s="3" t="s">
        <v>2944</v>
      </c>
      <c r="M1946" s="3" t="str">
        <f>HYPERLINK("http://ictvonline.org/taxonomyHistory.asp?taxnode_id=20152477","ICTVonline=20152477")</f>
        <v>ICTVonline=20152477</v>
      </c>
    </row>
    <row r="1947" spans="1:13" x14ac:dyDescent="0.15">
      <c r="A1947" s="1" t="s">
        <v>934</v>
      </c>
      <c r="B1947" s="1" t="s">
        <v>1176</v>
      </c>
      <c r="D1947" s="1" t="s">
        <v>1177</v>
      </c>
      <c r="E1947" s="1" t="s">
        <v>743</v>
      </c>
      <c r="F1947" s="3">
        <v>0</v>
      </c>
      <c r="I1947" s="24" t="s">
        <v>3265</v>
      </c>
      <c r="J1947" s="24" t="s">
        <v>2924</v>
      </c>
      <c r="K1947" s="3">
        <v>14</v>
      </c>
      <c r="L1947" s="3" t="s">
        <v>2930</v>
      </c>
      <c r="M1947" s="3" t="str">
        <f>HYPERLINK("http://ictvonline.org/taxonomyHistory.asp?taxnode_id=20152478","ICTVonline=20152478")</f>
        <v>ICTVonline=20152478</v>
      </c>
    </row>
    <row r="1948" spans="1:13" x14ac:dyDescent="0.15">
      <c r="A1948" s="1" t="s">
        <v>934</v>
      </c>
      <c r="B1948" s="1" t="s">
        <v>1176</v>
      </c>
      <c r="D1948" s="1" t="s">
        <v>1177</v>
      </c>
      <c r="E1948" s="1" t="s">
        <v>744</v>
      </c>
      <c r="F1948" s="3">
        <v>0</v>
      </c>
      <c r="I1948" s="24" t="s">
        <v>3265</v>
      </c>
      <c r="J1948" s="24" t="s">
        <v>2919</v>
      </c>
      <c r="K1948" s="3">
        <v>12</v>
      </c>
      <c r="L1948" s="3" t="s">
        <v>2927</v>
      </c>
      <c r="M1948" s="3" t="str">
        <f>HYPERLINK("http://ictvonline.org/taxonomyHistory.asp?taxnode_id=20152479","ICTVonline=20152479")</f>
        <v>ICTVonline=20152479</v>
      </c>
    </row>
    <row r="1949" spans="1:13" x14ac:dyDescent="0.15">
      <c r="A1949" s="1" t="s">
        <v>934</v>
      </c>
      <c r="B1949" s="1" t="s">
        <v>1176</v>
      </c>
      <c r="D1949" s="1" t="s">
        <v>1177</v>
      </c>
      <c r="E1949" s="1" t="s">
        <v>1221</v>
      </c>
      <c r="F1949" s="3">
        <v>0</v>
      </c>
      <c r="I1949" s="24" t="s">
        <v>3265</v>
      </c>
      <c r="J1949" s="24" t="s">
        <v>2920</v>
      </c>
      <c r="K1949" s="3">
        <v>9</v>
      </c>
      <c r="L1949" s="3" t="s">
        <v>2944</v>
      </c>
      <c r="M1949" s="3" t="str">
        <f>HYPERLINK("http://ictvonline.org/taxonomyHistory.asp?taxnode_id=20152480","ICTVonline=20152480")</f>
        <v>ICTVonline=20152480</v>
      </c>
    </row>
    <row r="1950" spans="1:13" x14ac:dyDescent="0.15">
      <c r="A1950" s="1" t="s">
        <v>934</v>
      </c>
      <c r="B1950" s="1" t="s">
        <v>1176</v>
      </c>
      <c r="D1950" s="1" t="s">
        <v>1177</v>
      </c>
      <c r="E1950" s="1" t="s">
        <v>1222</v>
      </c>
      <c r="F1950" s="3">
        <v>0</v>
      </c>
      <c r="I1950" s="24" t="s">
        <v>3265</v>
      </c>
      <c r="J1950" s="24" t="s">
        <v>2919</v>
      </c>
      <c r="K1950" s="3">
        <v>18</v>
      </c>
      <c r="L1950" s="3" t="s">
        <v>2929</v>
      </c>
      <c r="M1950" s="3" t="str">
        <f>HYPERLINK("http://ictvonline.org/taxonomyHistory.asp?taxnode_id=20152481","ICTVonline=20152481")</f>
        <v>ICTVonline=20152481</v>
      </c>
    </row>
    <row r="1951" spans="1:13" x14ac:dyDescent="0.15">
      <c r="A1951" s="1" t="s">
        <v>934</v>
      </c>
      <c r="B1951" s="1" t="s">
        <v>1176</v>
      </c>
      <c r="D1951" s="1" t="s">
        <v>1177</v>
      </c>
      <c r="E1951" s="1" t="s">
        <v>7001</v>
      </c>
      <c r="F1951" s="3">
        <v>0</v>
      </c>
      <c r="I1951" s="24" t="s">
        <v>3265</v>
      </c>
      <c r="J1951" s="24" t="s">
        <v>2924</v>
      </c>
      <c r="K1951" s="3">
        <v>12</v>
      </c>
      <c r="L1951" s="3" t="s">
        <v>2927</v>
      </c>
      <c r="M1951" s="3" t="str">
        <f>HYPERLINK("http://ictvonline.org/taxonomyHistory.asp?taxnode_id=20152482","ICTVonline=20152482")</f>
        <v>ICTVonline=20152482</v>
      </c>
    </row>
    <row r="1952" spans="1:13" x14ac:dyDescent="0.15">
      <c r="A1952" s="1" t="s">
        <v>934</v>
      </c>
      <c r="B1952" s="1" t="s">
        <v>1176</v>
      </c>
      <c r="D1952" s="1" t="s">
        <v>1177</v>
      </c>
      <c r="E1952" s="1" t="s">
        <v>1223</v>
      </c>
      <c r="F1952" s="3">
        <v>0</v>
      </c>
      <c r="I1952" s="24" t="s">
        <v>3265</v>
      </c>
      <c r="J1952" s="24" t="s">
        <v>2920</v>
      </c>
      <c r="K1952" s="3">
        <v>9</v>
      </c>
      <c r="L1952" s="3" t="s">
        <v>2944</v>
      </c>
      <c r="M1952" s="3" t="str">
        <f>HYPERLINK("http://ictvonline.org/taxonomyHistory.asp?taxnode_id=20152483","ICTVonline=20152483")</f>
        <v>ICTVonline=20152483</v>
      </c>
    </row>
    <row r="1953" spans="1:13" x14ac:dyDescent="0.15">
      <c r="A1953" s="1" t="s">
        <v>934</v>
      </c>
      <c r="B1953" s="1" t="s">
        <v>1176</v>
      </c>
      <c r="D1953" s="1" t="s">
        <v>1177</v>
      </c>
      <c r="E1953" s="1" t="s">
        <v>1224</v>
      </c>
      <c r="F1953" s="3">
        <v>0</v>
      </c>
      <c r="I1953" s="24" t="s">
        <v>3265</v>
      </c>
      <c r="J1953" s="24" t="s">
        <v>2920</v>
      </c>
      <c r="K1953" s="3">
        <v>9</v>
      </c>
      <c r="L1953" s="3" t="s">
        <v>2944</v>
      </c>
      <c r="M1953" s="3" t="str">
        <f>HYPERLINK("http://ictvonline.org/taxonomyHistory.asp?taxnode_id=20152484","ICTVonline=20152484")</f>
        <v>ICTVonline=20152484</v>
      </c>
    </row>
    <row r="1954" spans="1:13" x14ac:dyDescent="0.15">
      <c r="A1954" s="1" t="s">
        <v>934</v>
      </c>
      <c r="B1954" s="1" t="s">
        <v>1176</v>
      </c>
      <c r="D1954" s="1" t="s">
        <v>1177</v>
      </c>
      <c r="E1954" s="1" t="s">
        <v>1225</v>
      </c>
      <c r="F1954" s="3">
        <v>0</v>
      </c>
      <c r="I1954" s="24" t="s">
        <v>3265</v>
      </c>
      <c r="J1954" s="24" t="s">
        <v>2920</v>
      </c>
      <c r="K1954" s="3">
        <v>9</v>
      </c>
      <c r="L1954" s="3" t="s">
        <v>2944</v>
      </c>
      <c r="M1954" s="3" t="str">
        <f>HYPERLINK("http://ictvonline.org/taxonomyHistory.asp?taxnode_id=20152485","ICTVonline=20152485")</f>
        <v>ICTVonline=20152485</v>
      </c>
    </row>
    <row r="1955" spans="1:13" x14ac:dyDescent="0.15">
      <c r="A1955" s="1" t="s">
        <v>934</v>
      </c>
      <c r="B1955" s="1" t="s">
        <v>1176</v>
      </c>
      <c r="D1955" s="1" t="s">
        <v>1177</v>
      </c>
      <c r="E1955" s="1" t="s">
        <v>1226</v>
      </c>
      <c r="F1955" s="3">
        <v>0</v>
      </c>
      <c r="I1955" s="24" t="s">
        <v>3265</v>
      </c>
      <c r="J1955" s="24" t="s">
        <v>2920</v>
      </c>
      <c r="K1955" s="3">
        <v>9</v>
      </c>
      <c r="L1955" s="3" t="s">
        <v>2944</v>
      </c>
      <c r="M1955" s="3" t="str">
        <f>HYPERLINK("http://ictvonline.org/taxonomyHistory.asp?taxnode_id=20152486","ICTVonline=20152486")</f>
        <v>ICTVonline=20152486</v>
      </c>
    </row>
    <row r="1956" spans="1:13" x14ac:dyDescent="0.15">
      <c r="A1956" s="1" t="s">
        <v>934</v>
      </c>
      <c r="B1956" s="1" t="s">
        <v>1176</v>
      </c>
      <c r="D1956" s="1" t="s">
        <v>1177</v>
      </c>
      <c r="E1956" s="1" t="s">
        <v>1227</v>
      </c>
      <c r="F1956" s="3">
        <v>0</v>
      </c>
      <c r="I1956" s="24" t="s">
        <v>3265</v>
      </c>
      <c r="J1956" s="24" t="s">
        <v>2920</v>
      </c>
      <c r="K1956" s="3">
        <v>9</v>
      </c>
      <c r="L1956" s="3" t="s">
        <v>2944</v>
      </c>
      <c r="M1956" s="3" t="str">
        <f>HYPERLINK("http://ictvonline.org/taxonomyHistory.asp?taxnode_id=20152487","ICTVonline=20152487")</f>
        <v>ICTVonline=20152487</v>
      </c>
    </row>
    <row r="1957" spans="1:13" x14ac:dyDescent="0.15">
      <c r="A1957" s="1" t="s">
        <v>934</v>
      </c>
      <c r="B1957" s="1" t="s">
        <v>1176</v>
      </c>
      <c r="D1957" s="1" t="s">
        <v>1177</v>
      </c>
      <c r="E1957" s="1" t="s">
        <v>1228</v>
      </c>
      <c r="F1957" s="3">
        <v>0</v>
      </c>
      <c r="I1957" s="24" t="s">
        <v>3265</v>
      </c>
      <c r="J1957" s="24" t="s">
        <v>2919</v>
      </c>
      <c r="K1957" s="3">
        <v>18</v>
      </c>
      <c r="L1957" s="3" t="s">
        <v>2929</v>
      </c>
      <c r="M1957" s="3" t="str">
        <f>HYPERLINK("http://ictvonline.org/taxonomyHistory.asp?taxnode_id=20152488","ICTVonline=20152488")</f>
        <v>ICTVonline=20152488</v>
      </c>
    </row>
    <row r="1958" spans="1:13" x14ac:dyDescent="0.15">
      <c r="A1958" s="1" t="s">
        <v>934</v>
      </c>
      <c r="B1958" s="1" t="s">
        <v>1176</v>
      </c>
      <c r="D1958" s="1" t="s">
        <v>1177</v>
      </c>
      <c r="E1958" s="1" t="s">
        <v>1229</v>
      </c>
      <c r="F1958" s="3">
        <v>0</v>
      </c>
      <c r="I1958" s="24" t="s">
        <v>3265</v>
      </c>
      <c r="J1958" s="24" t="s">
        <v>2931</v>
      </c>
      <c r="K1958" s="3">
        <v>18</v>
      </c>
      <c r="L1958" s="3" t="s">
        <v>2929</v>
      </c>
      <c r="M1958" s="3" t="str">
        <f>HYPERLINK("http://ictvonline.org/taxonomyHistory.asp?taxnode_id=20152489","ICTVonline=20152489")</f>
        <v>ICTVonline=20152489</v>
      </c>
    </row>
    <row r="1959" spans="1:13" x14ac:dyDescent="0.15">
      <c r="A1959" s="1" t="s">
        <v>934</v>
      </c>
      <c r="B1959" s="1" t="s">
        <v>1176</v>
      </c>
      <c r="D1959" s="1" t="s">
        <v>1177</v>
      </c>
      <c r="E1959" s="1" t="s">
        <v>1230</v>
      </c>
      <c r="F1959" s="3">
        <v>0</v>
      </c>
      <c r="I1959" s="24" t="s">
        <v>3265</v>
      </c>
      <c r="J1959" s="24" t="s">
        <v>2919</v>
      </c>
      <c r="K1959" s="3">
        <v>18</v>
      </c>
      <c r="L1959" s="3" t="s">
        <v>2929</v>
      </c>
      <c r="M1959" s="3" t="str">
        <f>HYPERLINK("http://ictvonline.org/taxonomyHistory.asp?taxnode_id=20152490","ICTVonline=20152490")</f>
        <v>ICTVonline=20152490</v>
      </c>
    </row>
    <row r="1960" spans="1:13" x14ac:dyDescent="0.15">
      <c r="A1960" s="1" t="s">
        <v>934</v>
      </c>
      <c r="B1960" s="1" t="s">
        <v>1176</v>
      </c>
      <c r="D1960" s="1" t="s">
        <v>1177</v>
      </c>
      <c r="E1960" s="1" t="s">
        <v>1231</v>
      </c>
      <c r="F1960" s="3">
        <v>1</v>
      </c>
      <c r="I1960" s="24" t="s">
        <v>3265</v>
      </c>
      <c r="J1960" s="24" t="s">
        <v>2920</v>
      </c>
      <c r="K1960" s="3">
        <v>9</v>
      </c>
      <c r="L1960" s="3" t="s">
        <v>2944</v>
      </c>
      <c r="M1960" s="3" t="str">
        <f>HYPERLINK("http://ictvonline.org/taxonomyHistory.asp?taxnode_id=20152491","ICTVonline=20152491")</f>
        <v>ICTVonline=20152491</v>
      </c>
    </row>
    <row r="1961" spans="1:13" x14ac:dyDescent="0.15">
      <c r="A1961" s="1" t="s">
        <v>934</v>
      </c>
      <c r="B1961" s="1" t="s">
        <v>1176</v>
      </c>
      <c r="D1961" s="1" t="s">
        <v>1177</v>
      </c>
      <c r="E1961" s="1" t="s">
        <v>1232</v>
      </c>
      <c r="F1961" s="3">
        <v>0</v>
      </c>
      <c r="I1961" s="24" t="s">
        <v>3265</v>
      </c>
      <c r="J1961" s="24" t="s">
        <v>2924</v>
      </c>
      <c r="K1961" s="3">
        <v>18</v>
      </c>
      <c r="L1961" s="3" t="s">
        <v>2929</v>
      </c>
      <c r="M1961" s="3" t="str">
        <f>HYPERLINK("http://ictvonline.org/taxonomyHistory.asp?taxnode_id=20152492","ICTVonline=20152492")</f>
        <v>ICTVonline=20152492</v>
      </c>
    </row>
    <row r="1962" spans="1:13" x14ac:dyDescent="0.15">
      <c r="A1962" s="1" t="s">
        <v>934</v>
      </c>
      <c r="B1962" s="1" t="s">
        <v>1176</v>
      </c>
      <c r="D1962" s="1" t="s">
        <v>1177</v>
      </c>
      <c r="E1962" s="1" t="s">
        <v>1233</v>
      </c>
      <c r="F1962" s="3">
        <v>0</v>
      </c>
      <c r="I1962" s="24" t="s">
        <v>3265</v>
      </c>
      <c r="J1962" s="24" t="s">
        <v>2919</v>
      </c>
      <c r="K1962" s="3">
        <v>18</v>
      </c>
      <c r="L1962" s="3" t="s">
        <v>2929</v>
      </c>
      <c r="M1962" s="3" t="str">
        <f>HYPERLINK("http://ictvonline.org/taxonomyHistory.asp?taxnode_id=20152493","ICTVonline=20152493")</f>
        <v>ICTVonline=20152493</v>
      </c>
    </row>
    <row r="1963" spans="1:13" x14ac:dyDescent="0.15">
      <c r="A1963" s="1" t="s">
        <v>934</v>
      </c>
      <c r="B1963" s="1" t="s">
        <v>1176</v>
      </c>
      <c r="D1963" s="1" t="s">
        <v>1234</v>
      </c>
      <c r="E1963" s="1" t="s">
        <v>1235</v>
      </c>
      <c r="F1963" s="3">
        <v>1</v>
      </c>
      <c r="I1963" s="24" t="s">
        <v>3265</v>
      </c>
      <c r="J1963" s="24" t="s">
        <v>2920</v>
      </c>
      <c r="K1963" s="3">
        <v>15</v>
      </c>
      <c r="L1963" s="3" t="s">
        <v>2935</v>
      </c>
      <c r="M1963" s="3" t="str">
        <f>HYPERLINK("http://ictvonline.org/taxonomyHistory.asp?taxnode_id=20152495","ICTVonline=20152495")</f>
        <v>ICTVonline=20152495</v>
      </c>
    </row>
    <row r="1964" spans="1:13" x14ac:dyDescent="0.15">
      <c r="A1964" s="1" t="s">
        <v>934</v>
      </c>
      <c r="B1964" s="1" t="s">
        <v>1176</v>
      </c>
      <c r="D1964" s="1" t="s">
        <v>2377</v>
      </c>
      <c r="E1964" s="1" t="s">
        <v>2378</v>
      </c>
      <c r="F1964" s="3">
        <v>1</v>
      </c>
      <c r="I1964" s="24" t="s">
        <v>3265</v>
      </c>
      <c r="J1964" s="24" t="s">
        <v>2921</v>
      </c>
      <c r="K1964" s="3">
        <v>27</v>
      </c>
      <c r="L1964" s="3" t="s">
        <v>7002</v>
      </c>
      <c r="M1964" s="3" t="str">
        <f>HYPERLINK("http://ictvonline.org/taxonomyHistory.asp?taxnode_id=20152497","ICTVonline=20152497")</f>
        <v>ICTVonline=20152497</v>
      </c>
    </row>
    <row r="1965" spans="1:13" x14ac:dyDescent="0.15">
      <c r="A1965" s="1" t="s">
        <v>934</v>
      </c>
      <c r="B1965" s="1" t="s">
        <v>1176</v>
      </c>
      <c r="D1965" s="1" t="s">
        <v>2377</v>
      </c>
      <c r="E1965" s="1" t="s">
        <v>2379</v>
      </c>
      <c r="F1965" s="3">
        <v>0</v>
      </c>
      <c r="I1965" s="24" t="s">
        <v>3265</v>
      </c>
      <c r="J1965" s="24" t="s">
        <v>2919</v>
      </c>
      <c r="K1965" s="3">
        <v>27</v>
      </c>
      <c r="L1965" s="3" t="s">
        <v>7002</v>
      </c>
      <c r="M1965" s="3" t="str">
        <f>HYPERLINK("http://ictvonline.org/taxonomyHistory.asp?taxnode_id=20152498","ICTVonline=20152498")</f>
        <v>ICTVonline=20152498</v>
      </c>
    </row>
    <row r="1966" spans="1:13" x14ac:dyDescent="0.15">
      <c r="A1966" s="1" t="s">
        <v>934</v>
      </c>
      <c r="B1966" s="1" t="s">
        <v>1176</v>
      </c>
      <c r="D1966" s="1" t="s">
        <v>1236</v>
      </c>
      <c r="E1966" s="1" t="s">
        <v>1237</v>
      </c>
      <c r="F1966" s="3">
        <v>0</v>
      </c>
      <c r="I1966" s="24" t="s">
        <v>3265</v>
      </c>
      <c r="J1966" s="24" t="s">
        <v>2920</v>
      </c>
      <c r="K1966" s="3">
        <v>11</v>
      </c>
      <c r="L1966" s="3" t="s">
        <v>2926</v>
      </c>
      <c r="M1966" s="3" t="str">
        <f>HYPERLINK("http://ictvonline.org/taxonomyHistory.asp?taxnode_id=20152500","ICTVonline=20152500")</f>
        <v>ICTVonline=20152500</v>
      </c>
    </row>
    <row r="1967" spans="1:13" x14ac:dyDescent="0.15">
      <c r="A1967" s="1" t="s">
        <v>934</v>
      </c>
      <c r="B1967" s="1" t="s">
        <v>1176</v>
      </c>
      <c r="D1967" s="1" t="s">
        <v>1236</v>
      </c>
      <c r="E1967" s="1" t="s">
        <v>297</v>
      </c>
      <c r="F1967" s="3">
        <v>1</v>
      </c>
      <c r="I1967" s="24" t="s">
        <v>3265</v>
      </c>
      <c r="J1967" s="24" t="s">
        <v>2957</v>
      </c>
      <c r="K1967" s="3">
        <v>18</v>
      </c>
      <c r="L1967" s="3" t="s">
        <v>2929</v>
      </c>
      <c r="M1967" s="3" t="str">
        <f>HYPERLINK("http://ictvonline.org/taxonomyHistory.asp?taxnode_id=20152501","ICTVonline=20152501")</f>
        <v>ICTVonline=20152501</v>
      </c>
    </row>
    <row r="1968" spans="1:13" x14ac:dyDescent="0.15">
      <c r="A1968" s="1" t="s">
        <v>934</v>
      </c>
      <c r="B1968" s="1" t="s">
        <v>1176</v>
      </c>
      <c r="D1968" s="1" t="s">
        <v>1236</v>
      </c>
      <c r="E1968" s="1" t="s">
        <v>421</v>
      </c>
      <c r="F1968" s="3">
        <v>0</v>
      </c>
      <c r="I1968" s="24" t="s">
        <v>3265</v>
      </c>
      <c r="J1968" s="24" t="s">
        <v>2957</v>
      </c>
      <c r="K1968" s="3">
        <v>18</v>
      </c>
      <c r="L1968" s="3" t="s">
        <v>2929</v>
      </c>
      <c r="M1968" s="3" t="str">
        <f>HYPERLINK("http://ictvonline.org/taxonomyHistory.asp?taxnode_id=20152502","ICTVonline=20152502")</f>
        <v>ICTVonline=20152502</v>
      </c>
    </row>
    <row r="1969" spans="1:13" x14ac:dyDescent="0.15">
      <c r="A1969" s="1" t="s">
        <v>934</v>
      </c>
      <c r="B1969" s="1" t="s">
        <v>1176</v>
      </c>
      <c r="D1969" s="1" t="s">
        <v>1236</v>
      </c>
      <c r="E1969" s="1" t="s">
        <v>422</v>
      </c>
      <c r="F1969" s="3">
        <v>0</v>
      </c>
      <c r="I1969" s="24" t="s">
        <v>3265</v>
      </c>
      <c r="J1969" s="24" t="s">
        <v>2924</v>
      </c>
      <c r="K1969" s="3">
        <v>18</v>
      </c>
      <c r="L1969" s="3" t="s">
        <v>2929</v>
      </c>
      <c r="M1969" s="3" t="str">
        <f>HYPERLINK("http://ictvonline.org/taxonomyHistory.asp?taxnode_id=20152503","ICTVonline=20152503")</f>
        <v>ICTVonline=20152503</v>
      </c>
    </row>
    <row r="1970" spans="1:13" x14ac:dyDescent="0.15">
      <c r="A1970" s="1" t="s">
        <v>934</v>
      </c>
      <c r="B1970" s="1" t="s">
        <v>2226</v>
      </c>
      <c r="D1970" s="1" t="s">
        <v>2380</v>
      </c>
      <c r="E1970" s="1" t="s">
        <v>2227</v>
      </c>
      <c r="F1970" s="3">
        <v>1</v>
      </c>
      <c r="G1970" s="24" t="s">
        <v>5539</v>
      </c>
      <c r="I1970" s="24" t="s">
        <v>2965</v>
      </c>
      <c r="J1970" s="24" t="s">
        <v>2920</v>
      </c>
      <c r="K1970" s="3">
        <v>27</v>
      </c>
      <c r="L1970" s="3" t="s">
        <v>7003</v>
      </c>
      <c r="M1970" s="3" t="str">
        <f>HYPERLINK("http://ictvonline.org/taxonomyHistory.asp?taxnode_id=20152507","ICTVonline=20152507")</f>
        <v>ICTVonline=20152507</v>
      </c>
    </row>
    <row r="1971" spans="1:13" x14ac:dyDescent="0.15">
      <c r="A1971" s="1" t="s">
        <v>934</v>
      </c>
      <c r="B1971" s="1" t="s">
        <v>2226</v>
      </c>
      <c r="D1971" s="1" t="s">
        <v>2380</v>
      </c>
      <c r="E1971" s="1" t="s">
        <v>2381</v>
      </c>
      <c r="F1971" s="3">
        <v>0</v>
      </c>
      <c r="G1971" s="24" t="s">
        <v>5540</v>
      </c>
      <c r="I1971" s="24" t="s">
        <v>2965</v>
      </c>
      <c r="J1971" s="24" t="s">
        <v>2919</v>
      </c>
      <c r="K1971" s="3">
        <v>27</v>
      </c>
      <c r="L1971" s="3" t="s">
        <v>7003</v>
      </c>
      <c r="M1971" s="3" t="str">
        <f>HYPERLINK("http://ictvonline.org/taxonomyHistory.asp?taxnode_id=20152508","ICTVonline=20152508")</f>
        <v>ICTVonline=20152508</v>
      </c>
    </row>
    <row r="1972" spans="1:13" x14ac:dyDescent="0.15">
      <c r="A1972" s="1" t="s">
        <v>934</v>
      </c>
      <c r="B1972" s="1" t="s">
        <v>2226</v>
      </c>
      <c r="D1972" s="1" t="s">
        <v>2380</v>
      </c>
      <c r="E1972" s="1" t="s">
        <v>2382</v>
      </c>
      <c r="F1972" s="3">
        <v>0</v>
      </c>
      <c r="G1972" s="24" t="s">
        <v>5541</v>
      </c>
      <c r="I1972" s="24" t="s">
        <v>2965</v>
      </c>
      <c r="J1972" s="24" t="s">
        <v>2919</v>
      </c>
      <c r="K1972" s="3">
        <v>27</v>
      </c>
      <c r="L1972" s="3" t="s">
        <v>7003</v>
      </c>
      <c r="M1972" s="3" t="str">
        <f>HYPERLINK("http://ictvonline.org/taxonomyHistory.asp?taxnode_id=20152509","ICTVonline=20152509")</f>
        <v>ICTVonline=20152509</v>
      </c>
    </row>
    <row r="1973" spans="1:13" x14ac:dyDescent="0.15">
      <c r="A1973" s="1" t="s">
        <v>934</v>
      </c>
      <c r="B1973" s="1" t="s">
        <v>2226</v>
      </c>
      <c r="D1973" s="1" t="s">
        <v>2380</v>
      </c>
      <c r="E1973" s="1" t="s">
        <v>2383</v>
      </c>
      <c r="F1973" s="3">
        <v>0</v>
      </c>
      <c r="G1973" s="24" t="s">
        <v>5542</v>
      </c>
      <c r="I1973" s="24" t="s">
        <v>2965</v>
      </c>
      <c r="J1973" s="24" t="s">
        <v>2919</v>
      </c>
      <c r="K1973" s="3">
        <v>27</v>
      </c>
      <c r="L1973" s="3" t="s">
        <v>7003</v>
      </c>
      <c r="M1973" s="3" t="str">
        <f>HYPERLINK("http://ictvonline.org/taxonomyHistory.asp?taxnode_id=20152510","ICTVonline=20152510")</f>
        <v>ICTVonline=20152510</v>
      </c>
    </row>
    <row r="1974" spans="1:13" x14ac:dyDescent="0.15">
      <c r="A1974" s="1" t="s">
        <v>934</v>
      </c>
      <c r="B1974" s="1" t="s">
        <v>2226</v>
      </c>
      <c r="D1974" s="1" t="s">
        <v>2380</v>
      </c>
      <c r="E1974" s="1" t="s">
        <v>2384</v>
      </c>
      <c r="F1974" s="3">
        <v>0</v>
      </c>
      <c r="G1974" s="24" t="s">
        <v>5543</v>
      </c>
      <c r="I1974" s="24" t="s">
        <v>2965</v>
      </c>
      <c r="J1974" s="24" t="s">
        <v>2919</v>
      </c>
      <c r="K1974" s="3">
        <v>27</v>
      </c>
      <c r="L1974" s="3" t="s">
        <v>7003</v>
      </c>
      <c r="M1974" s="3" t="str">
        <f>HYPERLINK("http://ictvonline.org/taxonomyHistory.asp?taxnode_id=20152511","ICTVonline=20152511")</f>
        <v>ICTVonline=20152511</v>
      </c>
    </row>
    <row r="1975" spans="1:13" x14ac:dyDescent="0.15">
      <c r="A1975" s="1" t="s">
        <v>934</v>
      </c>
      <c r="B1975" s="1" t="s">
        <v>2226</v>
      </c>
      <c r="D1975" s="1" t="s">
        <v>2380</v>
      </c>
      <c r="E1975" s="1" t="s">
        <v>2385</v>
      </c>
      <c r="F1975" s="3">
        <v>0</v>
      </c>
      <c r="G1975" s="24" t="s">
        <v>5544</v>
      </c>
      <c r="I1975" s="24" t="s">
        <v>2965</v>
      </c>
      <c r="J1975" s="24" t="s">
        <v>2919</v>
      </c>
      <c r="K1975" s="3">
        <v>27</v>
      </c>
      <c r="L1975" s="3" t="s">
        <v>7003</v>
      </c>
      <c r="M1975" s="3" t="str">
        <f>HYPERLINK("http://ictvonline.org/taxonomyHistory.asp?taxnode_id=20152512","ICTVonline=20152512")</f>
        <v>ICTVonline=20152512</v>
      </c>
    </row>
    <row r="1976" spans="1:13" x14ac:dyDescent="0.15">
      <c r="A1976" s="1" t="s">
        <v>934</v>
      </c>
      <c r="B1976" s="1" t="s">
        <v>2226</v>
      </c>
      <c r="D1976" s="1" t="s">
        <v>2380</v>
      </c>
      <c r="E1976" s="1" t="s">
        <v>2386</v>
      </c>
      <c r="F1976" s="3">
        <v>0</v>
      </c>
      <c r="G1976" s="24" t="s">
        <v>5545</v>
      </c>
      <c r="I1976" s="24" t="s">
        <v>2965</v>
      </c>
      <c r="J1976" s="24" t="s">
        <v>2919</v>
      </c>
      <c r="K1976" s="3">
        <v>27</v>
      </c>
      <c r="L1976" s="3" t="s">
        <v>7003</v>
      </c>
      <c r="M1976" s="3" t="str">
        <f>HYPERLINK("http://ictvonline.org/taxonomyHistory.asp?taxnode_id=20152513","ICTVonline=20152513")</f>
        <v>ICTVonline=20152513</v>
      </c>
    </row>
    <row r="1977" spans="1:13" x14ac:dyDescent="0.15">
      <c r="A1977" s="1" t="s">
        <v>934</v>
      </c>
      <c r="B1977" s="1" t="s">
        <v>2226</v>
      </c>
      <c r="D1977" s="1" t="s">
        <v>2387</v>
      </c>
      <c r="E1977" s="1" t="s">
        <v>2388</v>
      </c>
      <c r="F1977" s="3">
        <v>0</v>
      </c>
      <c r="G1977" s="24" t="s">
        <v>5546</v>
      </c>
      <c r="I1977" s="24" t="s">
        <v>2965</v>
      </c>
      <c r="J1977" s="24" t="s">
        <v>2919</v>
      </c>
      <c r="K1977" s="3">
        <v>27</v>
      </c>
      <c r="L1977" s="3" t="s">
        <v>7003</v>
      </c>
      <c r="M1977" s="3" t="str">
        <f>HYPERLINK("http://ictvonline.org/taxonomyHistory.asp?taxnode_id=20152515","ICTVonline=20152515")</f>
        <v>ICTVonline=20152515</v>
      </c>
    </row>
    <row r="1978" spans="1:13" x14ac:dyDescent="0.15">
      <c r="A1978" s="1" t="s">
        <v>934</v>
      </c>
      <c r="B1978" s="1" t="s">
        <v>2226</v>
      </c>
      <c r="D1978" s="1" t="s">
        <v>2387</v>
      </c>
      <c r="E1978" s="1" t="s">
        <v>2389</v>
      </c>
      <c r="F1978" s="3">
        <v>1</v>
      </c>
      <c r="G1978" s="24" t="s">
        <v>5547</v>
      </c>
      <c r="I1978" s="24" t="s">
        <v>2965</v>
      </c>
      <c r="J1978" s="24" t="s">
        <v>2921</v>
      </c>
      <c r="K1978" s="3">
        <v>27</v>
      </c>
      <c r="L1978" s="3" t="s">
        <v>7003</v>
      </c>
      <c r="M1978" s="3" t="str">
        <f>HYPERLINK("http://ictvonline.org/taxonomyHistory.asp?taxnode_id=20152516","ICTVonline=20152516")</f>
        <v>ICTVonline=20152516</v>
      </c>
    </row>
    <row r="1979" spans="1:13" x14ac:dyDescent="0.15">
      <c r="A1979" s="1" t="s">
        <v>934</v>
      </c>
      <c r="B1979" s="1" t="s">
        <v>2228</v>
      </c>
      <c r="D1979" s="1" t="s">
        <v>2390</v>
      </c>
      <c r="E1979" s="1" t="s">
        <v>2290</v>
      </c>
      <c r="F1979" s="3">
        <v>1</v>
      </c>
      <c r="I1979" s="24" t="s">
        <v>5392</v>
      </c>
      <c r="J1979" s="24" t="s">
        <v>2922</v>
      </c>
      <c r="K1979" s="3">
        <v>27</v>
      </c>
      <c r="L1979" s="3" t="s">
        <v>7004</v>
      </c>
      <c r="M1979" s="3" t="str">
        <f>HYPERLINK("http://ictvonline.org/taxonomyHistory.asp?taxnode_id=20152520","ICTVonline=20152520")</f>
        <v>ICTVonline=20152520</v>
      </c>
    </row>
    <row r="1980" spans="1:13" x14ac:dyDescent="0.15">
      <c r="A1980" s="1" t="s">
        <v>934</v>
      </c>
      <c r="B1980" s="1" t="s">
        <v>2228</v>
      </c>
      <c r="D1980" s="1" t="s">
        <v>2390</v>
      </c>
      <c r="E1980" s="1" t="s">
        <v>2391</v>
      </c>
      <c r="F1980" s="3">
        <v>0</v>
      </c>
      <c r="I1980" s="24" t="s">
        <v>5392</v>
      </c>
      <c r="J1980" s="24" t="s">
        <v>2919</v>
      </c>
      <c r="K1980" s="3">
        <v>27</v>
      </c>
      <c r="L1980" s="3" t="s">
        <v>7004</v>
      </c>
      <c r="M1980" s="3" t="str">
        <f>HYPERLINK("http://ictvonline.org/taxonomyHistory.asp?taxnode_id=20152521","ICTVonline=20152521")</f>
        <v>ICTVonline=20152521</v>
      </c>
    </row>
    <row r="1981" spans="1:13" x14ac:dyDescent="0.15">
      <c r="A1981" s="1" t="s">
        <v>934</v>
      </c>
      <c r="B1981" s="1" t="s">
        <v>2228</v>
      </c>
      <c r="D1981" s="1" t="s">
        <v>2229</v>
      </c>
      <c r="E1981" s="1" t="s">
        <v>5548</v>
      </c>
      <c r="F1981" s="3">
        <v>0</v>
      </c>
      <c r="G1981" s="24" t="s">
        <v>7576</v>
      </c>
      <c r="I1981" s="24" t="s">
        <v>5392</v>
      </c>
      <c r="J1981" s="24" t="s">
        <v>2919</v>
      </c>
      <c r="K1981" s="3">
        <v>30</v>
      </c>
      <c r="L1981" s="3" t="s">
        <v>5549</v>
      </c>
      <c r="M1981" s="3" t="str">
        <f>HYPERLINK("http://ictvonline.org/taxonomyHistory.asp?taxnode_id=20152811","ICTVonline=20152811")</f>
        <v>ICTVonline=20152811</v>
      </c>
    </row>
    <row r="1982" spans="1:13" x14ac:dyDescent="0.15">
      <c r="A1982" s="1" t="s">
        <v>934</v>
      </c>
      <c r="B1982" s="1" t="s">
        <v>2228</v>
      </c>
      <c r="D1982" s="1" t="s">
        <v>2229</v>
      </c>
      <c r="E1982" s="1" t="s">
        <v>2540</v>
      </c>
      <c r="F1982" s="3">
        <v>0</v>
      </c>
      <c r="I1982" s="24" t="s">
        <v>5392</v>
      </c>
      <c r="J1982" s="24" t="s">
        <v>2919</v>
      </c>
      <c r="K1982" s="3">
        <v>28</v>
      </c>
      <c r="L1982" s="3" t="s">
        <v>7005</v>
      </c>
      <c r="M1982" s="3" t="str">
        <f>HYPERLINK("http://ictvonline.org/taxonomyHistory.asp?taxnode_id=20152524","ICTVonline=20152524")</f>
        <v>ICTVonline=20152524</v>
      </c>
    </row>
    <row r="1983" spans="1:13" x14ac:dyDescent="0.15">
      <c r="A1983" s="1" t="s">
        <v>934</v>
      </c>
      <c r="B1983" s="1" t="s">
        <v>2228</v>
      </c>
      <c r="D1983" s="1" t="s">
        <v>2229</v>
      </c>
      <c r="E1983" s="1" t="s">
        <v>2541</v>
      </c>
      <c r="F1983" s="3">
        <v>0</v>
      </c>
      <c r="I1983" s="24" t="s">
        <v>5392</v>
      </c>
      <c r="J1983" s="24" t="s">
        <v>2919</v>
      </c>
      <c r="K1983" s="3">
        <v>28</v>
      </c>
      <c r="L1983" s="3" t="s">
        <v>7005</v>
      </c>
      <c r="M1983" s="3" t="str">
        <f>HYPERLINK("http://ictvonline.org/taxonomyHistory.asp?taxnode_id=20152525","ICTVonline=20152525")</f>
        <v>ICTVonline=20152525</v>
      </c>
    </row>
    <row r="1984" spans="1:13" x14ac:dyDescent="0.15">
      <c r="A1984" s="1" t="s">
        <v>934</v>
      </c>
      <c r="B1984" s="1" t="s">
        <v>2228</v>
      </c>
      <c r="D1984" s="1" t="s">
        <v>2229</v>
      </c>
      <c r="E1984" s="1" t="s">
        <v>2230</v>
      </c>
      <c r="F1984" s="3">
        <v>0</v>
      </c>
      <c r="I1984" s="24" t="s">
        <v>5392</v>
      </c>
      <c r="J1984" s="24" t="s">
        <v>2920</v>
      </c>
      <c r="K1984" s="3">
        <v>16</v>
      </c>
      <c r="L1984" s="3" t="s">
        <v>2940</v>
      </c>
      <c r="M1984" s="3" t="str">
        <f>HYPERLINK("http://ictvonline.org/taxonomyHistory.asp?taxnode_id=20152526","ICTVonline=20152526")</f>
        <v>ICTVonline=20152526</v>
      </c>
    </row>
    <row r="1985" spans="1:13" x14ac:dyDescent="0.15">
      <c r="A1985" s="1" t="s">
        <v>934</v>
      </c>
      <c r="B1985" s="1" t="s">
        <v>2228</v>
      </c>
      <c r="D1985" s="1" t="s">
        <v>2229</v>
      </c>
      <c r="E1985" s="1" t="s">
        <v>2116</v>
      </c>
      <c r="F1985" s="3">
        <v>0</v>
      </c>
      <c r="I1985" s="24" t="s">
        <v>5392</v>
      </c>
      <c r="J1985" s="24" t="s">
        <v>2920</v>
      </c>
      <c r="K1985" s="3">
        <v>16</v>
      </c>
      <c r="L1985" s="3" t="s">
        <v>2940</v>
      </c>
      <c r="M1985" s="3" t="str">
        <f>HYPERLINK("http://ictvonline.org/taxonomyHistory.asp?taxnode_id=20152527","ICTVonline=20152527")</f>
        <v>ICTVonline=20152527</v>
      </c>
    </row>
    <row r="1986" spans="1:13" x14ac:dyDescent="0.15">
      <c r="A1986" s="1" t="s">
        <v>934</v>
      </c>
      <c r="B1986" s="1" t="s">
        <v>2228</v>
      </c>
      <c r="D1986" s="1" t="s">
        <v>2229</v>
      </c>
      <c r="E1986" s="1" t="s">
        <v>2117</v>
      </c>
      <c r="F1986" s="3">
        <v>0</v>
      </c>
      <c r="I1986" s="24" t="s">
        <v>5392</v>
      </c>
      <c r="J1986" s="24" t="s">
        <v>2919</v>
      </c>
      <c r="K1986" s="3">
        <v>22</v>
      </c>
      <c r="L1986" s="3" t="s">
        <v>7006</v>
      </c>
      <c r="M1986" s="3" t="str">
        <f>HYPERLINK("http://ictvonline.org/taxonomyHistory.asp?taxnode_id=20152528","ICTVonline=20152528")</f>
        <v>ICTVonline=20152528</v>
      </c>
    </row>
    <row r="1987" spans="1:13" x14ac:dyDescent="0.15">
      <c r="A1987" s="1" t="s">
        <v>934</v>
      </c>
      <c r="B1987" s="1" t="s">
        <v>2228</v>
      </c>
      <c r="D1987" s="1" t="s">
        <v>2229</v>
      </c>
      <c r="E1987" s="1" t="s">
        <v>2118</v>
      </c>
      <c r="F1987" s="3">
        <v>0</v>
      </c>
      <c r="I1987" s="24" t="s">
        <v>5392</v>
      </c>
      <c r="J1987" s="24" t="s">
        <v>2919</v>
      </c>
      <c r="K1987" s="3">
        <v>24</v>
      </c>
      <c r="L1987" s="3" t="s">
        <v>7007</v>
      </c>
      <c r="M1987" s="3" t="str">
        <f>HYPERLINK("http://ictvonline.org/taxonomyHistory.asp?taxnode_id=20152530","ICTVonline=20152530")</f>
        <v>ICTVonline=20152530</v>
      </c>
    </row>
    <row r="1988" spans="1:13" x14ac:dyDescent="0.15">
      <c r="A1988" s="1" t="s">
        <v>934</v>
      </c>
      <c r="B1988" s="1" t="s">
        <v>2228</v>
      </c>
      <c r="D1988" s="1" t="s">
        <v>2229</v>
      </c>
      <c r="E1988" s="1" t="s">
        <v>2119</v>
      </c>
      <c r="F1988" s="3">
        <v>0</v>
      </c>
      <c r="I1988" s="24" t="s">
        <v>5392</v>
      </c>
      <c r="J1988" s="24" t="s">
        <v>2919</v>
      </c>
      <c r="K1988" s="3">
        <v>24</v>
      </c>
      <c r="L1988" s="3" t="s">
        <v>7008</v>
      </c>
      <c r="M1988" s="3" t="str">
        <f>HYPERLINK("http://ictvonline.org/taxonomyHistory.asp?taxnode_id=20152531","ICTVonline=20152531")</f>
        <v>ICTVonline=20152531</v>
      </c>
    </row>
    <row r="1989" spans="1:13" x14ac:dyDescent="0.15">
      <c r="A1989" s="1" t="s">
        <v>934</v>
      </c>
      <c r="B1989" s="1" t="s">
        <v>2228</v>
      </c>
      <c r="D1989" s="1" t="s">
        <v>2229</v>
      </c>
      <c r="E1989" s="1" t="s">
        <v>2120</v>
      </c>
      <c r="F1989" s="3">
        <v>0</v>
      </c>
      <c r="I1989" s="24" t="s">
        <v>5392</v>
      </c>
      <c r="J1989" s="24" t="s">
        <v>2919</v>
      </c>
      <c r="K1989" s="3">
        <v>22</v>
      </c>
      <c r="L1989" s="3" t="s">
        <v>7006</v>
      </c>
      <c r="M1989" s="3" t="str">
        <f>HYPERLINK("http://ictvonline.org/taxonomyHistory.asp?taxnode_id=20152532","ICTVonline=20152532")</f>
        <v>ICTVonline=20152532</v>
      </c>
    </row>
    <row r="1990" spans="1:13" x14ac:dyDescent="0.15">
      <c r="A1990" s="1" t="s">
        <v>934</v>
      </c>
      <c r="B1990" s="1" t="s">
        <v>2228</v>
      </c>
      <c r="D1990" s="1" t="s">
        <v>2229</v>
      </c>
      <c r="E1990" s="1" t="s">
        <v>2121</v>
      </c>
      <c r="F1990" s="3">
        <v>0</v>
      </c>
      <c r="I1990" s="24" t="s">
        <v>5392</v>
      </c>
      <c r="J1990" s="24" t="s">
        <v>2945</v>
      </c>
      <c r="K1990" s="3">
        <v>24</v>
      </c>
      <c r="L1990" s="3" t="s">
        <v>7009</v>
      </c>
      <c r="M1990" s="3" t="str">
        <f>HYPERLINK("http://ictvonline.org/taxonomyHistory.asp?taxnode_id=20152533","ICTVonline=20152533")</f>
        <v>ICTVonline=20152533</v>
      </c>
    </row>
    <row r="1991" spans="1:13" x14ac:dyDescent="0.15">
      <c r="A1991" s="1" t="s">
        <v>934</v>
      </c>
      <c r="B1991" s="1" t="s">
        <v>2228</v>
      </c>
      <c r="D1991" s="1" t="s">
        <v>2229</v>
      </c>
      <c r="E1991" s="1" t="s">
        <v>2542</v>
      </c>
      <c r="F1991" s="3">
        <v>0</v>
      </c>
      <c r="I1991" s="24" t="s">
        <v>5392</v>
      </c>
      <c r="J1991" s="24" t="s">
        <v>2919</v>
      </c>
      <c r="K1991" s="3">
        <v>28</v>
      </c>
      <c r="L1991" s="3" t="s">
        <v>7005</v>
      </c>
      <c r="M1991" s="3" t="str">
        <f>HYPERLINK("http://ictvonline.org/taxonomyHistory.asp?taxnode_id=20152534","ICTVonline=20152534")</f>
        <v>ICTVonline=20152534</v>
      </c>
    </row>
    <row r="1992" spans="1:13" x14ac:dyDescent="0.15">
      <c r="A1992" s="1" t="s">
        <v>934</v>
      </c>
      <c r="B1992" s="1" t="s">
        <v>2228</v>
      </c>
      <c r="D1992" s="1" t="s">
        <v>2229</v>
      </c>
      <c r="E1992" s="1" t="s">
        <v>2122</v>
      </c>
      <c r="F1992" s="3">
        <v>0</v>
      </c>
      <c r="I1992" s="24" t="s">
        <v>5392</v>
      </c>
      <c r="J1992" s="24" t="s">
        <v>2919</v>
      </c>
      <c r="K1992" s="3">
        <v>24</v>
      </c>
      <c r="L1992" s="3" t="s">
        <v>7010</v>
      </c>
      <c r="M1992" s="3" t="str">
        <f>HYPERLINK("http://ictvonline.org/taxonomyHistory.asp?taxnode_id=20152535","ICTVonline=20152535")</f>
        <v>ICTVonline=20152535</v>
      </c>
    </row>
    <row r="1993" spans="1:13" x14ac:dyDescent="0.15">
      <c r="A1993" s="1" t="s">
        <v>934</v>
      </c>
      <c r="B1993" s="1" t="s">
        <v>2228</v>
      </c>
      <c r="D1993" s="1" t="s">
        <v>2229</v>
      </c>
      <c r="E1993" s="1" t="s">
        <v>2123</v>
      </c>
      <c r="F1993" s="3">
        <v>0</v>
      </c>
      <c r="I1993" s="24" t="s">
        <v>5392</v>
      </c>
      <c r="J1993" s="24" t="s">
        <v>2920</v>
      </c>
      <c r="K1993" s="3">
        <v>16</v>
      </c>
      <c r="L1993" s="3" t="s">
        <v>2940</v>
      </c>
      <c r="M1993" s="3" t="str">
        <f>HYPERLINK("http://ictvonline.org/taxonomyHistory.asp?taxnode_id=20152536","ICTVonline=20152536")</f>
        <v>ICTVonline=20152536</v>
      </c>
    </row>
    <row r="1994" spans="1:13" x14ac:dyDescent="0.15">
      <c r="A1994" s="1" t="s">
        <v>934</v>
      </c>
      <c r="B1994" s="1" t="s">
        <v>2228</v>
      </c>
      <c r="D1994" s="1" t="s">
        <v>2229</v>
      </c>
      <c r="E1994" s="1" t="s">
        <v>2543</v>
      </c>
      <c r="F1994" s="3">
        <v>0</v>
      </c>
      <c r="I1994" s="24" t="s">
        <v>5392</v>
      </c>
      <c r="J1994" s="24" t="s">
        <v>2919</v>
      </c>
      <c r="K1994" s="3">
        <v>28</v>
      </c>
      <c r="L1994" s="3" t="s">
        <v>7005</v>
      </c>
      <c r="M1994" s="3" t="str">
        <f>HYPERLINK("http://ictvonline.org/taxonomyHistory.asp?taxnode_id=20152537","ICTVonline=20152537")</f>
        <v>ICTVonline=20152537</v>
      </c>
    </row>
    <row r="1995" spans="1:13" x14ac:dyDescent="0.15">
      <c r="A1995" s="1" t="s">
        <v>934</v>
      </c>
      <c r="B1995" s="1" t="s">
        <v>2228</v>
      </c>
      <c r="D1995" s="1" t="s">
        <v>2229</v>
      </c>
      <c r="E1995" s="1" t="s">
        <v>2124</v>
      </c>
      <c r="F1995" s="3">
        <v>0</v>
      </c>
      <c r="I1995" s="24" t="s">
        <v>5392</v>
      </c>
      <c r="J1995" s="24" t="s">
        <v>2920</v>
      </c>
      <c r="K1995" s="3">
        <v>16</v>
      </c>
      <c r="L1995" s="3" t="s">
        <v>2940</v>
      </c>
      <c r="M1995" s="3" t="str">
        <f>HYPERLINK("http://ictvonline.org/taxonomyHistory.asp?taxnode_id=20152538","ICTVonline=20152538")</f>
        <v>ICTVonline=20152538</v>
      </c>
    </row>
    <row r="1996" spans="1:13" x14ac:dyDescent="0.15">
      <c r="A1996" s="1" t="s">
        <v>934</v>
      </c>
      <c r="B1996" s="1" t="s">
        <v>2228</v>
      </c>
      <c r="D1996" s="1" t="s">
        <v>2229</v>
      </c>
      <c r="E1996" s="1" t="s">
        <v>279</v>
      </c>
      <c r="F1996" s="3">
        <v>0</v>
      </c>
      <c r="I1996" s="24" t="s">
        <v>5392</v>
      </c>
      <c r="J1996" s="24" t="s">
        <v>2924</v>
      </c>
      <c r="K1996" s="3">
        <v>23</v>
      </c>
      <c r="L1996" s="3" t="s">
        <v>2933</v>
      </c>
      <c r="M1996" s="3" t="str">
        <f>HYPERLINK("http://ictvonline.org/taxonomyHistory.asp?taxnode_id=20152539","ICTVonline=20152539")</f>
        <v>ICTVonline=20152539</v>
      </c>
    </row>
    <row r="1997" spans="1:13" x14ac:dyDescent="0.15">
      <c r="A1997" s="1" t="s">
        <v>934</v>
      </c>
      <c r="B1997" s="1" t="s">
        <v>2228</v>
      </c>
      <c r="D1997" s="1" t="s">
        <v>2229</v>
      </c>
      <c r="E1997" s="1" t="s">
        <v>280</v>
      </c>
      <c r="F1997" s="3">
        <v>1</v>
      </c>
      <c r="I1997" s="24" t="s">
        <v>5392</v>
      </c>
      <c r="J1997" s="24" t="s">
        <v>2924</v>
      </c>
      <c r="K1997" s="3">
        <v>23</v>
      </c>
      <c r="L1997" s="3" t="s">
        <v>2933</v>
      </c>
      <c r="M1997" s="3" t="str">
        <f>HYPERLINK("http://ictvonline.org/taxonomyHistory.asp?taxnode_id=20152540","ICTVonline=20152540")</f>
        <v>ICTVonline=20152540</v>
      </c>
    </row>
    <row r="1998" spans="1:13" x14ac:dyDescent="0.15">
      <c r="A1998" s="1" t="s">
        <v>934</v>
      </c>
      <c r="B1998" s="1" t="s">
        <v>2228</v>
      </c>
      <c r="D1998" s="1" t="s">
        <v>2229</v>
      </c>
      <c r="E1998" s="1" t="s">
        <v>2544</v>
      </c>
      <c r="F1998" s="3">
        <v>0</v>
      </c>
      <c r="I1998" s="24" t="s">
        <v>5392</v>
      </c>
      <c r="J1998" s="24" t="s">
        <v>2919</v>
      </c>
      <c r="K1998" s="3">
        <v>28</v>
      </c>
      <c r="L1998" s="3" t="s">
        <v>7005</v>
      </c>
      <c r="M1998" s="3" t="str">
        <f>HYPERLINK("http://ictvonline.org/taxonomyHistory.asp?taxnode_id=20152541","ICTVonline=20152541")</f>
        <v>ICTVonline=20152541</v>
      </c>
    </row>
    <row r="1999" spans="1:13" x14ac:dyDescent="0.15">
      <c r="A1999" s="1" t="s">
        <v>934</v>
      </c>
      <c r="B1999" s="1" t="s">
        <v>2228</v>
      </c>
      <c r="D1999" s="1" t="s">
        <v>2229</v>
      </c>
      <c r="E1999" s="1" t="s">
        <v>2545</v>
      </c>
      <c r="F1999" s="3">
        <v>0</v>
      </c>
      <c r="I1999" s="24" t="s">
        <v>5392</v>
      </c>
      <c r="J1999" s="24" t="s">
        <v>2919</v>
      </c>
      <c r="K1999" s="3">
        <v>28</v>
      </c>
      <c r="L1999" s="3" t="s">
        <v>7005</v>
      </c>
      <c r="M1999" s="3" t="str">
        <f>HYPERLINK("http://ictvonline.org/taxonomyHistory.asp?taxnode_id=20152542","ICTVonline=20152542")</f>
        <v>ICTVonline=20152542</v>
      </c>
    </row>
    <row r="2000" spans="1:13" x14ac:dyDescent="0.15">
      <c r="A2000" s="1" t="s">
        <v>934</v>
      </c>
      <c r="B2000" s="1" t="s">
        <v>2228</v>
      </c>
      <c r="D2000" s="1" t="s">
        <v>2229</v>
      </c>
      <c r="E2000" s="1" t="s">
        <v>2546</v>
      </c>
      <c r="F2000" s="3">
        <v>0</v>
      </c>
      <c r="I2000" s="24" t="s">
        <v>5392</v>
      </c>
      <c r="J2000" s="24" t="s">
        <v>2919</v>
      </c>
      <c r="K2000" s="3">
        <v>28</v>
      </c>
      <c r="L2000" s="3" t="s">
        <v>7005</v>
      </c>
      <c r="M2000" s="3" t="str">
        <f>HYPERLINK("http://ictvonline.org/taxonomyHistory.asp?taxnode_id=20152543","ICTVonline=20152543")</f>
        <v>ICTVonline=20152543</v>
      </c>
    </row>
    <row r="2001" spans="1:13" x14ac:dyDescent="0.15">
      <c r="A2001" s="1" t="s">
        <v>934</v>
      </c>
      <c r="B2001" s="1" t="s">
        <v>2228</v>
      </c>
      <c r="D2001" s="1" t="s">
        <v>2229</v>
      </c>
      <c r="E2001" s="1" t="s">
        <v>281</v>
      </c>
      <c r="F2001" s="3">
        <v>0</v>
      </c>
      <c r="I2001" s="24" t="s">
        <v>5392</v>
      </c>
      <c r="J2001" s="24" t="s">
        <v>2920</v>
      </c>
      <c r="K2001" s="3">
        <v>16</v>
      </c>
      <c r="L2001" s="3" t="s">
        <v>2940</v>
      </c>
      <c r="M2001" s="3" t="str">
        <f>HYPERLINK("http://ictvonline.org/taxonomyHistory.asp?taxnode_id=20152545","ICTVonline=20152545")</f>
        <v>ICTVonline=20152545</v>
      </c>
    </row>
    <row r="2002" spans="1:13" x14ac:dyDescent="0.15">
      <c r="A2002" s="1" t="s">
        <v>934</v>
      </c>
      <c r="B2002" s="1" t="s">
        <v>2228</v>
      </c>
      <c r="D2002" s="1" t="s">
        <v>2229</v>
      </c>
      <c r="E2002" s="1" t="s">
        <v>2547</v>
      </c>
      <c r="F2002" s="3">
        <v>0</v>
      </c>
      <c r="I2002" s="24" t="s">
        <v>5392</v>
      </c>
      <c r="J2002" s="24" t="s">
        <v>2919</v>
      </c>
      <c r="K2002" s="3">
        <v>28</v>
      </c>
      <c r="L2002" s="3" t="s">
        <v>7005</v>
      </c>
      <c r="M2002" s="3" t="str">
        <f>HYPERLINK("http://ictvonline.org/taxonomyHistory.asp?taxnode_id=20152547","ICTVonline=20152547")</f>
        <v>ICTVonline=20152547</v>
      </c>
    </row>
    <row r="2003" spans="1:13" x14ac:dyDescent="0.15">
      <c r="A2003" s="1" t="s">
        <v>934</v>
      </c>
      <c r="B2003" s="1" t="s">
        <v>2228</v>
      </c>
      <c r="D2003" s="1" t="s">
        <v>2229</v>
      </c>
      <c r="E2003" s="1" t="s">
        <v>2548</v>
      </c>
      <c r="F2003" s="3">
        <v>0</v>
      </c>
      <c r="I2003" s="24" t="s">
        <v>5392</v>
      </c>
      <c r="J2003" s="24" t="s">
        <v>2919</v>
      </c>
      <c r="K2003" s="3">
        <v>28</v>
      </c>
      <c r="L2003" s="3" t="s">
        <v>7005</v>
      </c>
      <c r="M2003" s="3" t="str">
        <f>HYPERLINK("http://ictvonline.org/taxonomyHistory.asp?taxnode_id=20152548","ICTVonline=20152548")</f>
        <v>ICTVonline=20152548</v>
      </c>
    </row>
    <row r="2004" spans="1:13" x14ac:dyDescent="0.15">
      <c r="A2004" s="1" t="s">
        <v>934</v>
      </c>
      <c r="B2004" s="1" t="s">
        <v>2228</v>
      </c>
      <c r="D2004" s="1" t="s">
        <v>2229</v>
      </c>
      <c r="E2004" s="1" t="s">
        <v>282</v>
      </c>
      <c r="F2004" s="3">
        <v>0</v>
      </c>
      <c r="I2004" s="24" t="s">
        <v>5392</v>
      </c>
      <c r="J2004" s="24" t="s">
        <v>2919</v>
      </c>
      <c r="K2004" s="3">
        <v>24</v>
      </c>
      <c r="L2004" s="3" t="s">
        <v>7008</v>
      </c>
      <c r="M2004" s="3" t="str">
        <f>HYPERLINK("http://ictvonline.org/taxonomyHistory.asp?taxnode_id=20152549","ICTVonline=20152549")</f>
        <v>ICTVonline=20152549</v>
      </c>
    </row>
    <row r="2005" spans="1:13" x14ac:dyDescent="0.15">
      <c r="A2005" s="1" t="s">
        <v>934</v>
      </c>
      <c r="B2005" s="1" t="s">
        <v>2228</v>
      </c>
      <c r="D2005" s="1" t="s">
        <v>2229</v>
      </c>
      <c r="E2005" s="1" t="s">
        <v>283</v>
      </c>
      <c r="F2005" s="3">
        <v>0</v>
      </c>
      <c r="I2005" s="24" t="s">
        <v>5392</v>
      </c>
      <c r="J2005" s="24" t="s">
        <v>2919</v>
      </c>
      <c r="K2005" s="3">
        <v>24</v>
      </c>
      <c r="L2005" s="3" t="s">
        <v>7010</v>
      </c>
      <c r="M2005" s="3" t="str">
        <f>HYPERLINK("http://ictvonline.org/taxonomyHistory.asp?taxnode_id=20152550","ICTVonline=20152550")</f>
        <v>ICTVonline=20152550</v>
      </c>
    </row>
    <row r="2006" spans="1:13" x14ac:dyDescent="0.15">
      <c r="A2006" s="1" t="s">
        <v>934</v>
      </c>
      <c r="B2006" s="1" t="s">
        <v>2228</v>
      </c>
      <c r="D2006" s="1" t="s">
        <v>2229</v>
      </c>
      <c r="E2006" s="1" t="s">
        <v>284</v>
      </c>
      <c r="F2006" s="3">
        <v>0</v>
      </c>
      <c r="I2006" s="24" t="s">
        <v>5392</v>
      </c>
      <c r="J2006" s="24" t="s">
        <v>2919</v>
      </c>
      <c r="K2006" s="3">
        <v>22</v>
      </c>
      <c r="L2006" s="3" t="s">
        <v>7006</v>
      </c>
      <c r="M2006" s="3" t="str">
        <f>HYPERLINK("http://ictvonline.org/taxonomyHistory.asp?taxnode_id=20152551","ICTVonline=20152551")</f>
        <v>ICTVonline=20152551</v>
      </c>
    </row>
    <row r="2007" spans="1:13" x14ac:dyDescent="0.15">
      <c r="A2007" s="1" t="s">
        <v>934</v>
      </c>
      <c r="B2007" s="1" t="s">
        <v>2228</v>
      </c>
      <c r="D2007" s="1" t="s">
        <v>2229</v>
      </c>
      <c r="E2007" s="1" t="s">
        <v>5550</v>
      </c>
      <c r="F2007" s="3">
        <v>0</v>
      </c>
      <c r="G2007" s="24" t="s">
        <v>7577</v>
      </c>
      <c r="I2007" s="24" t="s">
        <v>5392</v>
      </c>
      <c r="J2007" s="24" t="s">
        <v>2919</v>
      </c>
      <c r="K2007" s="3">
        <v>30</v>
      </c>
      <c r="L2007" s="3" t="s">
        <v>5549</v>
      </c>
      <c r="M2007" s="3" t="str">
        <f>HYPERLINK("http://ictvonline.org/taxonomyHistory.asp?taxnode_id=20152812","ICTVonline=20152812")</f>
        <v>ICTVonline=20152812</v>
      </c>
    </row>
    <row r="2008" spans="1:13" x14ac:dyDescent="0.15">
      <c r="A2008" s="1" t="s">
        <v>934</v>
      </c>
      <c r="B2008" s="1" t="s">
        <v>2228</v>
      </c>
      <c r="D2008" s="1" t="s">
        <v>2229</v>
      </c>
      <c r="E2008" s="1" t="s">
        <v>5551</v>
      </c>
      <c r="F2008" s="3">
        <v>0</v>
      </c>
      <c r="G2008" s="24" t="s">
        <v>7578</v>
      </c>
      <c r="I2008" s="24" t="s">
        <v>5392</v>
      </c>
      <c r="J2008" s="24" t="s">
        <v>2919</v>
      </c>
      <c r="K2008" s="3">
        <v>30</v>
      </c>
      <c r="L2008" s="3" t="s">
        <v>5549</v>
      </c>
      <c r="M2008" s="3" t="str">
        <f>HYPERLINK("http://ictvonline.org/taxonomyHistory.asp?taxnode_id=20152813","ICTVonline=20152813")</f>
        <v>ICTVonline=20152813</v>
      </c>
    </row>
    <row r="2009" spans="1:13" x14ac:dyDescent="0.15">
      <c r="A2009" s="1" t="s">
        <v>934</v>
      </c>
      <c r="B2009" s="1" t="s">
        <v>2228</v>
      </c>
      <c r="D2009" s="1" t="s">
        <v>2229</v>
      </c>
      <c r="E2009" s="1" t="s">
        <v>5552</v>
      </c>
      <c r="F2009" s="3">
        <v>0</v>
      </c>
      <c r="G2009" s="24" t="s">
        <v>7579</v>
      </c>
      <c r="I2009" s="24" t="s">
        <v>5392</v>
      </c>
      <c r="J2009" s="24" t="s">
        <v>2919</v>
      </c>
      <c r="K2009" s="3">
        <v>30</v>
      </c>
      <c r="L2009" s="3" t="s">
        <v>5549</v>
      </c>
      <c r="M2009" s="3" t="str">
        <f>HYPERLINK("http://ictvonline.org/taxonomyHistory.asp?taxnode_id=20152814","ICTVonline=20152814")</f>
        <v>ICTVonline=20152814</v>
      </c>
    </row>
    <row r="2010" spans="1:13" x14ac:dyDescent="0.15">
      <c r="A2010" s="1" t="s">
        <v>934</v>
      </c>
      <c r="B2010" s="1" t="s">
        <v>2228</v>
      </c>
      <c r="D2010" s="1" t="s">
        <v>2229</v>
      </c>
      <c r="E2010" s="1" t="s">
        <v>2549</v>
      </c>
      <c r="F2010" s="3">
        <v>0</v>
      </c>
      <c r="I2010" s="24" t="s">
        <v>5392</v>
      </c>
      <c r="J2010" s="24" t="s">
        <v>2919</v>
      </c>
      <c r="K2010" s="3">
        <v>28</v>
      </c>
      <c r="L2010" s="3" t="s">
        <v>7005</v>
      </c>
      <c r="M2010" s="3" t="str">
        <f>HYPERLINK("http://ictvonline.org/taxonomyHistory.asp?taxnode_id=20152552","ICTVonline=20152552")</f>
        <v>ICTVonline=20152552</v>
      </c>
    </row>
    <row r="2011" spans="1:13" x14ac:dyDescent="0.15">
      <c r="A2011" s="1" t="s">
        <v>934</v>
      </c>
      <c r="B2011" s="1" t="s">
        <v>2228</v>
      </c>
      <c r="D2011" s="1" t="s">
        <v>2229</v>
      </c>
      <c r="E2011" s="1" t="s">
        <v>285</v>
      </c>
      <c r="F2011" s="3">
        <v>0</v>
      </c>
      <c r="I2011" s="24" t="s">
        <v>5392</v>
      </c>
      <c r="J2011" s="24" t="s">
        <v>2924</v>
      </c>
      <c r="K2011" s="3">
        <v>23</v>
      </c>
      <c r="L2011" s="3" t="s">
        <v>2933</v>
      </c>
      <c r="M2011" s="3" t="str">
        <f>HYPERLINK("http://ictvonline.org/taxonomyHistory.asp?taxnode_id=20152553","ICTVonline=20152553")</f>
        <v>ICTVonline=20152553</v>
      </c>
    </row>
    <row r="2012" spans="1:13" x14ac:dyDescent="0.15">
      <c r="A2012" s="1" t="s">
        <v>934</v>
      </c>
      <c r="B2012" s="1" t="s">
        <v>2228</v>
      </c>
      <c r="D2012" s="1" t="s">
        <v>2229</v>
      </c>
      <c r="E2012" s="1" t="s">
        <v>5553</v>
      </c>
      <c r="F2012" s="3">
        <v>0</v>
      </c>
      <c r="G2012" s="24" t="s">
        <v>7580</v>
      </c>
      <c r="I2012" s="24" t="s">
        <v>5392</v>
      </c>
      <c r="J2012" s="24" t="s">
        <v>2919</v>
      </c>
      <c r="K2012" s="3">
        <v>30</v>
      </c>
      <c r="L2012" s="3" t="s">
        <v>5549</v>
      </c>
      <c r="M2012" s="3" t="str">
        <f>HYPERLINK("http://ictvonline.org/taxonomyHistory.asp?taxnode_id=20152815","ICTVonline=20152815")</f>
        <v>ICTVonline=20152815</v>
      </c>
    </row>
    <row r="2013" spans="1:13" x14ac:dyDescent="0.15">
      <c r="A2013" s="1" t="s">
        <v>934</v>
      </c>
      <c r="B2013" s="1" t="s">
        <v>2228</v>
      </c>
      <c r="D2013" s="1" t="s">
        <v>2229</v>
      </c>
      <c r="E2013" s="1" t="s">
        <v>5554</v>
      </c>
      <c r="F2013" s="3">
        <v>0</v>
      </c>
      <c r="G2013" s="24" t="s">
        <v>7581</v>
      </c>
      <c r="I2013" s="24" t="s">
        <v>5392</v>
      </c>
      <c r="J2013" s="24" t="s">
        <v>2919</v>
      </c>
      <c r="K2013" s="3">
        <v>30</v>
      </c>
      <c r="L2013" s="3" t="s">
        <v>5549</v>
      </c>
      <c r="M2013" s="3" t="str">
        <f>HYPERLINK("http://ictvonline.org/taxonomyHistory.asp?taxnode_id=20152816","ICTVonline=20152816")</f>
        <v>ICTVonline=20152816</v>
      </c>
    </row>
    <row r="2014" spans="1:13" x14ac:dyDescent="0.15">
      <c r="A2014" s="1" t="s">
        <v>934</v>
      </c>
      <c r="B2014" s="1" t="s">
        <v>2228</v>
      </c>
      <c r="D2014" s="1" t="s">
        <v>2229</v>
      </c>
      <c r="E2014" s="1" t="s">
        <v>5555</v>
      </c>
      <c r="F2014" s="3">
        <v>0</v>
      </c>
      <c r="G2014" s="24" t="s">
        <v>7582</v>
      </c>
      <c r="I2014" s="24" t="s">
        <v>5392</v>
      </c>
      <c r="J2014" s="24" t="s">
        <v>2919</v>
      </c>
      <c r="K2014" s="3">
        <v>30</v>
      </c>
      <c r="L2014" s="3" t="s">
        <v>5549</v>
      </c>
      <c r="M2014" s="3" t="str">
        <f>HYPERLINK("http://ictvonline.org/taxonomyHistory.asp?taxnode_id=20152817","ICTVonline=20152817")</f>
        <v>ICTVonline=20152817</v>
      </c>
    </row>
    <row r="2015" spans="1:13" x14ac:dyDescent="0.15">
      <c r="A2015" s="1" t="s">
        <v>934</v>
      </c>
      <c r="B2015" s="1" t="s">
        <v>2228</v>
      </c>
      <c r="D2015" s="1" t="s">
        <v>2229</v>
      </c>
      <c r="E2015" s="1" t="s">
        <v>5556</v>
      </c>
      <c r="F2015" s="3">
        <v>0</v>
      </c>
      <c r="G2015" s="24" t="s">
        <v>7583</v>
      </c>
      <c r="I2015" s="24" t="s">
        <v>5392</v>
      </c>
      <c r="J2015" s="24" t="s">
        <v>2919</v>
      </c>
      <c r="K2015" s="3">
        <v>30</v>
      </c>
      <c r="L2015" s="3" t="s">
        <v>5549</v>
      </c>
      <c r="M2015" s="3" t="str">
        <f>HYPERLINK("http://ictvonline.org/taxonomyHistory.asp?taxnode_id=20152818","ICTVonline=20152818")</f>
        <v>ICTVonline=20152818</v>
      </c>
    </row>
    <row r="2016" spans="1:13" x14ac:dyDescent="0.15">
      <c r="A2016" s="1" t="s">
        <v>934</v>
      </c>
      <c r="B2016" s="1" t="s">
        <v>2228</v>
      </c>
      <c r="D2016" s="1" t="s">
        <v>2229</v>
      </c>
      <c r="E2016" s="1" t="s">
        <v>286</v>
      </c>
      <c r="F2016" s="3">
        <v>0</v>
      </c>
      <c r="I2016" s="24" t="s">
        <v>5392</v>
      </c>
      <c r="J2016" s="24" t="s">
        <v>2919</v>
      </c>
      <c r="K2016" s="3">
        <v>22</v>
      </c>
      <c r="L2016" s="3" t="s">
        <v>7006</v>
      </c>
      <c r="M2016" s="3" t="str">
        <f>HYPERLINK("http://ictvonline.org/taxonomyHistory.asp?taxnode_id=20152554","ICTVonline=20152554")</f>
        <v>ICTVonline=20152554</v>
      </c>
    </row>
    <row r="2017" spans="1:13" x14ac:dyDescent="0.15">
      <c r="A2017" s="1" t="s">
        <v>934</v>
      </c>
      <c r="B2017" s="1" t="s">
        <v>2228</v>
      </c>
      <c r="D2017" s="1" t="s">
        <v>2229</v>
      </c>
      <c r="E2017" s="1" t="s">
        <v>2550</v>
      </c>
      <c r="F2017" s="3">
        <v>0</v>
      </c>
      <c r="I2017" s="24" t="s">
        <v>5392</v>
      </c>
      <c r="J2017" s="24" t="s">
        <v>2919</v>
      </c>
      <c r="K2017" s="3">
        <v>28</v>
      </c>
      <c r="L2017" s="3" t="s">
        <v>7005</v>
      </c>
      <c r="M2017" s="3" t="str">
        <f>HYPERLINK("http://ictvonline.org/taxonomyHistory.asp?taxnode_id=20152555","ICTVonline=20152555")</f>
        <v>ICTVonline=20152555</v>
      </c>
    </row>
    <row r="2018" spans="1:13" x14ac:dyDescent="0.15">
      <c r="A2018" s="1" t="s">
        <v>934</v>
      </c>
      <c r="B2018" s="1" t="s">
        <v>2228</v>
      </c>
      <c r="D2018" s="1" t="s">
        <v>2229</v>
      </c>
      <c r="E2018" s="1" t="s">
        <v>287</v>
      </c>
      <c r="F2018" s="3">
        <v>0</v>
      </c>
      <c r="I2018" s="24" t="s">
        <v>5392</v>
      </c>
      <c r="J2018" s="24" t="s">
        <v>2924</v>
      </c>
      <c r="K2018" s="3">
        <v>22</v>
      </c>
      <c r="L2018" s="3" t="s">
        <v>7011</v>
      </c>
      <c r="M2018" s="3" t="str">
        <f>HYPERLINK("http://ictvonline.org/taxonomyHistory.asp?taxnode_id=20152556","ICTVonline=20152556")</f>
        <v>ICTVonline=20152556</v>
      </c>
    </row>
    <row r="2019" spans="1:13" x14ac:dyDescent="0.15">
      <c r="A2019" s="1" t="s">
        <v>934</v>
      </c>
      <c r="B2019" s="1" t="s">
        <v>2228</v>
      </c>
      <c r="D2019" s="1" t="s">
        <v>2229</v>
      </c>
      <c r="E2019" s="1" t="s">
        <v>2551</v>
      </c>
      <c r="F2019" s="3">
        <v>0</v>
      </c>
      <c r="I2019" s="24" t="s">
        <v>5392</v>
      </c>
      <c r="J2019" s="24" t="s">
        <v>2919</v>
      </c>
      <c r="K2019" s="3">
        <v>28</v>
      </c>
      <c r="L2019" s="3" t="s">
        <v>7005</v>
      </c>
      <c r="M2019" s="3" t="str">
        <f>HYPERLINK("http://ictvonline.org/taxonomyHistory.asp?taxnode_id=20152557","ICTVonline=20152557")</f>
        <v>ICTVonline=20152557</v>
      </c>
    </row>
    <row r="2020" spans="1:13" x14ac:dyDescent="0.15">
      <c r="A2020" s="1" t="s">
        <v>934</v>
      </c>
      <c r="B2020" s="1" t="s">
        <v>2228</v>
      </c>
      <c r="D2020" s="1" t="s">
        <v>2229</v>
      </c>
      <c r="E2020" s="1" t="s">
        <v>2552</v>
      </c>
      <c r="F2020" s="3">
        <v>0</v>
      </c>
      <c r="I2020" s="24" t="s">
        <v>5392</v>
      </c>
      <c r="J2020" s="24" t="s">
        <v>2919</v>
      </c>
      <c r="K2020" s="3">
        <v>28</v>
      </c>
      <c r="L2020" s="3" t="s">
        <v>7005</v>
      </c>
      <c r="M2020" s="3" t="str">
        <f>HYPERLINK("http://ictvonline.org/taxonomyHistory.asp?taxnode_id=20152558","ICTVonline=20152558")</f>
        <v>ICTVonline=20152558</v>
      </c>
    </row>
    <row r="2021" spans="1:13" x14ac:dyDescent="0.15">
      <c r="A2021" s="1" t="s">
        <v>934</v>
      </c>
      <c r="B2021" s="1" t="s">
        <v>2228</v>
      </c>
      <c r="D2021" s="1" t="s">
        <v>2229</v>
      </c>
      <c r="E2021" s="1" t="s">
        <v>288</v>
      </c>
      <c r="F2021" s="3">
        <v>0</v>
      </c>
      <c r="I2021" s="24" t="s">
        <v>5392</v>
      </c>
      <c r="J2021" s="24" t="s">
        <v>2919</v>
      </c>
      <c r="K2021" s="3">
        <v>24</v>
      </c>
      <c r="L2021" s="3" t="s">
        <v>7008</v>
      </c>
      <c r="M2021" s="3" t="str">
        <f>HYPERLINK("http://ictvonline.org/taxonomyHistory.asp?taxnode_id=20152559","ICTVonline=20152559")</f>
        <v>ICTVonline=20152559</v>
      </c>
    </row>
    <row r="2022" spans="1:13" x14ac:dyDescent="0.15">
      <c r="A2022" s="1" t="s">
        <v>934</v>
      </c>
      <c r="B2022" s="1" t="s">
        <v>2228</v>
      </c>
      <c r="D2022" s="1" t="s">
        <v>2229</v>
      </c>
      <c r="E2022" s="1" t="s">
        <v>5557</v>
      </c>
      <c r="F2022" s="3">
        <v>0</v>
      </c>
      <c r="G2022" s="24" t="s">
        <v>7584</v>
      </c>
      <c r="I2022" s="24" t="s">
        <v>5392</v>
      </c>
      <c r="J2022" s="24" t="s">
        <v>2919</v>
      </c>
      <c r="K2022" s="3">
        <v>30</v>
      </c>
      <c r="L2022" s="3" t="s">
        <v>5549</v>
      </c>
      <c r="M2022" s="3" t="str">
        <f>HYPERLINK("http://ictvonline.org/taxonomyHistory.asp?taxnode_id=20152819","ICTVonline=20152819")</f>
        <v>ICTVonline=20152819</v>
      </c>
    </row>
    <row r="2023" spans="1:13" x14ac:dyDescent="0.15">
      <c r="A2023" s="1" t="s">
        <v>934</v>
      </c>
      <c r="B2023" s="1" t="s">
        <v>2228</v>
      </c>
      <c r="D2023" s="1" t="s">
        <v>2229</v>
      </c>
      <c r="E2023" s="1" t="s">
        <v>5558</v>
      </c>
      <c r="F2023" s="3">
        <v>0</v>
      </c>
      <c r="G2023" s="24" t="s">
        <v>7585</v>
      </c>
      <c r="I2023" s="24" t="s">
        <v>5392</v>
      </c>
      <c r="J2023" s="24" t="s">
        <v>2919</v>
      </c>
      <c r="K2023" s="3">
        <v>30</v>
      </c>
      <c r="L2023" s="3" t="s">
        <v>5549</v>
      </c>
      <c r="M2023" s="3" t="str">
        <f>HYPERLINK("http://ictvonline.org/taxonomyHistory.asp?taxnode_id=20152820","ICTVonline=20152820")</f>
        <v>ICTVonline=20152820</v>
      </c>
    </row>
    <row r="2024" spans="1:13" x14ac:dyDescent="0.15">
      <c r="A2024" s="1" t="s">
        <v>934</v>
      </c>
      <c r="B2024" s="1" t="s">
        <v>2228</v>
      </c>
      <c r="D2024" s="1" t="s">
        <v>2229</v>
      </c>
      <c r="E2024" s="1" t="s">
        <v>5559</v>
      </c>
      <c r="F2024" s="3">
        <v>0</v>
      </c>
      <c r="G2024" s="24" t="s">
        <v>7586</v>
      </c>
      <c r="I2024" s="24" t="s">
        <v>5392</v>
      </c>
      <c r="J2024" s="24" t="s">
        <v>2919</v>
      </c>
      <c r="K2024" s="3">
        <v>30</v>
      </c>
      <c r="L2024" s="3" t="s">
        <v>5549</v>
      </c>
      <c r="M2024" s="3" t="str">
        <f>HYPERLINK("http://ictvonline.org/taxonomyHistory.asp?taxnode_id=20152821","ICTVonline=20152821")</f>
        <v>ICTVonline=20152821</v>
      </c>
    </row>
    <row r="2025" spans="1:13" x14ac:dyDescent="0.15">
      <c r="A2025" s="1" t="s">
        <v>934</v>
      </c>
      <c r="B2025" s="1" t="s">
        <v>2228</v>
      </c>
      <c r="D2025" s="1" t="s">
        <v>2229</v>
      </c>
      <c r="E2025" s="1" t="s">
        <v>289</v>
      </c>
      <c r="F2025" s="3">
        <v>0</v>
      </c>
      <c r="I2025" s="24" t="s">
        <v>5392</v>
      </c>
      <c r="J2025" s="24" t="s">
        <v>2919</v>
      </c>
      <c r="K2025" s="3">
        <v>24</v>
      </c>
      <c r="L2025" s="3" t="s">
        <v>7008</v>
      </c>
      <c r="M2025" s="3" t="str">
        <f>HYPERLINK("http://ictvonline.org/taxonomyHistory.asp?taxnode_id=20152560","ICTVonline=20152560")</f>
        <v>ICTVonline=20152560</v>
      </c>
    </row>
    <row r="2026" spans="1:13" x14ac:dyDescent="0.15">
      <c r="A2026" s="1" t="s">
        <v>934</v>
      </c>
      <c r="B2026" s="1" t="s">
        <v>2228</v>
      </c>
      <c r="D2026" s="1" t="s">
        <v>2229</v>
      </c>
      <c r="E2026" s="1" t="s">
        <v>290</v>
      </c>
      <c r="F2026" s="3">
        <v>0</v>
      </c>
      <c r="I2026" s="24" t="s">
        <v>5392</v>
      </c>
      <c r="J2026" s="24" t="s">
        <v>2919</v>
      </c>
      <c r="K2026" s="3">
        <v>24</v>
      </c>
      <c r="L2026" s="3" t="s">
        <v>7008</v>
      </c>
      <c r="M2026" s="3" t="str">
        <f>HYPERLINK("http://ictvonline.org/taxonomyHistory.asp?taxnode_id=20152561","ICTVonline=20152561")</f>
        <v>ICTVonline=20152561</v>
      </c>
    </row>
    <row r="2027" spans="1:13" x14ac:dyDescent="0.15">
      <c r="A2027" s="1" t="s">
        <v>934</v>
      </c>
      <c r="B2027" s="1" t="s">
        <v>2228</v>
      </c>
      <c r="D2027" s="1" t="s">
        <v>2229</v>
      </c>
      <c r="E2027" s="1" t="s">
        <v>5560</v>
      </c>
      <c r="F2027" s="3">
        <v>0</v>
      </c>
      <c r="G2027" s="24" t="s">
        <v>7587</v>
      </c>
      <c r="I2027" s="24" t="s">
        <v>5392</v>
      </c>
      <c r="J2027" s="24" t="s">
        <v>2919</v>
      </c>
      <c r="K2027" s="3">
        <v>30</v>
      </c>
      <c r="L2027" s="3" t="s">
        <v>5549</v>
      </c>
      <c r="M2027" s="3" t="str">
        <f>HYPERLINK("http://ictvonline.org/taxonomyHistory.asp?taxnode_id=20152822","ICTVonline=20152822")</f>
        <v>ICTVonline=20152822</v>
      </c>
    </row>
    <row r="2028" spans="1:13" x14ac:dyDescent="0.15">
      <c r="A2028" s="1" t="s">
        <v>934</v>
      </c>
      <c r="B2028" s="1" t="s">
        <v>2228</v>
      </c>
      <c r="D2028" s="1" t="s">
        <v>2229</v>
      </c>
      <c r="E2028" s="1" t="s">
        <v>95</v>
      </c>
      <c r="F2028" s="3">
        <v>0</v>
      </c>
      <c r="I2028" s="24" t="s">
        <v>5392</v>
      </c>
      <c r="J2028" s="24" t="s">
        <v>2924</v>
      </c>
      <c r="K2028" s="3">
        <v>26</v>
      </c>
      <c r="L2028" s="3" t="s">
        <v>7012</v>
      </c>
      <c r="M2028" s="3" t="str">
        <f>HYPERLINK("http://ictvonline.org/taxonomyHistory.asp?taxnode_id=20152562","ICTVonline=20152562")</f>
        <v>ICTVonline=20152562</v>
      </c>
    </row>
    <row r="2029" spans="1:13" x14ac:dyDescent="0.15">
      <c r="A2029" s="1" t="s">
        <v>934</v>
      </c>
      <c r="B2029" s="1" t="s">
        <v>2228</v>
      </c>
      <c r="D2029" s="1" t="s">
        <v>2229</v>
      </c>
      <c r="E2029" s="1" t="s">
        <v>5561</v>
      </c>
      <c r="F2029" s="3">
        <v>0</v>
      </c>
      <c r="G2029" s="24" t="s">
        <v>7588</v>
      </c>
      <c r="I2029" s="24" t="s">
        <v>5392</v>
      </c>
      <c r="J2029" s="24" t="s">
        <v>2919</v>
      </c>
      <c r="K2029" s="3">
        <v>30</v>
      </c>
      <c r="L2029" s="3" t="s">
        <v>5549</v>
      </c>
      <c r="M2029" s="3" t="str">
        <f>HYPERLINK("http://ictvonline.org/taxonomyHistory.asp?taxnode_id=20152823","ICTVonline=20152823")</f>
        <v>ICTVonline=20152823</v>
      </c>
    </row>
    <row r="2030" spans="1:13" x14ac:dyDescent="0.15">
      <c r="A2030" s="1" t="s">
        <v>934</v>
      </c>
      <c r="B2030" s="1" t="s">
        <v>2228</v>
      </c>
      <c r="D2030" s="1" t="s">
        <v>2229</v>
      </c>
      <c r="E2030" s="1" t="s">
        <v>425</v>
      </c>
      <c r="F2030" s="3">
        <v>0</v>
      </c>
      <c r="I2030" s="24" t="s">
        <v>5392</v>
      </c>
      <c r="J2030" s="24" t="s">
        <v>2920</v>
      </c>
      <c r="K2030" s="3">
        <v>16</v>
      </c>
      <c r="L2030" s="3" t="s">
        <v>2940</v>
      </c>
      <c r="M2030" s="3" t="str">
        <f>HYPERLINK("http://ictvonline.org/taxonomyHistory.asp?taxnode_id=20152563","ICTVonline=20152563")</f>
        <v>ICTVonline=20152563</v>
      </c>
    </row>
    <row r="2031" spans="1:13" x14ac:dyDescent="0.15">
      <c r="A2031" s="1" t="s">
        <v>934</v>
      </c>
      <c r="B2031" s="1" t="s">
        <v>2228</v>
      </c>
      <c r="D2031" s="1" t="s">
        <v>2229</v>
      </c>
      <c r="E2031" s="1" t="s">
        <v>293</v>
      </c>
      <c r="F2031" s="3">
        <v>0</v>
      </c>
      <c r="I2031" s="24" t="s">
        <v>5392</v>
      </c>
      <c r="J2031" s="24" t="s">
        <v>2919</v>
      </c>
      <c r="K2031" s="3">
        <v>22</v>
      </c>
      <c r="L2031" s="3" t="s">
        <v>7006</v>
      </c>
      <c r="M2031" s="3" t="str">
        <f>HYPERLINK("http://ictvonline.org/taxonomyHistory.asp?taxnode_id=20152564","ICTVonline=20152564")</f>
        <v>ICTVonline=20152564</v>
      </c>
    </row>
    <row r="2032" spans="1:13" x14ac:dyDescent="0.15">
      <c r="A2032" s="1" t="s">
        <v>934</v>
      </c>
      <c r="B2032" s="1" t="s">
        <v>2228</v>
      </c>
      <c r="D2032" s="1" t="s">
        <v>2229</v>
      </c>
      <c r="E2032" s="1" t="s">
        <v>1331</v>
      </c>
      <c r="F2032" s="3">
        <v>0</v>
      </c>
      <c r="I2032" s="24" t="s">
        <v>5392</v>
      </c>
      <c r="J2032" s="24" t="s">
        <v>2919</v>
      </c>
      <c r="K2032" s="3">
        <v>24</v>
      </c>
      <c r="L2032" s="3" t="s">
        <v>7010</v>
      </c>
      <c r="M2032" s="3" t="str">
        <f>HYPERLINK("http://ictvonline.org/taxonomyHistory.asp?taxnode_id=20152565","ICTVonline=20152565")</f>
        <v>ICTVonline=20152565</v>
      </c>
    </row>
    <row r="2033" spans="1:13" x14ac:dyDescent="0.15">
      <c r="A2033" s="1" t="s">
        <v>934</v>
      </c>
      <c r="B2033" s="1" t="s">
        <v>2228</v>
      </c>
      <c r="D2033" s="1" t="s">
        <v>2229</v>
      </c>
      <c r="E2033" s="1" t="s">
        <v>295</v>
      </c>
      <c r="F2033" s="3">
        <v>0</v>
      </c>
      <c r="I2033" s="24" t="s">
        <v>5392</v>
      </c>
      <c r="J2033" s="24" t="s">
        <v>2919</v>
      </c>
      <c r="K2033" s="3">
        <v>22</v>
      </c>
      <c r="L2033" s="3" t="s">
        <v>7006</v>
      </c>
      <c r="M2033" s="3" t="str">
        <f>HYPERLINK("http://ictvonline.org/taxonomyHistory.asp?taxnode_id=20152566","ICTVonline=20152566")</f>
        <v>ICTVonline=20152566</v>
      </c>
    </row>
    <row r="2034" spans="1:13" x14ac:dyDescent="0.15">
      <c r="A2034" s="1" t="s">
        <v>934</v>
      </c>
      <c r="B2034" s="1" t="s">
        <v>2228</v>
      </c>
      <c r="D2034" s="1" t="s">
        <v>2229</v>
      </c>
      <c r="E2034" s="1" t="s">
        <v>296</v>
      </c>
      <c r="F2034" s="3">
        <v>0</v>
      </c>
      <c r="I2034" s="24" t="s">
        <v>5392</v>
      </c>
      <c r="J2034" s="24" t="s">
        <v>2919</v>
      </c>
      <c r="K2034" s="3">
        <v>22</v>
      </c>
      <c r="L2034" s="3" t="s">
        <v>7006</v>
      </c>
      <c r="M2034" s="3" t="str">
        <f>HYPERLINK("http://ictvonline.org/taxonomyHistory.asp?taxnode_id=20152567","ICTVonline=20152567")</f>
        <v>ICTVonline=20152567</v>
      </c>
    </row>
    <row r="2035" spans="1:13" x14ac:dyDescent="0.15">
      <c r="A2035" s="1" t="s">
        <v>934</v>
      </c>
      <c r="B2035" s="1" t="s">
        <v>2228</v>
      </c>
      <c r="D2035" s="1" t="s">
        <v>2229</v>
      </c>
      <c r="E2035" s="1" t="s">
        <v>419</v>
      </c>
      <c r="F2035" s="3">
        <v>0</v>
      </c>
      <c r="I2035" s="24" t="s">
        <v>5392</v>
      </c>
      <c r="J2035" s="24" t="s">
        <v>2931</v>
      </c>
      <c r="K2035" s="3">
        <v>24</v>
      </c>
      <c r="L2035" s="3" t="s">
        <v>7009</v>
      </c>
      <c r="M2035" s="3" t="str">
        <f>HYPERLINK("http://ictvonline.org/taxonomyHistory.asp?taxnode_id=20152568","ICTVonline=20152568")</f>
        <v>ICTVonline=20152568</v>
      </c>
    </row>
    <row r="2036" spans="1:13" x14ac:dyDescent="0.15">
      <c r="A2036" s="1" t="s">
        <v>934</v>
      </c>
      <c r="B2036" s="1" t="s">
        <v>2228</v>
      </c>
      <c r="D2036" s="1" t="s">
        <v>2229</v>
      </c>
      <c r="E2036" s="1" t="s">
        <v>420</v>
      </c>
      <c r="F2036" s="3">
        <v>0</v>
      </c>
      <c r="I2036" s="24" t="s">
        <v>5392</v>
      </c>
      <c r="J2036" s="24" t="s">
        <v>2919</v>
      </c>
      <c r="K2036" s="3">
        <v>17</v>
      </c>
      <c r="L2036" s="3" t="s">
        <v>2928</v>
      </c>
      <c r="M2036" s="3" t="str">
        <f>HYPERLINK("http://ictvonline.org/taxonomyHistory.asp?taxnode_id=20152569","ICTVonline=20152569")</f>
        <v>ICTVonline=20152569</v>
      </c>
    </row>
    <row r="2037" spans="1:13" x14ac:dyDescent="0.15">
      <c r="A2037" s="1" t="s">
        <v>934</v>
      </c>
      <c r="B2037" s="1" t="s">
        <v>2228</v>
      </c>
      <c r="D2037" s="1" t="s">
        <v>2229</v>
      </c>
      <c r="E2037" s="1" t="s">
        <v>5562</v>
      </c>
      <c r="F2037" s="3">
        <v>0</v>
      </c>
      <c r="G2037" s="24" t="s">
        <v>7589</v>
      </c>
      <c r="I2037" s="24" t="s">
        <v>5392</v>
      </c>
      <c r="J2037" s="24" t="s">
        <v>2919</v>
      </c>
      <c r="K2037" s="3">
        <v>30</v>
      </c>
      <c r="L2037" s="3" t="s">
        <v>5549</v>
      </c>
      <c r="M2037" s="3" t="str">
        <f>HYPERLINK("http://ictvonline.org/taxonomyHistory.asp?taxnode_id=20152824","ICTVonline=20152824")</f>
        <v>ICTVonline=20152824</v>
      </c>
    </row>
    <row r="2038" spans="1:13" x14ac:dyDescent="0.15">
      <c r="A2038" s="1" t="s">
        <v>934</v>
      </c>
      <c r="B2038" s="1" t="s">
        <v>2228</v>
      </c>
      <c r="D2038" s="1" t="s">
        <v>2229</v>
      </c>
      <c r="E2038" s="1" t="s">
        <v>1592</v>
      </c>
      <c r="F2038" s="3">
        <v>0</v>
      </c>
      <c r="I2038" s="24" t="s">
        <v>5392</v>
      </c>
      <c r="J2038" s="24" t="s">
        <v>2919</v>
      </c>
      <c r="K2038" s="3">
        <v>22</v>
      </c>
      <c r="L2038" s="3" t="s">
        <v>7013</v>
      </c>
      <c r="M2038" s="3" t="str">
        <f>HYPERLINK("http://ictvonline.org/taxonomyHistory.asp?taxnode_id=20152570","ICTVonline=20152570")</f>
        <v>ICTVonline=20152570</v>
      </c>
    </row>
    <row r="2039" spans="1:13" x14ac:dyDescent="0.15">
      <c r="A2039" s="1" t="s">
        <v>934</v>
      </c>
      <c r="B2039" s="1" t="s">
        <v>2228</v>
      </c>
      <c r="D2039" s="1" t="s">
        <v>2229</v>
      </c>
      <c r="E2039" s="1" t="s">
        <v>1839</v>
      </c>
      <c r="F2039" s="3">
        <v>0</v>
      </c>
      <c r="I2039" s="24" t="s">
        <v>5392</v>
      </c>
      <c r="J2039" s="24" t="s">
        <v>2924</v>
      </c>
      <c r="K2039" s="3">
        <v>26</v>
      </c>
      <c r="L2039" s="3" t="s">
        <v>7012</v>
      </c>
      <c r="M2039" s="3" t="str">
        <f>HYPERLINK("http://ictvonline.org/taxonomyHistory.asp?taxnode_id=20152571","ICTVonline=20152571")</f>
        <v>ICTVonline=20152571</v>
      </c>
    </row>
    <row r="2040" spans="1:13" x14ac:dyDescent="0.15">
      <c r="A2040" s="1" t="s">
        <v>934</v>
      </c>
      <c r="B2040" s="1" t="s">
        <v>2228</v>
      </c>
      <c r="D2040" s="1" t="s">
        <v>2229</v>
      </c>
      <c r="E2040" s="1" t="s">
        <v>2553</v>
      </c>
      <c r="F2040" s="3">
        <v>0</v>
      </c>
      <c r="I2040" s="24" t="s">
        <v>5392</v>
      </c>
      <c r="J2040" s="24" t="s">
        <v>2919</v>
      </c>
      <c r="K2040" s="3">
        <v>28</v>
      </c>
      <c r="L2040" s="3" t="s">
        <v>7005</v>
      </c>
      <c r="M2040" s="3" t="str">
        <f>HYPERLINK("http://ictvonline.org/taxonomyHistory.asp?taxnode_id=20152572","ICTVonline=20152572")</f>
        <v>ICTVonline=20152572</v>
      </c>
    </row>
    <row r="2041" spans="1:13" x14ac:dyDescent="0.15">
      <c r="A2041" s="1" t="s">
        <v>934</v>
      </c>
      <c r="B2041" s="1" t="s">
        <v>2228</v>
      </c>
      <c r="D2041" s="1" t="s">
        <v>2229</v>
      </c>
      <c r="E2041" s="1" t="s">
        <v>2554</v>
      </c>
      <c r="F2041" s="3">
        <v>0</v>
      </c>
      <c r="I2041" s="24" t="s">
        <v>5392</v>
      </c>
      <c r="J2041" s="24" t="s">
        <v>2919</v>
      </c>
      <c r="K2041" s="3">
        <v>28</v>
      </c>
      <c r="L2041" s="3" t="s">
        <v>7005</v>
      </c>
      <c r="M2041" s="3" t="str">
        <f>HYPERLINK("http://ictvonline.org/taxonomyHistory.asp?taxnode_id=20152573","ICTVonline=20152573")</f>
        <v>ICTVonline=20152573</v>
      </c>
    </row>
    <row r="2042" spans="1:13" x14ac:dyDescent="0.15">
      <c r="A2042" s="1" t="s">
        <v>934</v>
      </c>
      <c r="B2042" s="1" t="s">
        <v>2228</v>
      </c>
      <c r="D2042" s="1" t="s">
        <v>2229</v>
      </c>
      <c r="E2042" s="1" t="s">
        <v>1593</v>
      </c>
      <c r="F2042" s="3">
        <v>0</v>
      </c>
      <c r="I2042" s="24" t="s">
        <v>5392</v>
      </c>
      <c r="J2042" s="24" t="s">
        <v>2919</v>
      </c>
      <c r="K2042" s="3">
        <v>24</v>
      </c>
      <c r="L2042" s="3" t="s">
        <v>7008</v>
      </c>
      <c r="M2042" s="3" t="str">
        <f>HYPERLINK("http://ictvonline.org/taxonomyHistory.asp?taxnode_id=20152574","ICTVonline=20152574")</f>
        <v>ICTVonline=20152574</v>
      </c>
    </row>
    <row r="2043" spans="1:13" x14ac:dyDescent="0.15">
      <c r="A2043" s="1" t="s">
        <v>934</v>
      </c>
      <c r="B2043" s="1" t="s">
        <v>2228</v>
      </c>
      <c r="D2043" s="1" t="s">
        <v>2229</v>
      </c>
      <c r="E2043" s="1" t="s">
        <v>1594</v>
      </c>
      <c r="F2043" s="3">
        <v>0</v>
      </c>
      <c r="I2043" s="24" t="s">
        <v>5392</v>
      </c>
      <c r="J2043" s="24" t="s">
        <v>2919</v>
      </c>
      <c r="K2043" s="3">
        <v>24</v>
      </c>
      <c r="L2043" s="3" t="s">
        <v>7008</v>
      </c>
      <c r="M2043" s="3" t="str">
        <f>HYPERLINK("http://ictvonline.org/taxonomyHistory.asp?taxnode_id=20152575","ICTVonline=20152575")</f>
        <v>ICTVonline=20152575</v>
      </c>
    </row>
    <row r="2044" spans="1:13" x14ac:dyDescent="0.15">
      <c r="A2044" s="1" t="s">
        <v>934</v>
      </c>
      <c r="B2044" s="1" t="s">
        <v>2228</v>
      </c>
      <c r="D2044" s="1" t="s">
        <v>2229</v>
      </c>
      <c r="E2044" s="1" t="s">
        <v>1595</v>
      </c>
      <c r="F2044" s="3">
        <v>0</v>
      </c>
      <c r="I2044" s="24" t="s">
        <v>5392</v>
      </c>
      <c r="J2044" s="24" t="s">
        <v>2919</v>
      </c>
      <c r="K2044" s="3">
        <v>22</v>
      </c>
      <c r="L2044" s="3" t="s">
        <v>7006</v>
      </c>
      <c r="M2044" s="3" t="str">
        <f>HYPERLINK("http://ictvonline.org/taxonomyHistory.asp?taxnode_id=20152576","ICTVonline=20152576")</f>
        <v>ICTVonline=20152576</v>
      </c>
    </row>
    <row r="2045" spans="1:13" x14ac:dyDescent="0.15">
      <c r="A2045" s="1" t="s">
        <v>934</v>
      </c>
      <c r="B2045" s="1" t="s">
        <v>2228</v>
      </c>
      <c r="D2045" s="1" t="s">
        <v>2229</v>
      </c>
      <c r="E2045" s="1" t="s">
        <v>1596</v>
      </c>
      <c r="F2045" s="3">
        <v>0</v>
      </c>
      <c r="I2045" s="24" t="s">
        <v>5392</v>
      </c>
      <c r="J2045" s="24" t="s">
        <v>2919</v>
      </c>
      <c r="K2045" s="3">
        <v>23</v>
      </c>
      <c r="L2045" s="3" t="s">
        <v>2933</v>
      </c>
      <c r="M2045" s="3" t="str">
        <f>HYPERLINK("http://ictvonline.org/taxonomyHistory.asp?taxnode_id=20152577","ICTVonline=20152577")</f>
        <v>ICTVonline=20152577</v>
      </c>
    </row>
    <row r="2046" spans="1:13" x14ac:dyDescent="0.15">
      <c r="A2046" s="1" t="s">
        <v>934</v>
      </c>
      <c r="B2046" s="1" t="s">
        <v>2228</v>
      </c>
      <c r="D2046" s="1" t="s">
        <v>2229</v>
      </c>
      <c r="E2046" s="1" t="s">
        <v>447</v>
      </c>
      <c r="F2046" s="3">
        <v>0</v>
      </c>
      <c r="I2046" s="24" t="s">
        <v>5392</v>
      </c>
      <c r="J2046" s="24" t="s">
        <v>2919</v>
      </c>
      <c r="K2046" s="3">
        <v>22</v>
      </c>
      <c r="L2046" s="3" t="s">
        <v>7006</v>
      </c>
      <c r="M2046" s="3" t="str">
        <f>HYPERLINK("http://ictvonline.org/taxonomyHistory.asp?taxnode_id=20152578","ICTVonline=20152578")</f>
        <v>ICTVonline=20152578</v>
      </c>
    </row>
    <row r="2047" spans="1:13" x14ac:dyDescent="0.15">
      <c r="A2047" s="1" t="s">
        <v>934</v>
      </c>
      <c r="B2047" s="1" t="s">
        <v>2228</v>
      </c>
      <c r="D2047" s="1" t="s">
        <v>2229</v>
      </c>
      <c r="E2047" s="1" t="s">
        <v>448</v>
      </c>
      <c r="F2047" s="3">
        <v>0</v>
      </c>
      <c r="I2047" s="24" t="s">
        <v>5392</v>
      </c>
      <c r="J2047" s="24" t="s">
        <v>2919</v>
      </c>
      <c r="K2047" s="3">
        <v>24</v>
      </c>
      <c r="L2047" s="3" t="s">
        <v>7010</v>
      </c>
      <c r="M2047" s="3" t="str">
        <f>HYPERLINK("http://ictvonline.org/taxonomyHistory.asp?taxnode_id=20152579","ICTVonline=20152579")</f>
        <v>ICTVonline=20152579</v>
      </c>
    </row>
    <row r="2048" spans="1:13" x14ac:dyDescent="0.15">
      <c r="A2048" s="1" t="s">
        <v>934</v>
      </c>
      <c r="B2048" s="1" t="s">
        <v>2228</v>
      </c>
      <c r="D2048" s="1" t="s">
        <v>2229</v>
      </c>
      <c r="E2048" s="1" t="s">
        <v>449</v>
      </c>
      <c r="F2048" s="3">
        <v>0</v>
      </c>
      <c r="I2048" s="24" t="s">
        <v>5392</v>
      </c>
      <c r="J2048" s="24" t="s">
        <v>2919</v>
      </c>
      <c r="K2048" s="3">
        <v>22</v>
      </c>
      <c r="L2048" s="3" t="s">
        <v>7006</v>
      </c>
      <c r="M2048" s="3" t="str">
        <f>HYPERLINK("http://ictvonline.org/taxonomyHistory.asp?taxnode_id=20152580","ICTVonline=20152580")</f>
        <v>ICTVonline=20152580</v>
      </c>
    </row>
    <row r="2049" spans="1:13" x14ac:dyDescent="0.15">
      <c r="A2049" s="1" t="s">
        <v>934</v>
      </c>
      <c r="B2049" s="1" t="s">
        <v>2228</v>
      </c>
      <c r="D2049" s="1" t="s">
        <v>2229</v>
      </c>
      <c r="E2049" s="1" t="s">
        <v>450</v>
      </c>
      <c r="F2049" s="3">
        <v>0</v>
      </c>
      <c r="I2049" s="24" t="s">
        <v>5392</v>
      </c>
      <c r="J2049" s="24" t="s">
        <v>2919</v>
      </c>
      <c r="K2049" s="3">
        <v>17</v>
      </c>
      <c r="L2049" s="3" t="s">
        <v>2928</v>
      </c>
      <c r="M2049" s="3" t="str">
        <f>HYPERLINK("http://ictvonline.org/taxonomyHistory.asp?taxnode_id=20152581","ICTVonline=20152581")</f>
        <v>ICTVonline=20152581</v>
      </c>
    </row>
    <row r="2050" spans="1:13" x14ac:dyDescent="0.15">
      <c r="A2050" s="1" t="s">
        <v>934</v>
      </c>
      <c r="B2050" s="1" t="s">
        <v>2228</v>
      </c>
      <c r="D2050" s="1" t="s">
        <v>2229</v>
      </c>
      <c r="E2050" s="1" t="s">
        <v>451</v>
      </c>
      <c r="F2050" s="3">
        <v>0</v>
      </c>
      <c r="I2050" s="24" t="s">
        <v>5392</v>
      </c>
      <c r="J2050" s="24" t="s">
        <v>2919</v>
      </c>
      <c r="K2050" s="3">
        <v>22</v>
      </c>
      <c r="L2050" s="3" t="s">
        <v>7006</v>
      </c>
      <c r="M2050" s="3" t="str">
        <f>HYPERLINK("http://ictvonline.org/taxonomyHistory.asp?taxnode_id=20152582","ICTVonline=20152582")</f>
        <v>ICTVonline=20152582</v>
      </c>
    </row>
    <row r="2051" spans="1:13" x14ac:dyDescent="0.15">
      <c r="A2051" s="1" t="s">
        <v>934</v>
      </c>
      <c r="B2051" s="1" t="s">
        <v>2228</v>
      </c>
      <c r="D2051" s="1" t="s">
        <v>2229</v>
      </c>
      <c r="E2051" s="1" t="s">
        <v>5563</v>
      </c>
      <c r="F2051" s="3">
        <v>0</v>
      </c>
      <c r="G2051" s="24" t="s">
        <v>7590</v>
      </c>
      <c r="I2051" s="24" t="s">
        <v>5392</v>
      </c>
      <c r="J2051" s="24" t="s">
        <v>2919</v>
      </c>
      <c r="K2051" s="3">
        <v>30</v>
      </c>
      <c r="L2051" s="3" t="s">
        <v>5549</v>
      </c>
      <c r="M2051" s="3" t="str">
        <f>HYPERLINK("http://ictvonline.org/taxonomyHistory.asp?taxnode_id=20152825","ICTVonline=20152825")</f>
        <v>ICTVonline=20152825</v>
      </c>
    </row>
    <row r="2052" spans="1:13" x14ac:dyDescent="0.15">
      <c r="A2052" s="1" t="s">
        <v>934</v>
      </c>
      <c r="B2052" s="1" t="s">
        <v>2228</v>
      </c>
      <c r="D2052" s="1" t="s">
        <v>2229</v>
      </c>
      <c r="E2052" s="1" t="s">
        <v>452</v>
      </c>
      <c r="F2052" s="3">
        <v>0</v>
      </c>
      <c r="I2052" s="24" t="s">
        <v>5392</v>
      </c>
      <c r="J2052" s="24" t="s">
        <v>2919</v>
      </c>
      <c r="K2052" s="3">
        <v>24</v>
      </c>
      <c r="L2052" s="3" t="s">
        <v>7008</v>
      </c>
      <c r="M2052" s="3" t="str">
        <f>HYPERLINK("http://ictvonline.org/taxonomyHistory.asp?taxnode_id=20152584","ICTVonline=20152584")</f>
        <v>ICTVonline=20152584</v>
      </c>
    </row>
    <row r="2053" spans="1:13" x14ac:dyDescent="0.15">
      <c r="A2053" s="1" t="s">
        <v>934</v>
      </c>
      <c r="B2053" s="1" t="s">
        <v>2228</v>
      </c>
      <c r="D2053" s="1" t="s">
        <v>2229</v>
      </c>
      <c r="E2053" s="1" t="s">
        <v>304</v>
      </c>
      <c r="F2053" s="3">
        <v>0</v>
      </c>
      <c r="I2053" s="24" t="s">
        <v>5392</v>
      </c>
      <c r="J2053" s="24" t="s">
        <v>2919</v>
      </c>
      <c r="K2053" s="3">
        <v>24</v>
      </c>
      <c r="L2053" s="3" t="s">
        <v>7007</v>
      </c>
      <c r="M2053" s="3" t="str">
        <f>HYPERLINK("http://ictvonline.org/taxonomyHistory.asp?taxnode_id=20152585","ICTVonline=20152585")</f>
        <v>ICTVonline=20152585</v>
      </c>
    </row>
    <row r="2054" spans="1:13" x14ac:dyDescent="0.15">
      <c r="A2054" s="1" t="s">
        <v>934</v>
      </c>
      <c r="B2054" s="1" t="s">
        <v>2228</v>
      </c>
      <c r="D2054" s="1" t="s">
        <v>2229</v>
      </c>
      <c r="E2054" s="1" t="s">
        <v>442</v>
      </c>
      <c r="F2054" s="3">
        <v>0</v>
      </c>
      <c r="I2054" s="24" t="s">
        <v>5392</v>
      </c>
      <c r="J2054" s="24" t="s">
        <v>2919</v>
      </c>
      <c r="K2054" s="3">
        <v>22</v>
      </c>
      <c r="L2054" s="3" t="s">
        <v>7006</v>
      </c>
      <c r="M2054" s="3" t="str">
        <f>HYPERLINK("http://ictvonline.org/taxonomyHistory.asp?taxnode_id=20152586","ICTVonline=20152586")</f>
        <v>ICTVonline=20152586</v>
      </c>
    </row>
    <row r="2055" spans="1:13" x14ac:dyDescent="0.15">
      <c r="A2055" s="1" t="s">
        <v>934</v>
      </c>
      <c r="B2055" s="1" t="s">
        <v>2228</v>
      </c>
      <c r="D2055" s="1" t="s">
        <v>2229</v>
      </c>
      <c r="E2055" s="1" t="s">
        <v>307</v>
      </c>
      <c r="F2055" s="3">
        <v>0</v>
      </c>
      <c r="I2055" s="24" t="s">
        <v>5392</v>
      </c>
      <c r="J2055" s="24" t="s">
        <v>2919</v>
      </c>
      <c r="K2055" s="3">
        <v>24</v>
      </c>
      <c r="L2055" s="3" t="s">
        <v>7008</v>
      </c>
      <c r="M2055" s="3" t="str">
        <f>HYPERLINK("http://ictvonline.org/taxonomyHistory.asp?taxnode_id=20152587","ICTVonline=20152587")</f>
        <v>ICTVonline=20152587</v>
      </c>
    </row>
    <row r="2056" spans="1:13" x14ac:dyDescent="0.15">
      <c r="A2056" s="1" t="s">
        <v>934</v>
      </c>
      <c r="B2056" s="1" t="s">
        <v>2228</v>
      </c>
      <c r="D2056" s="1" t="s">
        <v>2229</v>
      </c>
      <c r="E2056" s="1" t="s">
        <v>308</v>
      </c>
      <c r="F2056" s="3">
        <v>0</v>
      </c>
      <c r="I2056" s="24" t="s">
        <v>5392</v>
      </c>
      <c r="J2056" s="24" t="s">
        <v>2919</v>
      </c>
      <c r="K2056" s="3">
        <v>23</v>
      </c>
      <c r="L2056" s="3" t="s">
        <v>2933</v>
      </c>
      <c r="M2056" s="3" t="str">
        <f>HYPERLINK("http://ictvonline.org/taxonomyHistory.asp?taxnode_id=20152588","ICTVonline=20152588")</f>
        <v>ICTVonline=20152588</v>
      </c>
    </row>
    <row r="2057" spans="1:13" x14ac:dyDescent="0.15">
      <c r="A2057" s="1" t="s">
        <v>934</v>
      </c>
      <c r="B2057" s="1" t="s">
        <v>2228</v>
      </c>
      <c r="D2057" s="1" t="s">
        <v>2229</v>
      </c>
      <c r="E2057" s="1" t="s">
        <v>309</v>
      </c>
      <c r="F2057" s="3">
        <v>0</v>
      </c>
      <c r="I2057" s="24" t="s">
        <v>5392</v>
      </c>
      <c r="J2057" s="24" t="s">
        <v>2919</v>
      </c>
      <c r="K2057" s="3">
        <v>24</v>
      </c>
      <c r="L2057" s="3" t="s">
        <v>7008</v>
      </c>
      <c r="M2057" s="3" t="str">
        <f>HYPERLINK("http://ictvonline.org/taxonomyHistory.asp?taxnode_id=20152589","ICTVonline=20152589")</f>
        <v>ICTVonline=20152589</v>
      </c>
    </row>
    <row r="2058" spans="1:13" x14ac:dyDescent="0.15">
      <c r="A2058" s="1" t="s">
        <v>934</v>
      </c>
      <c r="B2058" s="1" t="s">
        <v>2228</v>
      </c>
      <c r="D2058" s="1" t="s">
        <v>2229</v>
      </c>
      <c r="E2058" s="1" t="s">
        <v>2555</v>
      </c>
      <c r="F2058" s="3">
        <v>0</v>
      </c>
      <c r="I2058" s="24" t="s">
        <v>5392</v>
      </c>
      <c r="J2058" s="24" t="s">
        <v>2919</v>
      </c>
      <c r="K2058" s="3">
        <v>28</v>
      </c>
      <c r="L2058" s="3" t="s">
        <v>7005</v>
      </c>
      <c r="M2058" s="3" t="str">
        <f>HYPERLINK("http://ictvonline.org/taxonomyHistory.asp?taxnode_id=20152590","ICTVonline=20152590")</f>
        <v>ICTVonline=20152590</v>
      </c>
    </row>
    <row r="2059" spans="1:13" x14ac:dyDescent="0.15">
      <c r="A2059" s="1" t="s">
        <v>934</v>
      </c>
      <c r="B2059" s="1" t="s">
        <v>2228</v>
      </c>
      <c r="D2059" s="1" t="s">
        <v>2229</v>
      </c>
      <c r="E2059" s="1" t="s">
        <v>5564</v>
      </c>
      <c r="F2059" s="3">
        <v>0</v>
      </c>
      <c r="G2059" s="24" t="s">
        <v>7591</v>
      </c>
      <c r="I2059" s="24" t="s">
        <v>5392</v>
      </c>
      <c r="J2059" s="24" t="s">
        <v>2919</v>
      </c>
      <c r="K2059" s="3">
        <v>30</v>
      </c>
      <c r="L2059" s="3" t="s">
        <v>5549</v>
      </c>
      <c r="M2059" s="3" t="str">
        <f>HYPERLINK("http://ictvonline.org/taxonomyHistory.asp?taxnode_id=20152826","ICTVonline=20152826")</f>
        <v>ICTVonline=20152826</v>
      </c>
    </row>
    <row r="2060" spans="1:13" x14ac:dyDescent="0.15">
      <c r="A2060" s="1" t="s">
        <v>934</v>
      </c>
      <c r="B2060" s="1" t="s">
        <v>2228</v>
      </c>
      <c r="D2060" s="1" t="s">
        <v>2229</v>
      </c>
      <c r="E2060" s="1" t="s">
        <v>5565</v>
      </c>
      <c r="F2060" s="3">
        <v>0</v>
      </c>
      <c r="G2060" s="24" t="s">
        <v>7592</v>
      </c>
      <c r="I2060" s="24" t="s">
        <v>5392</v>
      </c>
      <c r="J2060" s="24" t="s">
        <v>2919</v>
      </c>
      <c r="K2060" s="3">
        <v>30</v>
      </c>
      <c r="L2060" s="3" t="s">
        <v>5549</v>
      </c>
      <c r="M2060" s="3" t="str">
        <f>HYPERLINK("http://ictvonline.org/taxonomyHistory.asp?taxnode_id=20152827","ICTVonline=20152827")</f>
        <v>ICTVonline=20152827</v>
      </c>
    </row>
    <row r="2061" spans="1:13" x14ac:dyDescent="0.15">
      <c r="A2061" s="1" t="s">
        <v>934</v>
      </c>
      <c r="B2061" s="1" t="s">
        <v>2228</v>
      </c>
      <c r="D2061" s="1" t="s">
        <v>2229</v>
      </c>
      <c r="E2061" s="1" t="s">
        <v>5566</v>
      </c>
      <c r="F2061" s="3">
        <v>0</v>
      </c>
      <c r="G2061" s="24" t="s">
        <v>7593</v>
      </c>
      <c r="I2061" s="24" t="s">
        <v>5392</v>
      </c>
      <c r="J2061" s="24" t="s">
        <v>2919</v>
      </c>
      <c r="K2061" s="3">
        <v>30</v>
      </c>
      <c r="L2061" s="3" t="s">
        <v>5549</v>
      </c>
      <c r="M2061" s="3" t="str">
        <f>HYPERLINK("http://ictvonline.org/taxonomyHistory.asp?taxnode_id=20152828","ICTVonline=20152828")</f>
        <v>ICTVonline=20152828</v>
      </c>
    </row>
    <row r="2062" spans="1:13" x14ac:dyDescent="0.15">
      <c r="A2062" s="1" t="s">
        <v>934</v>
      </c>
      <c r="B2062" s="1" t="s">
        <v>2228</v>
      </c>
      <c r="D2062" s="1" t="s">
        <v>2229</v>
      </c>
      <c r="E2062" s="1" t="s">
        <v>2556</v>
      </c>
      <c r="F2062" s="3">
        <v>0</v>
      </c>
      <c r="I2062" s="24" t="s">
        <v>5392</v>
      </c>
      <c r="J2062" s="24" t="s">
        <v>2919</v>
      </c>
      <c r="K2062" s="3">
        <v>28</v>
      </c>
      <c r="L2062" s="3" t="s">
        <v>7005</v>
      </c>
      <c r="M2062" s="3" t="str">
        <f>HYPERLINK("http://ictvonline.org/taxonomyHistory.asp?taxnode_id=20152592","ICTVonline=20152592")</f>
        <v>ICTVonline=20152592</v>
      </c>
    </row>
    <row r="2063" spans="1:13" x14ac:dyDescent="0.15">
      <c r="A2063" s="1" t="s">
        <v>934</v>
      </c>
      <c r="B2063" s="1" t="s">
        <v>2228</v>
      </c>
      <c r="D2063" s="1" t="s">
        <v>2229</v>
      </c>
      <c r="E2063" s="1" t="s">
        <v>1805</v>
      </c>
      <c r="F2063" s="3">
        <v>0</v>
      </c>
      <c r="I2063" s="24" t="s">
        <v>5392</v>
      </c>
      <c r="J2063" s="24" t="s">
        <v>2920</v>
      </c>
      <c r="K2063" s="3">
        <v>16</v>
      </c>
      <c r="L2063" s="3" t="s">
        <v>2940</v>
      </c>
      <c r="M2063" s="3" t="str">
        <f>HYPERLINK("http://ictvonline.org/taxonomyHistory.asp?taxnode_id=20152594","ICTVonline=20152594")</f>
        <v>ICTVonline=20152594</v>
      </c>
    </row>
    <row r="2064" spans="1:13" x14ac:dyDescent="0.15">
      <c r="A2064" s="1" t="s">
        <v>934</v>
      </c>
      <c r="B2064" s="1" t="s">
        <v>2228</v>
      </c>
      <c r="D2064" s="1" t="s">
        <v>2229</v>
      </c>
      <c r="E2064" s="1" t="s">
        <v>1806</v>
      </c>
      <c r="F2064" s="3">
        <v>0</v>
      </c>
      <c r="I2064" s="24" t="s">
        <v>5392</v>
      </c>
      <c r="J2064" s="24" t="s">
        <v>2931</v>
      </c>
      <c r="K2064" s="3">
        <v>24</v>
      </c>
      <c r="L2064" s="3" t="s">
        <v>7009</v>
      </c>
      <c r="M2064" s="3" t="str">
        <f>HYPERLINK("http://ictvonline.org/taxonomyHistory.asp?taxnode_id=20152595","ICTVonline=20152595")</f>
        <v>ICTVonline=20152595</v>
      </c>
    </row>
    <row r="2065" spans="1:13" x14ac:dyDescent="0.15">
      <c r="A2065" s="1" t="s">
        <v>934</v>
      </c>
      <c r="B2065" s="1" t="s">
        <v>2228</v>
      </c>
      <c r="D2065" s="1" t="s">
        <v>2229</v>
      </c>
      <c r="E2065" s="1" t="s">
        <v>1216</v>
      </c>
      <c r="F2065" s="3">
        <v>0</v>
      </c>
      <c r="I2065" s="24" t="s">
        <v>5392</v>
      </c>
      <c r="J2065" s="24" t="s">
        <v>2919</v>
      </c>
      <c r="K2065" s="3">
        <v>24</v>
      </c>
      <c r="L2065" s="3" t="s">
        <v>7007</v>
      </c>
      <c r="M2065" s="3" t="str">
        <f>HYPERLINK("http://ictvonline.org/taxonomyHistory.asp?taxnode_id=20152596","ICTVonline=20152596")</f>
        <v>ICTVonline=20152596</v>
      </c>
    </row>
    <row r="2066" spans="1:13" x14ac:dyDescent="0.15">
      <c r="A2066" s="1" t="s">
        <v>934</v>
      </c>
      <c r="B2066" s="1" t="s">
        <v>2228</v>
      </c>
      <c r="D2066" s="1" t="s">
        <v>2229</v>
      </c>
      <c r="E2066" s="1" t="s">
        <v>1217</v>
      </c>
      <c r="F2066" s="3">
        <v>0</v>
      </c>
      <c r="I2066" s="24" t="s">
        <v>5392</v>
      </c>
      <c r="J2066" s="24" t="s">
        <v>2920</v>
      </c>
      <c r="K2066" s="3">
        <v>16</v>
      </c>
      <c r="L2066" s="3" t="s">
        <v>2940</v>
      </c>
      <c r="M2066" s="3" t="str">
        <f>HYPERLINK("http://ictvonline.org/taxonomyHistory.asp?taxnode_id=20152597","ICTVonline=20152597")</f>
        <v>ICTVonline=20152597</v>
      </c>
    </row>
    <row r="2067" spans="1:13" x14ac:dyDescent="0.15">
      <c r="A2067" s="1" t="s">
        <v>934</v>
      </c>
      <c r="B2067" s="1" t="s">
        <v>2228</v>
      </c>
      <c r="D2067" s="1" t="s">
        <v>2229</v>
      </c>
      <c r="E2067" s="1" t="s">
        <v>2557</v>
      </c>
      <c r="F2067" s="3">
        <v>0</v>
      </c>
      <c r="I2067" s="24" t="s">
        <v>5392</v>
      </c>
      <c r="J2067" s="24" t="s">
        <v>2919</v>
      </c>
      <c r="K2067" s="3">
        <v>28</v>
      </c>
      <c r="L2067" s="3" t="s">
        <v>7005</v>
      </c>
      <c r="M2067" s="3" t="str">
        <f>HYPERLINK("http://ictvonline.org/taxonomyHistory.asp?taxnode_id=20152598","ICTVonline=20152598")</f>
        <v>ICTVonline=20152598</v>
      </c>
    </row>
    <row r="2068" spans="1:13" x14ac:dyDescent="0.15">
      <c r="A2068" s="1" t="s">
        <v>934</v>
      </c>
      <c r="B2068" s="1" t="s">
        <v>2228</v>
      </c>
      <c r="D2068" s="1" t="s">
        <v>2229</v>
      </c>
      <c r="E2068" s="1" t="s">
        <v>5567</v>
      </c>
      <c r="F2068" s="3">
        <v>0</v>
      </c>
      <c r="G2068" s="24" t="s">
        <v>7594</v>
      </c>
      <c r="I2068" s="24" t="s">
        <v>5392</v>
      </c>
      <c r="J2068" s="24" t="s">
        <v>2919</v>
      </c>
      <c r="K2068" s="3">
        <v>30</v>
      </c>
      <c r="L2068" s="3" t="s">
        <v>5549</v>
      </c>
      <c r="M2068" s="3" t="str">
        <f>HYPERLINK("http://ictvonline.org/taxonomyHistory.asp?taxnode_id=20152829","ICTVonline=20152829")</f>
        <v>ICTVonline=20152829</v>
      </c>
    </row>
    <row r="2069" spans="1:13" x14ac:dyDescent="0.15">
      <c r="A2069" s="1" t="s">
        <v>934</v>
      </c>
      <c r="B2069" s="1" t="s">
        <v>2228</v>
      </c>
      <c r="D2069" s="1" t="s">
        <v>2229</v>
      </c>
      <c r="E2069" s="1" t="s">
        <v>2558</v>
      </c>
      <c r="F2069" s="3">
        <v>0</v>
      </c>
      <c r="I2069" s="24" t="s">
        <v>5392</v>
      </c>
      <c r="J2069" s="24" t="s">
        <v>2919</v>
      </c>
      <c r="K2069" s="3">
        <v>28</v>
      </c>
      <c r="L2069" s="3" t="s">
        <v>7005</v>
      </c>
      <c r="M2069" s="3" t="str">
        <f>HYPERLINK("http://ictvonline.org/taxonomyHistory.asp?taxnode_id=20152599","ICTVonline=20152599")</f>
        <v>ICTVonline=20152599</v>
      </c>
    </row>
    <row r="2070" spans="1:13" x14ac:dyDescent="0.15">
      <c r="A2070" s="1" t="s">
        <v>934</v>
      </c>
      <c r="B2070" s="1" t="s">
        <v>2228</v>
      </c>
      <c r="D2070" s="1" t="s">
        <v>2229</v>
      </c>
      <c r="E2070" s="1" t="s">
        <v>5568</v>
      </c>
      <c r="F2070" s="3">
        <v>0</v>
      </c>
      <c r="G2070" s="24" t="s">
        <v>7595</v>
      </c>
      <c r="I2070" s="24" t="s">
        <v>5392</v>
      </c>
      <c r="J2070" s="24" t="s">
        <v>2919</v>
      </c>
      <c r="K2070" s="3">
        <v>30</v>
      </c>
      <c r="L2070" s="3" t="s">
        <v>5549</v>
      </c>
      <c r="M2070" s="3" t="str">
        <f>HYPERLINK("http://ictvonline.org/taxonomyHistory.asp?taxnode_id=20152830","ICTVonline=20152830")</f>
        <v>ICTVonline=20152830</v>
      </c>
    </row>
    <row r="2071" spans="1:13" x14ac:dyDescent="0.15">
      <c r="A2071" s="1" t="s">
        <v>934</v>
      </c>
      <c r="B2071" s="1" t="s">
        <v>2228</v>
      </c>
      <c r="D2071" s="1" t="s">
        <v>2229</v>
      </c>
      <c r="E2071" s="1" t="s">
        <v>5569</v>
      </c>
      <c r="F2071" s="3">
        <v>0</v>
      </c>
      <c r="G2071" s="24" t="s">
        <v>7596</v>
      </c>
      <c r="I2071" s="24" t="s">
        <v>5392</v>
      </c>
      <c r="J2071" s="24" t="s">
        <v>2919</v>
      </c>
      <c r="K2071" s="3">
        <v>30</v>
      </c>
      <c r="L2071" s="3" t="s">
        <v>5549</v>
      </c>
      <c r="M2071" s="3" t="str">
        <f>HYPERLINK("http://ictvonline.org/taxonomyHistory.asp?taxnode_id=20152831","ICTVonline=20152831")</f>
        <v>ICTVonline=20152831</v>
      </c>
    </row>
    <row r="2072" spans="1:13" x14ac:dyDescent="0.15">
      <c r="A2072" s="1" t="s">
        <v>934</v>
      </c>
      <c r="B2072" s="1" t="s">
        <v>2228</v>
      </c>
      <c r="D2072" s="1" t="s">
        <v>2229</v>
      </c>
      <c r="E2072" s="1" t="s">
        <v>5570</v>
      </c>
      <c r="F2072" s="3">
        <v>0</v>
      </c>
      <c r="G2072" s="24" t="s">
        <v>7597</v>
      </c>
      <c r="I2072" s="24" t="s">
        <v>5392</v>
      </c>
      <c r="J2072" s="24" t="s">
        <v>2919</v>
      </c>
      <c r="K2072" s="3">
        <v>30</v>
      </c>
      <c r="L2072" s="3" t="s">
        <v>5549</v>
      </c>
      <c r="M2072" s="3" t="str">
        <f>HYPERLINK("http://ictvonline.org/taxonomyHistory.asp?taxnode_id=20152832","ICTVonline=20152832")</f>
        <v>ICTVonline=20152832</v>
      </c>
    </row>
    <row r="2073" spans="1:13" x14ac:dyDescent="0.15">
      <c r="A2073" s="1" t="s">
        <v>934</v>
      </c>
      <c r="B2073" s="1" t="s">
        <v>2228</v>
      </c>
      <c r="D2073" s="1" t="s">
        <v>2229</v>
      </c>
      <c r="E2073" s="1" t="s">
        <v>1218</v>
      </c>
      <c r="F2073" s="3">
        <v>0</v>
      </c>
      <c r="I2073" s="24" t="s">
        <v>5392</v>
      </c>
      <c r="J2073" s="24" t="s">
        <v>2919</v>
      </c>
      <c r="K2073" s="3">
        <v>24</v>
      </c>
      <c r="L2073" s="3" t="s">
        <v>7008</v>
      </c>
      <c r="M2073" s="3" t="str">
        <f>HYPERLINK("http://ictvonline.org/taxonomyHistory.asp?taxnode_id=20152601","ICTVonline=20152601")</f>
        <v>ICTVonline=20152601</v>
      </c>
    </row>
    <row r="2074" spans="1:13" x14ac:dyDescent="0.15">
      <c r="A2074" s="1" t="s">
        <v>934</v>
      </c>
      <c r="B2074" s="1" t="s">
        <v>2228</v>
      </c>
      <c r="D2074" s="1" t="s">
        <v>2229</v>
      </c>
      <c r="E2074" s="1" t="s">
        <v>2559</v>
      </c>
      <c r="F2074" s="3">
        <v>0</v>
      </c>
      <c r="I2074" s="24" t="s">
        <v>5392</v>
      </c>
      <c r="J2074" s="24" t="s">
        <v>2919</v>
      </c>
      <c r="K2074" s="3">
        <v>28</v>
      </c>
      <c r="L2074" s="3" t="s">
        <v>7005</v>
      </c>
      <c r="M2074" s="3" t="str">
        <f>HYPERLINK("http://ictvonline.org/taxonomyHistory.asp?taxnode_id=20152602","ICTVonline=20152602")</f>
        <v>ICTVonline=20152602</v>
      </c>
    </row>
    <row r="2075" spans="1:13" x14ac:dyDescent="0.15">
      <c r="A2075" s="1" t="s">
        <v>934</v>
      </c>
      <c r="B2075" s="1" t="s">
        <v>2228</v>
      </c>
      <c r="D2075" s="1" t="s">
        <v>2229</v>
      </c>
      <c r="E2075" s="1" t="s">
        <v>1219</v>
      </c>
      <c r="F2075" s="3">
        <v>0</v>
      </c>
      <c r="I2075" s="24" t="s">
        <v>5392</v>
      </c>
      <c r="J2075" s="24" t="s">
        <v>2919</v>
      </c>
      <c r="K2075" s="3">
        <v>24</v>
      </c>
      <c r="L2075" s="3" t="s">
        <v>7007</v>
      </c>
      <c r="M2075" s="3" t="str">
        <f>HYPERLINK("http://ictvonline.org/taxonomyHistory.asp?taxnode_id=20152603","ICTVonline=20152603")</f>
        <v>ICTVonline=20152603</v>
      </c>
    </row>
    <row r="2076" spans="1:13" x14ac:dyDescent="0.15">
      <c r="A2076" s="1" t="s">
        <v>934</v>
      </c>
      <c r="B2076" s="1" t="s">
        <v>2228</v>
      </c>
      <c r="D2076" s="1" t="s">
        <v>2229</v>
      </c>
      <c r="E2076" s="1" t="s">
        <v>1238</v>
      </c>
      <c r="F2076" s="3">
        <v>0</v>
      </c>
      <c r="I2076" s="24" t="s">
        <v>5392</v>
      </c>
      <c r="J2076" s="24" t="s">
        <v>2919</v>
      </c>
      <c r="K2076" s="3">
        <v>24</v>
      </c>
      <c r="L2076" s="3" t="s">
        <v>7008</v>
      </c>
      <c r="M2076" s="3" t="str">
        <f>HYPERLINK("http://ictvonline.org/taxonomyHistory.asp?taxnode_id=20152604","ICTVonline=20152604")</f>
        <v>ICTVonline=20152604</v>
      </c>
    </row>
    <row r="2077" spans="1:13" x14ac:dyDescent="0.15">
      <c r="A2077" s="1" t="s">
        <v>934</v>
      </c>
      <c r="B2077" s="1" t="s">
        <v>2228</v>
      </c>
      <c r="D2077" s="1" t="s">
        <v>2229</v>
      </c>
      <c r="E2077" s="1" t="s">
        <v>1239</v>
      </c>
      <c r="F2077" s="3">
        <v>0</v>
      </c>
      <c r="I2077" s="24" t="s">
        <v>5392</v>
      </c>
      <c r="J2077" s="24" t="s">
        <v>2919</v>
      </c>
      <c r="K2077" s="3">
        <v>24</v>
      </c>
      <c r="L2077" s="3" t="s">
        <v>7010</v>
      </c>
      <c r="M2077" s="3" t="str">
        <f>HYPERLINK("http://ictvonline.org/taxonomyHistory.asp?taxnode_id=20152605","ICTVonline=20152605")</f>
        <v>ICTVonline=20152605</v>
      </c>
    </row>
    <row r="2078" spans="1:13" x14ac:dyDescent="0.15">
      <c r="A2078" s="1" t="s">
        <v>934</v>
      </c>
      <c r="B2078" s="1" t="s">
        <v>2228</v>
      </c>
      <c r="D2078" s="1" t="s">
        <v>2229</v>
      </c>
      <c r="E2078" s="1" t="s">
        <v>1240</v>
      </c>
      <c r="F2078" s="3">
        <v>0</v>
      </c>
      <c r="I2078" s="24" t="s">
        <v>5392</v>
      </c>
      <c r="J2078" s="24" t="s">
        <v>2919</v>
      </c>
      <c r="K2078" s="3">
        <v>23</v>
      </c>
      <c r="L2078" s="3" t="s">
        <v>2933</v>
      </c>
      <c r="M2078" s="3" t="str">
        <f>HYPERLINK("http://ictvonline.org/taxonomyHistory.asp?taxnode_id=20152606","ICTVonline=20152606")</f>
        <v>ICTVonline=20152606</v>
      </c>
    </row>
    <row r="2079" spans="1:13" x14ac:dyDescent="0.15">
      <c r="A2079" s="1" t="s">
        <v>934</v>
      </c>
      <c r="B2079" s="1" t="s">
        <v>2228</v>
      </c>
      <c r="D2079" s="1" t="s">
        <v>2229</v>
      </c>
      <c r="E2079" s="1" t="s">
        <v>2560</v>
      </c>
      <c r="F2079" s="3">
        <v>0</v>
      </c>
      <c r="I2079" s="24" t="s">
        <v>5392</v>
      </c>
      <c r="J2079" s="24" t="s">
        <v>2919</v>
      </c>
      <c r="K2079" s="3">
        <v>28</v>
      </c>
      <c r="L2079" s="3" t="s">
        <v>7005</v>
      </c>
      <c r="M2079" s="3" t="str">
        <f>HYPERLINK("http://ictvonline.org/taxonomyHistory.asp?taxnode_id=20152607","ICTVonline=20152607")</f>
        <v>ICTVonline=20152607</v>
      </c>
    </row>
    <row r="2080" spans="1:13" x14ac:dyDescent="0.15">
      <c r="A2080" s="1" t="s">
        <v>934</v>
      </c>
      <c r="B2080" s="1" t="s">
        <v>2228</v>
      </c>
      <c r="D2080" s="1" t="s">
        <v>2229</v>
      </c>
      <c r="E2080" s="1" t="s">
        <v>1833</v>
      </c>
      <c r="F2080" s="3">
        <v>0</v>
      </c>
      <c r="I2080" s="24" t="s">
        <v>5392</v>
      </c>
      <c r="J2080" s="24" t="s">
        <v>2919</v>
      </c>
      <c r="K2080" s="3">
        <v>22</v>
      </c>
      <c r="L2080" s="3" t="s">
        <v>7006</v>
      </c>
      <c r="M2080" s="3" t="str">
        <f>HYPERLINK("http://ictvonline.org/taxonomyHistory.asp?taxnode_id=20152608","ICTVonline=20152608")</f>
        <v>ICTVonline=20152608</v>
      </c>
    </row>
    <row r="2081" spans="1:13" x14ac:dyDescent="0.15">
      <c r="A2081" s="1" t="s">
        <v>934</v>
      </c>
      <c r="B2081" s="1" t="s">
        <v>2228</v>
      </c>
      <c r="D2081" s="1" t="s">
        <v>2229</v>
      </c>
      <c r="E2081" s="1" t="s">
        <v>1834</v>
      </c>
      <c r="F2081" s="3">
        <v>0</v>
      </c>
      <c r="I2081" s="24" t="s">
        <v>5392</v>
      </c>
      <c r="J2081" s="24" t="s">
        <v>2919</v>
      </c>
      <c r="K2081" s="3">
        <v>22</v>
      </c>
      <c r="L2081" s="3" t="s">
        <v>7006</v>
      </c>
      <c r="M2081" s="3" t="str">
        <f>HYPERLINK("http://ictvonline.org/taxonomyHistory.asp?taxnode_id=20152609","ICTVonline=20152609")</f>
        <v>ICTVonline=20152609</v>
      </c>
    </row>
    <row r="2082" spans="1:13" x14ac:dyDescent="0.15">
      <c r="A2082" s="1" t="s">
        <v>934</v>
      </c>
      <c r="B2082" s="1" t="s">
        <v>2228</v>
      </c>
      <c r="D2082" s="1" t="s">
        <v>2229</v>
      </c>
      <c r="E2082" s="1" t="s">
        <v>1835</v>
      </c>
      <c r="F2082" s="3">
        <v>0</v>
      </c>
      <c r="I2082" s="24" t="s">
        <v>5392</v>
      </c>
      <c r="J2082" s="24" t="s">
        <v>2919</v>
      </c>
      <c r="K2082" s="3">
        <v>22</v>
      </c>
      <c r="L2082" s="3" t="s">
        <v>7006</v>
      </c>
      <c r="M2082" s="3" t="str">
        <f>HYPERLINK("http://ictvonline.org/taxonomyHistory.asp?taxnode_id=20152610","ICTVonline=20152610")</f>
        <v>ICTVonline=20152610</v>
      </c>
    </row>
    <row r="2083" spans="1:13" x14ac:dyDescent="0.15">
      <c r="A2083" s="1" t="s">
        <v>934</v>
      </c>
      <c r="B2083" s="1" t="s">
        <v>2228</v>
      </c>
      <c r="D2083" s="1" t="s">
        <v>2229</v>
      </c>
      <c r="E2083" s="1" t="s">
        <v>2561</v>
      </c>
      <c r="F2083" s="3">
        <v>0</v>
      </c>
      <c r="I2083" s="24" t="s">
        <v>5392</v>
      </c>
      <c r="J2083" s="24" t="s">
        <v>2919</v>
      </c>
      <c r="K2083" s="3">
        <v>28</v>
      </c>
      <c r="L2083" s="3" t="s">
        <v>7005</v>
      </c>
      <c r="M2083" s="3" t="str">
        <f>HYPERLINK("http://ictvonline.org/taxonomyHistory.asp?taxnode_id=20152612","ICTVonline=20152612")</f>
        <v>ICTVonline=20152612</v>
      </c>
    </row>
    <row r="2084" spans="1:13" x14ac:dyDescent="0.15">
      <c r="A2084" s="1" t="s">
        <v>934</v>
      </c>
      <c r="B2084" s="1" t="s">
        <v>2228</v>
      </c>
      <c r="D2084" s="1" t="s">
        <v>2229</v>
      </c>
      <c r="E2084" s="1" t="s">
        <v>2562</v>
      </c>
      <c r="F2084" s="3">
        <v>0</v>
      </c>
      <c r="I2084" s="24" t="s">
        <v>5392</v>
      </c>
      <c r="J2084" s="24" t="s">
        <v>2919</v>
      </c>
      <c r="K2084" s="3">
        <v>28</v>
      </c>
      <c r="L2084" s="3" t="s">
        <v>7005</v>
      </c>
      <c r="M2084" s="3" t="str">
        <f>HYPERLINK("http://ictvonline.org/taxonomyHistory.asp?taxnode_id=20152613","ICTVonline=20152613")</f>
        <v>ICTVonline=20152613</v>
      </c>
    </row>
    <row r="2085" spans="1:13" x14ac:dyDescent="0.15">
      <c r="A2085" s="1" t="s">
        <v>934</v>
      </c>
      <c r="B2085" s="1" t="s">
        <v>2228</v>
      </c>
      <c r="D2085" s="1" t="s">
        <v>2229</v>
      </c>
      <c r="E2085" s="1" t="s">
        <v>5571</v>
      </c>
      <c r="F2085" s="3">
        <v>0</v>
      </c>
      <c r="G2085" s="24" t="s">
        <v>7598</v>
      </c>
      <c r="I2085" s="24" t="s">
        <v>5392</v>
      </c>
      <c r="J2085" s="24" t="s">
        <v>2919</v>
      </c>
      <c r="K2085" s="3">
        <v>30</v>
      </c>
      <c r="L2085" s="3" t="s">
        <v>5549</v>
      </c>
      <c r="M2085" s="3" t="str">
        <f>HYPERLINK("http://ictvonline.org/taxonomyHistory.asp?taxnode_id=20152833","ICTVonline=20152833")</f>
        <v>ICTVonline=20152833</v>
      </c>
    </row>
    <row r="2086" spans="1:13" x14ac:dyDescent="0.15">
      <c r="A2086" s="1" t="s">
        <v>934</v>
      </c>
      <c r="B2086" s="1" t="s">
        <v>2228</v>
      </c>
      <c r="D2086" s="1" t="s">
        <v>2229</v>
      </c>
      <c r="E2086" s="1" t="s">
        <v>1836</v>
      </c>
      <c r="F2086" s="3">
        <v>0</v>
      </c>
      <c r="I2086" s="24" t="s">
        <v>5392</v>
      </c>
      <c r="J2086" s="24" t="s">
        <v>2919</v>
      </c>
      <c r="K2086" s="3">
        <v>24</v>
      </c>
      <c r="L2086" s="3" t="s">
        <v>7010</v>
      </c>
      <c r="M2086" s="3" t="str">
        <f>HYPERLINK("http://ictvonline.org/taxonomyHistory.asp?taxnode_id=20152615","ICTVonline=20152615")</f>
        <v>ICTVonline=20152615</v>
      </c>
    </row>
    <row r="2087" spans="1:13" x14ac:dyDescent="0.15">
      <c r="A2087" s="1" t="s">
        <v>934</v>
      </c>
      <c r="B2087" s="1" t="s">
        <v>2228</v>
      </c>
      <c r="D2087" s="1" t="s">
        <v>2229</v>
      </c>
      <c r="E2087" s="1" t="s">
        <v>2563</v>
      </c>
      <c r="F2087" s="3">
        <v>0</v>
      </c>
      <c r="I2087" s="24" t="s">
        <v>5392</v>
      </c>
      <c r="J2087" s="24" t="s">
        <v>2919</v>
      </c>
      <c r="K2087" s="3">
        <v>28</v>
      </c>
      <c r="L2087" s="3" t="s">
        <v>7005</v>
      </c>
      <c r="M2087" s="3" t="str">
        <f>HYPERLINK("http://ictvonline.org/taxonomyHistory.asp?taxnode_id=20152617","ICTVonline=20152617")</f>
        <v>ICTVonline=20152617</v>
      </c>
    </row>
    <row r="2088" spans="1:13" x14ac:dyDescent="0.15">
      <c r="A2088" s="1" t="s">
        <v>934</v>
      </c>
      <c r="B2088" s="1" t="s">
        <v>2228</v>
      </c>
      <c r="D2088" s="1" t="s">
        <v>2229</v>
      </c>
      <c r="E2088" s="1" t="s">
        <v>2564</v>
      </c>
      <c r="F2088" s="3">
        <v>0</v>
      </c>
      <c r="I2088" s="24" t="s">
        <v>5392</v>
      </c>
      <c r="J2088" s="24" t="s">
        <v>2919</v>
      </c>
      <c r="K2088" s="3">
        <v>28</v>
      </c>
      <c r="L2088" s="3" t="s">
        <v>7005</v>
      </c>
      <c r="M2088" s="3" t="str">
        <f>HYPERLINK("http://ictvonline.org/taxonomyHistory.asp?taxnode_id=20152618","ICTVonline=20152618")</f>
        <v>ICTVonline=20152618</v>
      </c>
    </row>
    <row r="2089" spans="1:13" x14ac:dyDescent="0.15">
      <c r="A2089" s="1" t="s">
        <v>934</v>
      </c>
      <c r="B2089" s="1" t="s">
        <v>2228</v>
      </c>
      <c r="D2089" s="1" t="s">
        <v>2229</v>
      </c>
      <c r="E2089" s="1" t="s">
        <v>1837</v>
      </c>
      <c r="F2089" s="3">
        <v>0</v>
      </c>
      <c r="I2089" s="24" t="s">
        <v>5392</v>
      </c>
      <c r="J2089" s="24" t="s">
        <v>2919</v>
      </c>
      <c r="K2089" s="3">
        <v>24</v>
      </c>
      <c r="L2089" s="3" t="s">
        <v>7010</v>
      </c>
      <c r="M2089" s="3" t="str">
        <f>HYPERLINK("http://ictvonline.org/taxonomyHistory.asp?taxnode_id=20152619","ICTVonline=20152619")</f>
        <v>ICTVonline=20152619</v>
      </c>
    </row>
    <row r="2090" spans="1:13" x14ac:dyDescent="0.15">
      <c r="A2090" s="1" t="s">
        <v>934</v>
      </c>
      <c r="B2090" s="1" t="s">
        <v>2228</v>
      </c>
      <c r="D2090" s="1" t="s">
        <v>2229</v>
      </c>
      <c r="E2090" s="1" t="s">
        <v>2565</v>
      </c>
      <c r="F2090" s="3">
        <v>0</v>
      </c>
      <c r="I2090" s="24" t="s">
        <v>5392</v>
      </c>
      <c r="J2090" s="24" t="s">
        <v>2919</v>
      </c>
      <c r="K2090" s="3">
        <v>28</v>
      </c>
      <c r="L2090" s="3" t="s">
        <v>7005</v>
      </c>
      <c r="M2090" s="3" t="str">
        <f>HYPERLINK("http://ictvonline.org/taxonomyHistory.asp?taxnode_id=20152621","ICTVonline=20152621")</f>
        <v>ICTVonline=20152621</v>
      </c>
    </row>
    <row r="2091" spans="1:13" x14ac:dyDescent="0.15">
      <c r="A2091" s="1" t="s">
        <v>934</v>
      </c>
      <c r="B2091" s="1" t="s">
        <v>2228</v>
      </c>
      <c r="D2091" s="1" t="s">
        <v>2229</v>
      </c>
      <c r="E2091" s="1" t="s">
        <v>1829</v>
      </c>
      <c r="F2091" s="3">
        <v>0</v>
      </c>
      <c r="I2091" s="24" t="s">
        <v>5392</v>
      </c>
      <c r="J2091" s="24" t="s">
        <v>2919</v>
      </c>
      <c r="K2091" s="3">
        <v>22</v>
      </c>
      <c r="L2091" s="3" t="s">
        <v>7006</v>
      </c>
      <c r="M2091" s="3" t="str">
        <f>HYPERLINK("http://ictvonline.org/taxonomyHistory.asp?taxnode_id=20152622","ICTVonline=20152622")</f>
        <v>ICTVonline=20152622</v>
      </c>
    </row>
    <row r="2092" spans="1:13" x14ac:dyDescent="0.15">
      <c r="A2092" s="1" t="s">
        <v>934</v>
      </c>
      <c r="B2092" s="1" t="s">
        <v>2228</v>
      </c>
      <c r="D2092" s="1" t="s">
        <v>2229</v>
      </c>
      <c r="E2092" s="1" t="s">
        <v>1830</v>
      </c>
      <c r="F2092" s="3">
        <v>0</v>
      </c>
      <c r="I2092" s="24" t="s">
        <v>5392</v>
      </c>
      <c r="J2092" s="24" t="s">
        <v>2919</v>
      </c>
      <c r="K2092" s="3">
        <v>24</v>
      </c>
      <c r="L2092" s="3" t="s">
        <v>7007</v>
      </c>
      <c r="M2092" s="3" t="str">
        <f>HYPERLINK("http://ictvonline.org/taxonomyHistory.asp?taxnode_id=20152623","ICTVonline=20152623")</f>
        <v>ICTVonline=20152623</v>
      </c>
    </row>
    <row r="2093" spans="1:13" x14ac:dyDescent="0.15">
      <c r="A2093" s="1" t="s">
        <v>934</v>
      </c>
      <c r="B2093" s="1" t="s">
        <v>2228</v>
      </c>
      <c r="D2093" s="1" t="s">
        <v>2229</v>
      </c>
      <c r="E2093" s="1" t="s">
        <v>1831</v>
      </c>
      <c r="F2093" s="3">
        <v>0</v>
      </c>
      <c r="I2093" s="24" t="s">
        <v>5392</v>
      </c>
      <c r="J2093" s="24" t="s">
        <v>2919</v>
      </c>
      <c r="K2093" s="3">
        <v>22</v>
      </c>
      <c r="L2093" s="3" t="s">
        <v>7006</v>
      </c>
      <c r="M2093" s="3" t="str">
        <f>HYPERLINK("http://ictvonline.org/taxonomyHistory.asp?taxnode_id=20152624","ICTVonline=20152624")</f>
        <v>ICTVonline=20152624</v>
      </c>
    </row>
    <row r="2094" spans="1:13" x14ac:dyDescent="0.15">
      <c r="A2094" s="1" t="s">
        <v>934</v>
      </c>
      <c r="B2094" s="1" t="s">
        <v>2228</v>
      </c>
      <c r="D2094" s="1" t="s">
        <v>2229</v>
      </c>
      <c r="E2094" s="1" t="s">
        <v>2566</v>
      </c>
      <c r="F2094" s="3">
        <v>0</v>
      </c>
      <c r="I2094" s="24" t="s">
        <v>5392</v>
      </c>
      <c r="J2094" s="24" t="s">
        <v>2919</v>
      </c>
      <c r="K2094" s="3">
        <v>28</v>
      </c>
      <c r="L2094" s="3" t="s">
        <v>7005</v>
      </c>
      <c r="M2094" s="3" t="str">
        <f>HYPERLINK("http://ictvonline.org/taxonomyHistory.asp?taxnode_id=20152625","ICTVonline=20152625")</f>
        <v>ICTVonline=20152625</v>
      </c>
    </row>
    <row r="2095" spans="1:13" x14ac:dyDescent="0.15">
      <c r="A2095" s="1" t="s">
        <v>934</v>
      </c>
      <c r="B2095" s="1" t="s">
        <v>2228</v>
      </c>
      <c r="D2095" s="1" t="s">
        <v>2229</v>
      </c>
      <c r="E2095" s="1" t="s">
        <v>2567</v>
      </c>
      <c r="F2095" s="3">
        <v>0</v>
      </c>
      <c r="I2095" s="24" t="s">
        <v>5392</v>
      </c>
      <c r="J2095" s="24" t="s">
        <v>2919</v>
      </c>
      <c r="K2095" s="3">
        <v>28</v>
      </c>
      <c r="L2095" s="3" t="s">
        <v>7005</v>
      </c>
      <c r="M2095" s="3" t="str">
        <f>HYPERLINK("http://ictvonline.org/taxonomyHistory.asp?taxnode_id=20152626","ICTVonline=20152626")</f>
        <v>ICTVonline=20152626</v>
      </c>
    </row>
    <row r="2096" spans="1:13" x14ac:dyDescent="0.15">
      <c r="A2096" s="1" t="s">
        <v>934</v>
      </c>
      <c r="B2096" s="1" t="s">
        <v>2228</v>
      </c>
      <c r="D2096" s="1" t="s">
        <v>2229</v>
      </c>
      <c r="E2096" s="1" t="s">
        <v>96</v>
      </c>
      <c r="F2096" s="3">
        <v>0</v>
      </c>
      <c r="I2096" s="24" t="s">
        <v>5392</v>
      </c>
      <c r="J2096" s="24" t="s">
        <v>2924</v>
      </c>
      <c r="K2096" s="3">
        <v>26</v>
      </c>
      <c r="L2096" s="3" t="s">
        <v>7012</v>
      </c>
      <c r="M2096" s="3" t="str">
        <f>HYPERLINK("http://ictvonline.org/taxonomyHistory.asp?taxnode_id=20152627","ICTVonline=20152627")</f>
        <v>ICTVonline=20152627</v>
      </c>
    </row>
    <row r="2097" spans="1:13" x14ac:dyDescent="0.15">
      <c r="A2097" s="1" t="s">
        <v>934</v>
      </c>
      <c r="B2097" s="1" t="s">
        <v>2228</v>
      </c>
      <c r="D2097" s="1" t="s">
        <v>2229</v>
      </c>
      <c r="E2097" s="1" t="s">
        <v>5572</v>
      </c>
      <c r="F2097" s="3">
        <v>0</v>
      </c>
      <c r="G2097" s="24" t="s">
        <v>7599</v>
      </c>
      <c r="I2097" s="24" t="s">
        <v>5392</v>
      </c>
      <c r="J2097" s="24" t="s">
        <v>2919</v>
      </c>
      <c r="K2097" s="3">
        <v>30</v>
      </c>
      <c r="L2097" s="3" t="s">
        <v>5549</v>
      </c>
      <c r="M2097" s="3" t="str">
        <f>HYPERLINK("http://ictvonline.org/taxonomyHistory.asp?taxnode_id=20152834","ICTVonline=20152834")</f>
        <v>ICTVonline=20152834</v>
      </c>
    </row>
    <row r="2098" spans="1:13" x14ac:dyDescent="0.15">
      <c r="A2098" s="1" t="s">
        <v>934</v>
      </c>
      <c r="B2098" s="1" t="s">
        <v>2228</v>
      </c>
      <c r="D2098" s="1" t="s">
        <v>2229</v>
      </c>
      <c r="E2098" s="1" t="s">
        <v>1832</v>
      </c>
      <c r="F2098" s="3">
        <v>0</v>
      </c>
      <c r="I2098" s="24" t="s">
        <v>5392</v>
      </c>
      <c r="J2098" s="24" t="s">
        <v>2919</v>
      </c>
      <c r="K2098" s="3">
        <v>24</v>
      </c>
      <c r="L2098" s="3" t="s">
        <v>7008</v>
      </c>
      <c r="M2098" s="3" t="str">
        <f>HYPERLINK("http://ictvonline.org/taxonomyHistory.asp?taxnode_id=20152628","ICTVonline=20152628")</f>
        <v>ICTVonline=20152628</v>
      </c>
    </row>
    <row r="2099" spans="1:13" x14ac:dyDescent="0.15">
      <c r="A2099" s="1" t="s">
        <v>934</v>
      </c>
      <c r="B2099" s="1" t="s">
        <v>2228</v>
      </c>
      <c r="D2099" s="1" t="s">
        <v>2229</v>
      </c>
      <c r="E2099" s="1" t="s">
        <v>343</v>
      </c>
      <c r="F2099" s="3">
        <v>0</v>
      </c>
      <c r="I2099" s="24" t="s">
        <v>5392</v>
      </c>
      <c r="J2099" s="24" t="s">
        <v>2919</v>
      </c>
      <c r="K2099" s="3">
        <v>24</v>
      </c>
      <c r="L2099" s="3" t="s">
        <v>7008</v>
      </c>
      <c r="M2099" s="3" t="str">
        <f>HYPERLINK("http://ictvonline.org/taxonomyHistory.asp?taxnode_id=20152629","ICTVonline=20152629")</f>
        <v>ICTVonline=20152629</v>
      </c>
    </row>
    <row r="2100" spans="1:13" x14ac:dyDescent="0.15">
      <c r="A2100" s="1" t="s">
        <v>934</v>
      </c>
      <c r="B2100" s="1" t="s">
        <v>2228</v>
      </c>
      <c r="D2100" s="1" t="s">
        <v>2229</v>
      </c>
      <c r="E2100" s="1" t="s">
        <v>344</v>
      </c>
      <c r="F2100" s="3">
        <v>0</v>
      </c>
      <c r="I2100" s="24" t="s">
        <v>5392</v>
      </c>
      <c r="J2100" s="24" t="s">
        <v>2919</v>
      </c>
      <c r="K2100" s="3">
        <v>22</v>
      </c>
      <c r="L2100" s="3" t="s">
        <v>7006</v>
      </c>
      <c r="M2100" s="3" t="str">
        <f>HYPERLINK("http://ictvonline.org/taxonomyHistory.asp?taxnode_id=20152630","ICTVonline=20152630")</f>
        <v>ICTVonline=20152630</v>
      </c>
    </row>
    <row r="2101" spans="1:13" x14ac:dyDescent="0.15">
      <c r="A2101" s="1" t="s">
        <v>934</v>
      </c>
      <c r="B2101" s="1" t="s">
        <v>2228</v>
      </c>
      <c r="D2101" s="1" t="s">
        <v>2229</v>
      </c>
      <c r="E2101" s="1" t="s">
        <v>345</v>
      </c>
      <c r="F2101" s="3">
        <v>0</v>
      </c>
      <c r="I2101" s="24" t="s">
        <v>5392</v>
      </c>
      <c r="J2101" s="24" t="s">
        <v>2920</v>
      </c>
      <c r="K2101" s="3">
        <v>16</v>
      </c>
      <c r="L2101" s="3" t="s">
        <v>2940</v>
      </c>
      <c r="M2101" s="3" t="str">
        <f>HYPERLINK("http://ictvonline.org/taxonomyHistory.asp?taxnode_id=20152631","ICTVonline=20152631")</f>
        <v>ICTVonline=20152631</v>
      </c>
    </row>
    <row r="2102" spans="1:13" x14ac:dyDescent="0.15">
      <c r="A2102" s="1" t="s">
        <v>934</v>
      </c>
      <c r="B2102" s="1" t="s">
        <v>2228</v>
      </c>
      <c r="D2102" s="1" t="s">
        <v>2229</v>
      </c>
      <c r="E2102" s="1" t="s">
        <v>2568</v>
      </c>
      <c r="F2102" s="3">
        <v>0</v>
      </c>
      <c r="I2102" s="24" t="s">
        <v>5392</v>
      </c>
      <c r="J2102" s="24" t="s">
        <v>2919</v>
      </c>
      <c r="K2102" s="3">
        <v>28</v>
      </c>
      <c r="L2102" s="3" t="s">
        <v>7005</v>
      </c>
      <c r="M2102" s="3" t="str">
        <f>HYPERLINK("http://ictvonline.org/taxonomyHistory.asp?taxnode_id=20152632","ICTVonline=20152632")</f>
        <v>ICTVonline=20152632</v>
      </c>
    </row>
    <row r="2103" spans="1:13" x14ac:dyDescent="0.15">
      <c r="A2103" s="1" t="s">
        <v>934</v>
      </c>
      <c r="B2103" s="1" t="s">
        <v>2228</v>
      </c>
      <c r="D2103" s="1" t="s">
        <v>2229</v>
      </c>
      <c r="E2103" s="1" t="s">
        <v>2569</v>
      </c>
      <c r="F2103" s="3">
        <v>0</v>
      </c>
      <c r="I2103" s="24" t="s">
        <v>5392</v>
      </c>
      <c r="J2103" s="24" t="s">
        <v>2919</v>
      </c>
      <c r="K2103" s="3">
        <v>28</v>
      </c>
      <c r="L2103" s="3" t="s">
        <v>7005</v>
      </c>
      <c r="M2103" s="3" t="str">
        <f>HYPERLINK("http://ictvonline.org/taxonomyHistory.asp?taxnode_id=20152634","ICTVonline=20152634")</f>
        <v>ICTVonline=20152634</v>
      </c>
    </row>
    <row r="2104" spans="1:13" x14ac:dyDescent="0.15">
      <c r="A2104" s="1" t="s">
        <v>934</v>
      </c>
      <c r="B2104" s="1" t="s">
        <v>2228</v>
      </c>
      <c r="D2104" s="1" t="s">
        <v>2229</v>
      </c>
      <c r="E2104" s="1" t="s">
        <v>346</v>
      </c>
      <c r="F2104" s="3">
        <v>0</v>
      </c>
      <c r="I2104" s="24" t="s">
        <v>5392</v>
      </c>
      <c r="J2104" s="24" t="s">
        <v>2919</v>
      </c>
      <c r="K2104" s="3">
        <v>24</v>
      </c>
      <c r="L2104" s="3" t="s">
        <v>7008</v>
      </c>
      <c r="M2104" s="3" t="str">
        <f>HYPERLINK("http://ictvonline.org/taxonomyHistory.asp?taxnode_id=20152635","ICTVonline=20152635")</f>
        <v>ICTVonline=20152635</v>
      </c>
    </row>
    <row r="2105" spans="1:13" x14ac:dyDescent="0.15">
      <c r="A2105" s="1" t="s">
        <v>934</v>
      </c>
      <c r="B2105" s="1" t="s">
        <v>2228</v>
      </c>
      <c r="D2105" s="1" t="s">
        <v>2229</v>
      </c>
      <c r="E2105" s="1" t="s">
        <v>347</v>
      </c>
      <c r="F2105" s="3">
        <v>0</v>
      </c>
      <c r="I2105" s="24" t="s">
        <v>5392</v>
      </c>
      <c r="J2105" s="24" t="s">
        <v>2919</v>
      </c>
      <c r="K2105" s="3">
        <v>24</v>
      </c>
      <c r="L2105" s="3" t="s">
        <v>7007</v>
      </c>
      <c r="M2105" s="3" t="str">
        <f>HYPERLINK("http://ictvonline.org/taxonomyHistory.asp?taxnode_id=20152636","ICTVonline=20152636")</f>
        <v>ICTVonline=20152636</v>
      </c>
    </row>
    <row r="2106" spans="1:13" x14ac:dyDescent="0.15">
      <c r="A2106" s="1" t="s">
        <v>934</v>
      </c>
      <c r="B2106" s="1" t="s">
        <v>2228</v>
      </c>
      <c r="D2106" s="1" t="s">
        <v>2229</v>
      </c>
      <c r="E2106" s="1" t="s">
        <v>2570</v>
      </c>
      <c r="F2106" s="3">
        <v>0</v>
      </c>
      <c r="I2106" s="24" t="s">
        <v>5392</v>
      </c>
      <c r="J2106" s="24" t="s">
        <v>2919</v>
      </c>
      <c r="K2106" s="3">
        <v>28</v>
      </c>
      <c r="L2106" s="3" t="s">
        <v>7005</v>
      </c>
      <c r="M2106" s="3" t="str">
        <f>HYPERLINK("http://ictvonline.org/taxonomyHistory.asp?taxnode_id=20152639","ICTVonline=20152639")</f>
        <v>ICTVonline=20152639</v>
      </c>
    </row>
    <row r="2107" spans="1:13" x14ac:dyDescent="0.15">
      <c r="A2107" s="1" t="s">
        <v>934</v>
      </c>
      <c r="B2107" s="1" t="s">
        <v>2228</v>
      </c>
      <c r="D2107" s="1" t="s">
        <v>2229</v>
      </c>
      <c r="E2107" s="1" t="s">
        <v>348</v>
      </c>
      <c r="F2107" s="3">
        <v>0</v>
      </c>
      <c r="I2107" s="24" t="s">
        <v>5392</v>
      </c>
      <c r="J2107" s="24" t="s">
        <v>2919</v>
      </c>
      <c r="K2107" s="3">
        <v>22</v>
      </c>
      <c r="L2107" s="3" t="s">
        <v>7014</v>
      </c>
      <c r="M2107" s="3" t="str">
        <f>HYPERLINK("http://ictvonline.org/taxonomyHistory.asp?taxnode_id=20152640","ICTVonline=20152640")</f>
        <v>ICTVonline=20152640</v>
      </c>
    </row>
    <row r="2108" spans="1:13" x14ac:dyDescent="0.15">
      <c r="A2108" s="1" t="s">
        <v>934</v>
      </c>
      <c r="B2108" s="1" t="s">
        <v>2228</v>
      </c>
      <c r="D2108" s="1" t="s">
        <v>2229</v>
      </c>
      <c r="E2108" s="1" t="s">
        <v>349</v>
      </c>
      <c r="F2108" s="3">
        <v>0</v>
      </c>
      <c r="I2108" s="24" t="s">
        <v>5392</v>
      </c>
      <c r="J2108" s="24" t="s">
        <v>2924</v>
      </c>
      <c r="K2108" s="3">
        <v>23</v>
      </c>
      <c r="L2108" s="3" t="s">
        <v>2933</v>
      </c>
      <c r="M2108" s="3" t="str">
        <f>HYPERLINK("http://ictvonline.org/taxonomyHistory.asp?taxnode_id=20152641","ICTVonline=20152641")</f>
        <v>ICTVonline=20152641</v>
      </c>
    </row>
    <row r="2109" spans="1:13" x14ac:dyDescent="0.15">
      <c r="A2109" s="1" t="s">
        <v>934</v>
      </c>
      <c r="B2109" s="1" t="s">
        <v>2228</v>
      </c>
      <c r="D2109" s="1" t="s">
        <v>2229</v>
      </c>
      <c r="E2109" s="1" t="s">
        <v>350</v>
      </c>
      <c r="F2109" s="3">
        <v>0</v>
      </c>
      <c r="I2109" s="24" t="s">
        <v>5392</v>
      </c>
      <c r="J2109" s="24" t="s">
        <v>2919</v>
      </c>
      <c r="K2109" s="3">
        <v>17</v>
      </c>
      <c r="L2109" s="3" t="s">
        <v>2928</v>
      </c>
      <c r="M2109" s="3" t="str">
        <f>HYPERLINK("http://ictvonline.org/taxonomyHistory.asp?taxnode_id=20152642","ICTVonline=20152642")</f>
        <v>ICTVonline=20152642</v>
      </c>
    </row>
    <row r="2110" spans="1:13" x14ac:dyDescent="0.15">
      <c r="A2110" s="1" t="s">
        <v>934</v>
      </c>
      <c r="B2110" s="1" t="s">
        <v>2228</v>
      </c>
      <c r="D2110" s="1" t="s">
        <v>2229</v>
      </c>
      <c r="E2110" s="1" t="s">
        <v>2571</v>
      </c>
      <c r="F2110" s="3">
        <v>0</v>
      </c>
      <c r="I2110" s="24" t="s">
        <v>5392</v>
      </c>
      <c r="J2110" s="24" t="s">
        <v>2919</v>
      </c>
      <c r="K2110" s="3">
        <v>28</v>
      </c>
      <c r="L2110" s="3" t="s">
        <v>7005</v>
      </c>
      <c r="M2110" s="3" t="str">
        <f>HYPERLINK("http://ictvonline.org/taxonomyHistory.asp?taxnode_id=20152643","ICTVonline=20152643")</f>
        <v>ICTVonline=20152643</v>
      </c>
    </row>
    <row r="2111" spans="1:13" x14ac:dyDescent="0.15">
      <c r="A2111" s="1" t="s">
        <v>934</v>
      </c>
      <c r="B2111" s="1" t="s">
        <v>2228</v>
      </c>
      <c r="D2111" s="1" t="s">
        <v>2229</v>
      </c>
      <c r="E2111" s="1" t="s">
        <v>351</v>
      </c>
      <c r="F2111" s="3">
        <v>0</v>
      </c>
      <c r="I2111" s="24" t="s">
        <v>5392</v>
      </c>
      <c r="J2111" s="24" t="s">
        <v>2919</v>
      </c>
      <c r="K2111" s="3">
        <v>24</v>
      </c>
      <c r="L2111" s="3" t="s">
        <v>7008</v>
      </c>
      <c r="M2111" s="3" t="str">
        <f>HYPERLINK("http://ictvonline.org/taxonomyHistory.asp?taxnode_id=20152644","ICTVonline=20152644")</f>
        <v>ICTVonline=20152644</v>
      </c>
    </row>
    <row r="2112" spans="1:13" x14ac:dyDescent="0.15">
      <c r="A2112" s="1" t="s">
        <v>934</v>
      </c>
      <c r="B2112" s="1" t="s">
        <v>2228</v>
      </c>
      <c r="D2112" s="1" t="s">
        <v>2229</v>
      </c>
      <c r="E2112" s="1" t="s">
        <v>352</v>
      </c>
      <c r="F2112" s="3">
        <v>0</v>
      </c>
      <c r="I2112" s="24" t="s">
        <v>5392</v>
      </c>
      <c r="J2112" s="24" t="s">
        <v>2924</v>
      </c>
      <c r="K2112" s="3">
        <v>23</v>
      </c>
      <c r="L2112" s="3" t="s">
        <v>2933</v>
      </c>
      <c r="M2112" s="3" t="str">
        <f>HYPERLINK("http://ictvonline.org/taxonomyHistory.asp?taxnode_id=20152645","ICTVonline=20152645")</f>
        <v>ICTVonline=20152645</v>
      </c>
    </row>
    <row r="2113" spans="1:13" x14ac:dyDescent="0.15">
      <c r="A2113" s="1" t="s">
        <v>934</v>
      </c>
      <c r="B2113" s="1" t="s">
        <v>2228</v>
      </c>
      <c r="D2113" s="1" t="s">
        <v>2229</v>
      </c>
      <c r="E2113" s="1" t="s">
        <v>353</v>
      </c>
      <c r="F2113" s="3">
        <v>0</v>
      </c>
      <c r="I2113" s="24" t="s">
        <v>5392</v>
      </c>
      <c r="J2113" s="24" t="s">
        <v>2924</v>
      </c>
      <c r="K2113" s="3">
        <v>23</v>
      </c>
      <c r="L2113" s="3" t="s">
        <v>2933</v>
      </c>
      <c r="M2113" s="3" t="str">
        <f>HYPERLINK("http://ictvonline.org/taxonomyHistory.asp?taxnode_id=20152646","ICTVonline=20152646")</f>
        <v>ICTVonline=20152646</v>
      </c>
    </row>
    <row r="2114" spans="1:13" x14ac:dyDescent="0.15">
      <c r="A2114" s="1" t="s">
        <v>934</v>
      </c>
      <c r="B2114" s="1" t="s">
        <v>2228</v>
      </c>
      <c r="D2114" s="1" t="s">
        <v>2229</v>
      </c>
      <c r="E2114" s="1" t="s">
        <v>1539</v>
      </c>
      <c r="F2114" s="3">
        <v>0</v>
      </c>
      <c r="I2114" s="24" t="s">
        <v>5392</v>
      </c>
      <c r="J2114" s="24" t="s">
        <v>2919</v>
      </c>
      <c r="K2114" s="3">
        <v>22</v>
      </c>
      <c r="L2114" s="3" t="s">
        <v>7006</v>
      </c>
      <c r="M2114" s="3" t="str">
        <f>HYPERLINK("http://ictvonline.org/taxonomyHistory.asp?taxnode_id=20152647","ICTVonline=20152647")</f>
        <v>ICTVonline=20152647</v>
      </c>
    </row>
    <row r="2115" spans="1:13" x14ac:dyDescent="0.15">
      <c r="A2115" s="1" t="s">
        <v>934</v>
      </c>
      <c r="B2115" s="1" t="s">
        <v>2228</v>
      </c>
      <c r="D2115" s="1" t="s">
        <v>2229</v>
      </c>
      <c r="E2115" s="1" t="s">
        <v>467</v>
      </c>
      <c r="F2115" s="3">
        <v>0</v>
      </c>
      <c r="I2115" s="24" t="s">
        <v>5392</v>
      </c>
      <c r="J2115" s="24" t="s">
        <v>2919</v>
      </c>
      <c r="K2115" s="3">
        <v>24</v>
      </c>
      <c r="L2115" s="3" t="s">
        <v>7008</v>
      </c>
      <c r="M2115" s="3" t="str">
        <f>HYPERLINK("http://ictvonline.org/taxonomyHistory.asp?taxnode_id=20152648","ICTVonline=20152648")</f>
        <v>ICTVonline=20152648</v>
      </c>
    </row>
    <row r="2116" spans="1:13" x14ac:dyDescent="0.15">
      <c r="A2116" s="1" t="s">
        <v>934</v>
      </c>
      <c r="B2116" s="1" t="s">
        <v>2228</v>
      </c>
      <c r="D2116" s="1" t="s">
        <v>2229</v>
      </c>
      <c r="E2116" s="1" t="s">
        <v>468</v>
      </c>
      <c r="F2116" s="3">
        <v>0</v>
      </c>
      <c r="I2116" s="24" t="s">
        <v>5392</v>
      </c>
      <c r="J2116" s="24" t="s">
        <v>2919</v>
      </c>
      <c r="K2116" s="3">
        <v>17</v>
      </c>
      <c r="L2116" s="3" t="s">
        <v>2928</v>
      </c>
      <c r="M2116" s="3" t="str">
        <f>HYPERLINK("http://ictvonline.org/taxonomyHistory.asp?taxnode_id=20152649","ICTVonline=20152649")</f>
        <v>ICTVonline=20152649</v>
      </c>
    </row>
    <row r="2117" spans="1:13" x14ac:dyDescent="0.15">
      <c r="A2117" s="1" t="s">
        <v>934</v>
      </c>
      <c r="B2117" s="1" t="s">
        <v>2228</v>
      </c>
      <c r="D2117" s="1" t="s">
        <v>2229</v>
      </c>
      <c r="E2117" s="1" t="s">
        <v>2572</v>
      </c>
      <c r="F2117" s="3">
        <v>0</v>
      </c>
      <c r="I2117" s="24" t="s">
        <v>5392</v>
      </c>
      <c r="J2117" s="24" t="s">
        <v>2919</v>
      </c>
      <c r="K2117" s="3">
        <v>28</v>
      </c>
      <c r="L2117" s="3" t="s">
        <v>7005</v>
      </c>
      <c r="M2117" s="3" t="str">
        <f>HYPERLINK("http://ictvonline.org/taxonomyHistory.asp?taxnode_id=20152650","ICTVonline=20152650")</f>
        <v>ICTVonline=20152650</v>
      </c>
    </row>
    <row r="2118" spans="1:13" x14ac:dyDescent="0.15">
      <c r="A2118" s="1" t="s">
        <v>934</v>
      </c>
      <c r="B2118" s="1" t="s">
        <v>2228</v>
      </c>
      <c r="D2118" s="1" t="s">
        <v>2229</v>
      </c>
      <c r="E2118" s="1" t="s">
        <v>1564</v>
      </c>
      <c r="F2118" s="3">
        <v>0</v>
      </c>
      <c r="I2118" s="24" t="s">
        <v>5392</v>
      </c>
      <c r="J2118" s="24" t="s">
        <v>2919</v>
      </c>
      <c r="K2118" s="3">
        <v>24</v>
      </c>
      <c r="L2118" s="3" t="s">
        <v>7008</v>
      </c>
      <c r="M2118" s="3" t="str">
        <f>HYPERLINK("http://ictvonline.org/taxonomyHistory.asp?taxnode_id=20152651","ICTVonline=20152651")</f>
        <v>ICTVonline=20152651</v>
      </c>
    </row>
    <row r="2119" spans="1:13" x14ac:dyDescent="0.15">
      <c r="A2119" s="1" t="s">
        <v>934</v>
      </c>
      <c r="B2119" s="1" t="s">
        <v>2228</v>
      </c>
      <c r="D2119" s="1" t="s">
        <v>2229</v>
      </c>
      <c r="E2119" s="1" t="s">
        <v>5573</v>
      </c>
      <c r="F2119" s="3">
        <v>0</v>
      </c>
      <c r="G2119" s="24" t="s">
        <v>7600</v>
      </c>
      <c r="I2119" s="24" t="s">
        <v>5392</v>
      </c>
      <c r="J2119" s="24" t="s">
        <v>2919</v>
      </c>
      <c r="K2119" s="3">
        <v>30</v>
      </c>
      <c r="L2119" s="3" t="s">
        <v>5549</v>
      </c>
      <c r="M2119" s="3" t="str">
        <f>HYPERLINK("http://ictvonline.org/taxonomyHistory.asp?taxnode_id=20152835","ICTVonline=20152835")</f>
        <v>ICTVonline=20152835</v>
      </c>
    </row>
    <row r="2120" spans="1:13" x14ac:dyDescent="0.15">
      <c r="A2120" s="1" t="s">
        <v>934</v>
      </c>
      <c r="B2120" s="1" t="s">
        <v>2228</v>
      </c>
      <c r="D2120" s="1" t="s">
        <v>2229</v>
      </c>
      <c r="E2120" s="1" t="s">
        <v>1565</v>
      </c>
      <c r="F2120" s="3">
        <v>0</v>
      </c>
      <c r="I2120" s="24" t="s">
        <v>5392</v>
      </c>
      <c r="J2120" s="24" t="s">
        <v>2919</v>
      </c>
      <c r="K2120" s="3">
        <v>24</v>
      </c>
      <c r="L2120" s="3" t="s">
        <v>7007</v>
      </c>
      <c r="M2120" s="3" t="str">
        <f>HYPERLINK("http://ictvonline.org/taxonomyHistory.asp?taxnode_id=20152652","ICTVonline=20152652")</f>
        <v>ICTVonline=20152652</v>
      </c>
    </row>
    <row r="2121" spans="1:13" x14ac:dyDescent="0.15">
      <c r="A2121" s="1" t="s">
        <v>934</v>
      </c>
      <c r="B2121" s="1" t="s">
        <v>2228</v>
      </c>
      <c r="D2121" s="1" t="s">
        <v>2229</v>
      </c>
      <c r="E2121" s="1" t="s">
        <v>1566</v>
      </c>
      <c r="F2121" s="3">
        <v>0</v>
      </c>
      <c r="I2121" s="24" t="s">
        <v>5392</v>
      </c>
      <c r="J2121" s="24" t="s">
        <v>2919</v>
      </c>
      <c r="K2121" s="3">
        <v>22</v>
      </c>
      <c r="L2121" s="3" t="s">
        <v>7006</v>
      </c>
      <c r="M2121" s="3" t="str">
        <f>HYPERLINK("http://ictvonline.org/taxonomyHistory.asp?taxnode_id=20152653","ICTVonline=20152653")</f>
        <v>ICTVonline=20152653</v>
      </c>
    </row>
    <row r="2122" spans="1:13" x14ac:dyDescent="0.15">
      <c r="A2122" s="1" t="s">
        <v>934</v>
      </c>
      <c r="B2122" s="1" t="s">
        <v>2228</v>
      </c>
      <c r="D2122" s="1" t="s">
        <v>2229</v>
      </c>
      <c r="E2122" s="1" t="s">
        <v>1567</v>
      </c>
      <c r="F2122" s="3">
        <v>0</v>
      </c>
      <c r="I2122" s="24" t="s">
        <v>5392</v>
      </c>
      <c r="J2122" s="24" t="s">
        <v>2945</v>
      </c>
      <c r="K2122" s="3">
        <v>24</v>
      </c>
      <c r="L2122" s="3" t="s">
        <v>7009</v>
      </c>
      <c r="M2122" s="3" t="str">
        <f>HYPERLINK("http://ictvonline.org/taxonomyHistory.asp?taxnode_id=20152654","ICTVonline=20152654")</f>
        <v>ICTVonline=20152654</v>
      </c>
    </row>
    <row r="2123" spans="1:13" x14ac:dyDescent="0.15">
      <c r="A2123" s="1" t="s">
        <v>934</v>
      </c>
      <c r="B2123" s="1" t="s">
        <v>2228</v>
      </c>
      <c r="D2123" s="1" t="s">
        <v>2229</v>
      </c>
      <c r="E2123" s="1" t="s">
        <v>5574</v>
      </c>
      <c r="F2123" s="3">
        <v>0</v>
      </c>
      <c r="G2123" s="24" t="s">
        <v>7601</v>
      </c>
      <c r="I2123" s="24" t="s">
        <v>5392</v>
      </c>
      <c r="J2123" s="24" t="s">
        <v>2919</v>
      </c>
      <c r="K2123" s="3">
        <v>30</v>
      </c>
      <c r="L2123" s="3" t="s">
        <v>5549</v>
      </c>
      <c r="M2123" s="3" t="str">
        <f>HYPERLINK("http://ictvonline.org/taxonomyHistory.asp?taxnode_id=20152836","ICTVonline=20152836")</f>
        <v>ICTVonline=20152836</v>
      </c>
    </row>
    <row r="2124" spans="1:13" x14ac:dyDescent="0.15">
      <c r="A2124" s="1" t="s">
        <v>934</v>
      </c>
      <c r="B2124" s="1" t="s">
        <v>2228</v>
      </c>
      <c r="D2124" s="1" t="s">
        <v>2229</v>
      </c>
      <c r="E2124" s="1" t="s">
        <v>5575</v>
      </c>
      <c r="F2124" s="3">
        <v>0</v>
      </c>
      <c r="G2124" s="24" t="s">
        <v>7602</v>
      </c>
      <c r="I2124" s="24" t="s">
        <v>5392</v>
      </c>
      <c r="J2124" s="24" t="s">
        <v>2919</v>
      </c>
      <c r="K2124" s="3">
        <v>30</v>
      </c>
      <c r="L2124" s="3" t="s">
        <v>5549</v>
      </c>
      <c r="M2124" s="3" t="str">
        <f>HYPERLINK("http://ictvonline.org/taxonomyHistory.asp?taxnode_id=20152837","ICTVonline=20152837")</f>
        <v>ICTVonline=20152837</v>
      </c>
    </row>
    <row r="2125" spans="1:13" x14ac:dyDescent="0.15">
      <c r="A2125" s="1" t="s">
        <v>934</v>
      </c>
      <c r="B2125" s="1" t="s">
        <v>2228</v>
      </c>
      <c r="D2125" s="1" t="s">
        <v>2229</v>
      </c>
      <c r="E2125" s="1" t="s">
        <v>5576</v>
      </c>
      <c r="F2125" s="3">
        <v>0</v>
      </c>
      <c r="G2125" s="24" t="s">
        <v>7603</v>
      </c>
      <c r="I2125" s="24" t="s">
        <v>5392</v>
      </c>
      <c r="J2125" s="24" t="s">
        <v>2919</v>
      </c>
      <c r="K2125" s="3">
        <v>30</v>
      </c>
      <c r="L2125" s="3" t="s">
        <v>5549</v>
      </c>
      <c r="M2125" s="3" t="str">
        <f>HYPERLINK("http://ictvonline.org/taxonomyHistory.asp?taxnode_id=20152838","ICTVonline=20152838")</f>
        <v>ICTVonline=20152838</v>
      </c>
    </row>
    <row r="2126" spans="1:13" x14ac:dyDescent="0.15">
      <c r="A2126" s="1" t="s">
        <v>934</v>
      </c>
      <c r="B2126" s="1" t="s">
        <v>2228</v>
      </c>
      <c r="D2126" s="1" t="s">
        <v>2229</v>
      </c>
      <c r="E2126" s="1" t="s">
        <v>1568</v>
      </c>
      <c r="F2126" s="3">
        <v>0</v>
      </c>
      <c r="I2126" s="24" t="s">
        <v>5392</v>
      </c>
      <c r="J2126" s="24" t="s">
        <v>2919</v>
      </c>
      <c r="K2126" s="3">
        <v>24</v>
      </c>
      <c r="L2126" s="3" t="s">
        <v>7008</v>
      </c>
      <c r="M2126" s="3" t="str">
        <f>HYPERLINK("http://ictvonline.org/taxonomyHistory.asp?taxnode_id=20152655","ICTVonline=20152655")</f>
        <v>ICTVonline=20152655</v>
      </c>
    </row>
    <row r="2127" spans="1:13" x14ac:dyDescent="0.15">
      <c r="A2127" s="1" t="s">
        <v>934</v>
      </c>
      <c r="B2127" s="1" t="s">
        <v>2228</v>
      </c>
      <c r="D2127" s="1" t="s">
        <v>2229</v>
      </c>
      <c r="E2127" s="1" t="s">
        <v>1569</v>
      </c>
      <c r="F2127" s="3">
        <v>0</v>
      </c>
      <c r="I2127" s="24" t="s">
        <v>5392</v>
      </c>
      <c r="J2127" s="24" t="s">
        <v>2919</v>
      </c>
      <c r="K2127" s="3">
        <v>24</v>
      </c>
      <c r="L2127" s="3" t="s">
        <v>7008</v>
      </c>
      <c r="M2127" s="3" t="str">
        <f>HYPERLINK("http://ictvonline.org/taxonomyHistory.asp?taxnode_id=20152656","ICTVonline=20152656")</f>
        <v>ICTVonline=20152656</v>
      </c>
    </row>
    <row r="2128" spans="1:13" x14ac:dyDescent="0.15">
      <c r="A2128" s="1" t="s">
        <v>934</v>
      </c>
      <c r="B2128" s="1" t="s">
        <v>2228</v>
      </c>
      <c r="D2128" s="1" t="s">
        <v>2229</v>
      </c>
      <c r="E2128" s="1" t="s">
        <v>2573</v>
      </c>
      <c r="F2128" s="3">
        <v>0</v>
      </c>
      <c r="I2128" s="24" t="s">
        <v>5392</v>
      </c>
      <c r="J2128" s="24" t="s">
        <v>2919</v>
      </c>
      <c r="K2128" s="3">
        <v>28</v>
      </c>
      <c r="L2128" s="3" t="s">
        <v>7005</v>
      </c>
      <c r="M2128" s="3" t="str">
        <f>HYPERLINK("http://ictvonline.org/taxonomyHistory.asp?taxnode_id=20152657","ICTVonline=20152657")</f>
        <v>ICTVonline=20152657</v>
      </c>
    </row>
    <row r="2129" spans="1:13" x14ac:dyDescent="0.15">
      <c r="A2129" s="1" t="s">
        <v>934</v>
      </c>
      <c r="B2129" s="1" t="s">
        <v>2228</v>
      </c>
      <c r="D2129" s="1" t="s">
        <v>2229</v>
      </c>
      <c r="E2129" s="1" t="s">
        <v>1962</v>
      </c>
      <c r="F2129" s="3">
        <v>0</v>
      </c>
      <c r="I2129" s="24" t="s">
        <v>5392</v>
      </c>
      <c r="J2129" s="24" t="s">
        <v>2919</v>
      </c>
      <c r="K2129" s="3">
        <v>24</v>
      </c>
      <c r="L2129" s="3" t="s">
        <v>7010</v>
      </c>
      <c r="M2129" s="3" t="str">
        <f>HYPERLINK("http://ictvonline.org/taxonomyHistory.asp?taxnode_id=20152658","ICTVonline=20152658")</f>
        <v>ICTVonline=20152658</v>
      </c>
    </row>
    <row r="2130" spans="1:13" x14ac:dyDescent="0.15">
      <c r="A2130" s="1" t="s">
        <v>934</v>
      </c>
      <c r="B2130" s="1" t="s">
        <v>2228</v>
      </c>
      <c r="D2130" s="1" t="s">
        <v>2229</v>
      </c>
      <c r="E2130" s="1" t="s">
        <v>1963</v>
      </c>
      <c r="F2130" s="3">
        <v>0</v>
      </c>
      <c r="I2130" s="24" t="s">
        <v>5392</v>
      </c>
      <c r="J2130" s="24" t="s">
        <v>2919</v>
      </c>
      <c r="K2130" s="3">
        <v>22</v>
      </c>
      <c r="L2130" s="3" t="s">
        <v>7006</v>
      </c>
      <c r="M2130" s="3" t="str">
        <f>HYPERLINK("http://ictvonline.org/taxonomyHistory.asp?taxnode_id=20152659","ICTVonline=20152659")</f>
        <v>ICTVonline=20152659</v>
      </c>
    </row>
    <row r="2131" spans="1:13" x14ac:dyDescent="0.15">
      <c r="A2131" s="1" t="s">
        <v>934</v>
      </c>
      <c r="B2131" s="1" t="s">
        <v>2228</v>
      </c>
      <c r="D2131" s="1" t="s">
        <v>2229</v>
      </c>
      <c r="E2131" s="1" t="s">
        <v>2574</v>
      </c>
      <c r="F2131" s="3">
        <v>0</v>
      </c>
      <c r="I2131" s="24" t="s">
        <v>5392</v>
      </c>
      <c r="J2131" s="24" t="s">
        <v>2919</v>
      </c>
      <c r="K2131" s="3">
        <v>28</v>
      </c>
      <c r="L2131" s="3" t="s">
        <v>7005</v>
      </c>
      <c r="M2131" s="3" t="str">
        <f>HYPERLINK("http://ictvonline.org/taxonomyHistory.asp?taxnode_id=20152660","ICTVonline=20152660")</f>
        <v>ICTVonline=20152660</v>
      </c>
    </row>
    <row r="2132" spans="1:13" x14ac:dyDescent="0.15">
      <c r="A2132" s="1" t="s">
        <v>934</v>
      </c>
      <c r="B2132" s="1" t="s">
        <v>2228</v>
      </c>
      <c r="D2132" s="1" t="s">
        <v>2229</v>
      </c>
      <c r="E2132" s="1" t="s">
        <v>2575</v>
      </c>
      <c r="F2132" s="3">
        <v>0</v>
      </c>
      <c r="I2132" s="24" t="s">
        <v>5392</v>
      </c>
      <c r="J2132" s="24" t="s">
        <v>2919</v>
      </c>
      <c r="K2132" s="3">
        <v>28</v>
      </c>
      <c r="L2132" s="3" t="s">
        <v>7005</v>
      </c>
      <c r="M2132" s="3" t="str">
        <f>HYPERLINK("http://ictvonline.org/taxonomyHistory.asp?taxnode_id=20152661","ICTVonline=20152661")</f>
        <v>ICTVonline=20152661</v>
      </c>
    </row>
    <row r="2133" spans="1:13" x14ac:dyDescent="0.15">
      <c r="A2133" s="1" t="s">
        <v>934</v>
      </c>
      <c r="B2133" s="1" t="s">
        <v>2228</v>
      </c>
      <c r="D2133" s="1" t="s">
        <v>2229</v>
      </c>
      <c r="E2133" s="1" t="s">
        <v>2576</v>
      </c>
      <c r="F2133" s="3">
        <v>0</v>
      </c>
      <c r="I2133" s="24" t="s">
        <v>5392</v>
      </c>
      <c r="J2133" s="24" t="s">
        <v>2919</v>
      </c>
      <c r="K2133" s="3">
        <v>28</v>
      </c>
      <c r="L2133" s="3" t="s">
        <v>7005</v>
      </c>
      <c r="M2133" s="3" t="str">
        <f>HYPERLINK("http://ictvonline.org/taxonomyHistory.asp?taxnode_id=20152662","ICTVonline=20152662")</f>
        <v>ICTVonline=20152662</v>
      </c>
    </row>
    <row r="2134" spans="1:13" x14ac:dyDescent="0.15">
      <c r="A2134" s="1" t="s">
        <v>934</v>
      </c>
      <c r="B2134" s="1" t="s">
        <v>2228</v>
      </c>
      <c r="D2134" s="1" t="s">
        <v>2229</v>
      </c>
      <c r="E2134" s="1" t="s">
        <v>5577</v>
      </c>
      <c r="F2134" s="3">
        <v>0</v>
      </c>
      <c r="G2134" s="24" t="s">
        <v>7604</v>
      </c>
      <c r="I2134" s="24" t="s">
        <v>5392</v>
      </c>
      <c r="J2134" s="24" t="s">
        <v>2919</v>
      </c>
      <c r="K2134" s="3">
        <v>30</v>
      </c>
      <c r="L2134" s="3" t="s">
        <v>5549</v>
      </c>
      <c r="M2134" s="3" t="str">
        <f>HYPERLINK("http://ictvonline.org/taxonomyHistory.asp?taxnode_id=20152839","ICTVonline=20152839")</f>
        <v>ICTVonline=20152839</v>
      </c>
    </row>
    <row r="2135" spans="1:13" x14ac:dyDescent="0.15">
      <c r="A2135" s="1" t="s">
        <v>934</v>
      </c>
      <c r="B2135" s="1" t="s">
        <v>2228</v>
      </c>
      <c r="D2135" s="1" t="s">
        <v>2229</v>
      </c>
      <c r="E2135" s="1" t="s">
        <v>2577</v>
      </c>
      <c r="F2135" s="3">
        <v>0</v>
      </c>
      <c r="I2135" s="24" t="s">
        <v>5392</v>
      </c>
      <c r="J2135" s="24" t="s">
        <v>2919</v>
      </c>
      <c r="K2135" s="3">
        <v>28</v>
      </c>
      <c r="L2135" s="3" t="s">
        <v>7005</v>
      </c>
      <c r="M2135" s="3" t="str">
        <f>HYPERLINK("http://ictvonline.org/taxonomyHistory.asp?taxnode_id=20152663","ICTVonline=20152663")</f>
        <v>ICTVonline=20152663</v>
      </c>
    </row>
    <row r="2136" spans="1:13" x14ac:dyDescent="0.15">
      <c r="A2136" s="1" t="s">
        <v>934</v>
      </c>
      <c r="B2136" s="1" t="s">
        <v>2228</v>
      </c>
      <c r="D2136" s="1" t="s">
        <v>2229</v>
      </c>
      <c r="E2136" s="1" t="s">
        <v>2578</v>
      </c>
      <c r="F2136" s="3">
        <v>0</v>
      </c>
      <c r="I2136" s="24" t="s">
        <v>5392</v>
      </c>
      <c r="J2136" s="24" t="s">
        <v>2919</v>
      </c>
      <c r="K2136" s="3">
        <v>28</v>
      </c>
      <c r="L2136" s="3" t="s">
        <v>7005</v>
      </c>
      <c r="M2136" s="3" t="str">
        <f>HYPERLINK("http://ictvonline.org/taxonomyHistory.asp?taxnode_id=20152664","ICTVonline=20152664")</f>
        <v>ICTVonline=20152664</v>
      </c>
    </row>
    <row r="2137" spans="1:13" x14ac:dyDescent="0.15">
      <c r="A2137" s="1" t="s">
        <v>934</v>
      </c>
      <c r="B2137" s="1" t="s">
        <v>2228</v>
      </c>
      <c r="D2137" s="1" t="s">
        <v>2229</v>
      </c>
      <c r="E2137" s="1" t="s">
        <v>5578</v>
      </c>
      <c r="F2137" s="3">
        <v>0</v>
      </c>
      <c r="G2137" s="24" t="s">
        <v>7605</v>
      </c>
      <c r="I2137" s="24" t="s">
        <v>5392</v>
      </c>
      <c r="J2137" s="24" t="s">
        <v>2919</v>
      </c>
      <c r="K2137" s="3">
        <v>30</v>
      </c>
      <c r="L2137" s="3" t="s">
        <v>5549</v>
      </c>
      <c r="M2137" s="3" t="str">
        <f>HYPERLINK("http://ictvonline.org/taxonomyHistory.asp?taxnode_id=20152840","ICTVonline=20152840")</f>
        <v>ICTVonline=20152840</v>
      </c>
    </row>
    <row r="2138" spans="1:13" x14ac:dyDescent="0.15">
      <c r="A2138" s="1" t="s">
        <v>934</v>
      </c>
      <c r="B2138" s="1" t="s">
        <v>2228</v>
      </c>
      <c r="D2138" s="1" t="s">
        <v>2229</v>
      </c>
      <c r="E2138" s="1" t="s">
        <v>838</v>
      </c>
      <c r="F2138" s="3">
        <v>0</v>
      </c>
      <c r="I2138" s="24" t="s">
        <v>5392</v>
      </c>
      <c r="J2138" s="24" t="s">
        <v>2919</v>
      </c>
      <c r="K2138" s="3">
        <v>24</v>
      </c>
      <c r="L2138" s="3" t="s">
        <v>7007</v>
      </c>
      <c r="M2138" s="3" t="str">
        <f>HYPERLINK("http://ictvonline.org/taxonomyHistory.asp?taxnode_id=20152665","ICTVonline=20152665")</f>
        <v>ICTVonline=20152665</v>
      </c>
    </row>
    <row r="2139" spans="1:13" x14ac:dyDescent="0.15">
      <c r="A2139" s="1" t="s">
        <v>934</v>
      </c>
      <c r="B2139" s="1" t="s">
        <v>2228</v>
      </c>
      <c r="D2139" s="1" t="s">
        <v>2229</v>
      </c>
      <c r="E2139" s="1" t="s">
        <v>5579</v>
      </c>
      <c r="F2139" s="3">
        <v>0</v>
      </c>
      <c r="G2139" s="24" t="s">
        <v>7606</v>
      </c>
      <c r="I2139" s="24" t="s">
        <v>5392</v>
      </c>
      <c r="J2139" s="24" t="s">
        <v>2919</v>
      </c>
      <c r="K2139" s="3">
        <v>30</v>
      </c>
      <c r="L2139" s="3" t="s">
        <v>5549</v>
      </c>
      <c r="M2139" s="3" t="str">
        <f>HYPERLINK("http://ictvonline.org/taxonomyHistory.asp?taxnode_id=20152841","ICTVonline=20152841")</f>
        <v>ICTVonline=20152841</v>
      </c>
    </row>
    <row r="2140" spans="1:13" x14ac:dyDescent="0.15">
      <c r="A2140" s="1" t="s">
        <v>934</v>
      </c>
      <c r="B2140" s="1" t="s">
        <v>2228</v>
      </c>
      <c r="D2140" s="1" t="s">
        <v>2229</v>
      </c>
      <c r="E2140" s="1" t="s">
        <v>5580</v>
      </c>
      <c r="F2140" s="3">
        <v>0</v>
      </c>
      <c r="G2140" s="24" t="s">
        <v>7607</v>
      </c>
      <c r="I2140" s="24" t="s">
        <v>5392</v>
      </c>
      <c r="J2140" s="24" t="s">
        <v>2919</v>
      </c>
      <c r="K2140" s="3">
        <v>30</v>
      </c>
      <c r="L2140" s="3" t="s">
        <v>5549</v>
      </c>
      <c r="M2140" s="3" t="str">
        <f>HYPERLINK("http://ictvonline.org/taxonomyHistory.asp?taxnode_id=20152842","ICTVonline=20152842")</f>
        <v>ICTVonline=20152842</v>
      </c>
    </row>
    <row r="2141" spans="1:13" x14ac:dyDescent="0.15">
      <c r="A2141" s="1" t="s">
        <v>934</v>
      </c>
      <c r="B2141" s="1" t="s">
        <v>2228</v>
      </c>
      <c r="D2141" s="1" t="s">
        <v>2229</v>
      </c>
      <c r="E2141" s="1" t="s">
        <v>2579</v>
      </c>
      <c r="F2141" s="3">
        <v>0</v>
      </c>
      <c r="I2141" s="24" t="s">
        <v>5392</v>
      </c>
      <c r="J2141" s="24" t="s">
        <v>2919</v>
      </c>
      <c r="K2141" s="3">
        <v>28</v>
      </c>
      <c r="L2141" s="3" t="s">
        <v>7005</v>
      </c>
      <c r="M2141" s="3" t="str">
        <f>HYPERLINK("http://ictvonline.org/taxonomyHistory.asp?taxnode_id=20152666","ICTVonline=20152666")</f>
        <v>ICTVonline=20152666</v>
      </c>
    </row>
    <row r="2142" spans="1:13" x14ac:dyDescent="0.15">
      <c r="A2142" s="1" t="s">
        <v>934</v>
      </c>
      <c r="B2142" s="1" t="s">
        <v>2228</v>
      </c>
      <c r="D2142" s="1" t="s">
        <v>2229</v>
      </c>
      <c r="E2142" s="1" t="s">
        <v>5581</v>
      </c>
      <c r="F2142" s="3">
        <v>0</v>
      </c>
      <c r="G2142" s="24" t="s">
        <v>7608</v>
      </c>
      <c r="I2142" s="24" t="s">
        <v>5392</v>
      </c>
      <c r="J2142" s="24" t="s">
        <v>2919</v>
      </c>
      <c r="K2142" s="3">
        <v>30</v>
      </c>
      <c r="L2142" s="3" t="s">
        <v>5549</v>
      </c>
      <c r="M2142" s="3" t="str">
        <f>HYPERLINK("http://ictvonline.org/taxonomyHistory.asp?taxnode_id=20152843","ICTVonline=20152843")</f>
        <v>ICTVonline=20152843</v>
      </c>
    </row>
    <row r="2143" spans="1:13" x14ac:dyDescent="0.15">
      <c r="A2143" s="1" t="s">
        <v>934</v>
      </c>
      <c r="B2143" s="1" t="s">
        <v>2228</v>
      </c>
      <c r="D2143" s="1" t="s">
        <v>2229</v>
      </c>
      <c r="E2143" s="1" t="s">
        <v>2580</v>
      </c>
      <c r="F2143" s="3">
        <v>0</v>
      </c>
      <c r="I2143" s="24" t="s">
        <v>5392</v>
      </c>
      <c r="J2143" s="24" t="s">
        <v>2919</v>
      </c>
      <c r="K2143" s="3">
        <v>28</v>
      </c>
      <c r="L2143" s="3" t="s">
        <v>7005</v>
      </c>
      <c r="M2143" s="3" t="str">
        <f>HYPERLINK("http://ictvonline.org/taxonomyHistory.asp?taxnode_id=20152667","ICTVonline=20152667")</f>
        <v>ICTVonline=20152667</v>
      </c>
    </row>
    <row r="2144" spans="1:13" x14ac:dyDescent="0.15">
      <c r="A2144" s="1" t="s">
        <v>934</v>
      </c>
      <c r="B2144" s="1" t="s">
        <v>2228</v>
      </c>
      <c r="D2144" s="1" t="s">
        <v>2229</v>
      </c>
      <c r="E2144" s="1" t="s">
        <v>839</v>
      </c>
      <c r="F2144" s="3">
        <v>0</v>
      </c>
      <c r="I2144" s="24" t="s">
        <v>5392</v>
      </c>
      <c r="J2144" s="24" t="s">
        <v>2919</v>
      </c>
      <c r="K2144" s="3">
        <v>22</v>
      </c>
      <c r="L2144" s="3" t="s">
        <v>7006</v>
      </c>
      <c r="M2144" s="3" t="str">
        <f>HYPERLINK("http://ictvonline.org/taxonomyHistory.asp?taxnode_id=20152668","ICTVonline=20152668")</f>
        <v>ICTVonline=20152668</v>
      </c>
    </row>
    <row r="2145" spans="1:13" x14ac:dyDescent="0.15">
      <c r="A2145" s="1" t="s">
        <v>934</v>
      </c>
      <c r="B2145" s="1" t="s">
        <v>2228</v>
      </c>
      <c r="D2145" s="1" t="s">
        <v>2229</v>
      </c>
      <c r="E2145" s="1" t="s">
        <v>840</v>
      </c>
      <c r="F2145" s="3">
        <v>0</v>
      </c>
      <c r="I2145" s="24" t="s">
        <v>5392</v>
      </c>
      <c r="J2145" s="24" t="s">
        <v>2919</v>
      </c>
      <c r="K2145" s="3">
        <v>22</v>
      </c>
      <c r="L2145" s="3" t="s">
        <v>7006</v>
      </c>
      <c r="M2145" s="3" t="str">
        <f>HYPERLINK("http://ictvonline.org/taxonomyHistory.asp?taxnode_id=20152669","ICTVonline=20152669")</f>
        <v>ICTVonline=20152669</v>
      </c>
    </row>
    <row r="2146" spans="1:13" x14ac:dyDescent="0.15">
      <c r="A2146" s="1" t="s">
        <v>934</v>
      </c>
      <c r="B2146" s="1" t="s">
        <v>2228</v>
      </c>
      <c r="D2146" s="1" t="s">
        <v>2229</v>
      </c>
      <c r="E2146" s="1" t="s">
        <v>5582</v>
      </c>
      <c r="F2146" s="3">
        <v>0</v>
      </c>
      <c r="G2146" s="24" t="s">
        <v>7609</v>
      </c>
      <c r="I2146" s="24" t="s">
        <v>5392</v>
      </c>
      <c r="J2146" s="24" t="s">
        <v>2919</v>
      </c>
      <c r="K2146" s="3">
        <v>30</v>
      </c>
      <c r="L2146" s="3" t="s">
        <v>5549</v>
      </c>
      <c r="M2146" s="3" t="str">
        <f>HYPERLINK("http://ictvonline.org/taxonomyHistory.asp?taxnode_id=20152844","ICTVonline=20152844")</f>
        <v>ICTVonline=20152844</v>
      </c>
    </row>
    <row r="2147" spans="1:13" x14ac:dyDescent="0.15">
      <c r="A2147" s="1" t="s">
        <v>934</v>
      </c>
      <c r="B2147" s="1" t="s">
        <v>2228</v>
      </c>
      <c r="D2147" s="1" t="s">
        <v>2229</v>
      </c>
      <c r="E2147" s="1" t="s">
        <v>841</v>
      </c>
      <c r="F2147" s="3">
        <v>0</v>
      </c>
      <c r="I2147" s="24" t="s">
        <v>5392</v>
      </c>
      <c r="J2147" s="24" t="s">
        <v>2920</v>
      </c>
      <c r="K2147" s="3">
        <v>16</v>
      </c>
      <c r="L2147" s="3" t="s">
        <v>2940</v>
      </c>
      <c r="M2147" s="3" t="str">
        <f>HYPERLINK("http://ictvonline.org/taxonomyHistory.asp?taxnode_id=20152672","ICTVonline=20152672")</f>
        <v>ICTVonline=20152672</v>
      </c>
    </row>
    <row r="2148" spans="1:13" x14ac:dyDescent="0.15">
      <c r="A2148" s="1" t="s">
        <v>934</v>
      </c>
      <c r="B2148" s="1" t="s">
        <v>2228</v>
      </c>
      <c r="D2148" s="1" t="s">
        <v>2229</v>
      </c>
      <c r="E2148" s="1" t="s">
        <v>2581</v>
      </c>
      <c r="F2148" s="3">
        <v>0</v>
      </c>
      <c r="I2148" s="24" t="s">
        <v>5392</v>
      </c>
      <c r="J2148" s="24" t="s">
        <v>2919</v>
      </c>
      <c r="K2148" s="3">
        <v>28</v>
      </c>
      <c r="L2148" s="3" t="s">
        <v>7005</v>
      </c>
      <c r="M2148" s="3" t="str">
        <f>HYPERLINK("http://ictvonline.org/taxonomyHistory.asp?taxnode_id=20152673","ICTVonline=20152673")</f>
        <v>ICTVonline=20152673</v>
      </c>
    </row>
    <row r="2149" spans="1:13" x14ac:dyDescent="0.15">
      <c r="A2149" s="1" t="s">
        <v>934</v>
      </c>
      <c r="B2149" s="1" t="s">
        <v>2228</v>
      </c>
      <c r="D2149" s="1" t="s">
        <v>2229</v>
      </c>
      <c r="E2149" s="1" t="s">
        <v>842</v>
      </c>
      <c r="F2149" s="3">
        <v>0</v>
      </c>
      <c r="I2149" s="24" t="s">
        <v>5392</v>
      </c>
      <c r="J2149" s="24" t="s">
        <v>2919</v>
      </c>
      <c r="K2149" s="3">
        <v>22</v>
      </c>
      <c r="L2149" s="3" t="s">
        <v>7006</v>
      </c>
      <c r="M2149" s="3" t="str">
        <f>HYPERLINK("http://ictvonline.org/taxonomyHistory.asp?taxnode_id=20152674","ICTVonline=20152674")</f>
        <v>ICTVonline=20152674</v>
      </c>
    </row>
    <row r="2150" spans="1:13" x14ac:dyDescent="0.15">
      <c r="A2150" s="1" t="s">
        <v>934</v>
      </c>
      <c r="B2150" s="1" t="s">
        <v>2228</v>
      </c>
      <c r="D2150" s="1" t="s">
        <v>2229</v>
      </c>
      <c r="E2150" s="1" t="s">
        <v>843</v>
      </c>
      <c r="F2150" s="3">
        <v>0</v>
      </c>
      <c r="I2150" s="24" t="s">
        <v>5392</v>
      </c>
      <c r="J2150" s="24" t="s">
        <v>2919</v>
      </c>
      <c r="K2150" s="3">
        <v>24</v>
      </c>
      <c r="L2150" s="3" t="s">
        <v>7010</v>
      </c>
      <c r="M2150" s="3" t="str">
        <f>HYPERLINK("http://ictvonline.org/taxonomyHistory.asp?taxnode_id=20152675","ICTVonline=20152675")</f>
        <v>ICTVonline=20152675</v>
      </c>
    </row>
    <row r="2151" spans="1:13" x14ac:dyDescent="0.15">
      <c r="A2151" s="1" t="s">
        <v>934</v>
      </c>
      <c r="B2151" s="1" t="s">
        <v>2228</v>
      </c>
      <c r="D2151" s="1" t="s">
        <v>2229</v>
      </c>
      <c r="E2151" s="1" t="s">
        <v>844</v>
      </c>
      <c r="F2151" s="3">
        <v>0</v>
      </c>
      <c r="I2151" s="24" t="s">
        <v>5392</v>
      </c>
      <c r="J2151" s="24" t="s">
        <v>2919</v>
      </c>
      <c r="K2151" s="3">
        <v>24</v>
      </c>
      <c r="L2151" s="3" t="s">
        <v>7007</v>
      </c>
      <c r="M2151" s="3" t="str">
        <f>HYPERLINK("http://ictvonline.org/taxonomyHistory.asp?taxnode_id=20152676","ICTVonline=20152676")</f>
        <v>ICTVonline=20152676</v>
      </c>
    </row>
    <row r="2152" spans="1:13" x14ac:dyDescent="0.15">
      <c r="A2152" s="1" t="s">
        <v>934</v>
      </c>
      <c r="B2152" s="1" t="s">
        <v>2228</v>
      </c>
      <c r="D2152" s="1" t="s">
        <v>2229</v>
      </c>
      <c r="E2152" s="1" t="s">
        <v>2582</v>
      </c>
      <c r="F2152" s="3">
        <v>0</v>
      </c>
      <c r="I2152" s="24" t="s">
        <v>5392</v>
      </c>
      <c r="J2152" s="24" t="s">
        <v>2919</v>
      </c>
      <c r="K2152" s="3">
        <v>28</v>
      </c>
      <c r="L2152" s="3" t="s">
        <v>7005</v>
      </c>
      <c r="M2152" s="3" t="str">
        <f>HYPERLINK("http://ictvonline.org/taxonomyHistory.asp?taxnode_id=20152677","ICTVonline=20152677")</f>
        <v>ICTVonline=20152677</v>
      </c>
    </row>
    <row r="2153" spans="1:13" x14ac:dyDescent="0.15">
      <c r="A2153" s="1" t="s">
        <v>934</v>
      </c>
      <c r="B2153" s="1" t="s">
        <v>2228</v>
      </c>
      <c r="D2153" s="1" t="s">
        <v>2229</v>
      </c>
      <c r="E2153" s="1" t="s">
        <v>2583</v>
      </c>
      <c r="F2153" s="3">
        <v>0</v>
      </c>
      <c r="I2153" s="24" t="s">
        <v>5392</v>
      </c>
      <c r="J2153" s="24" t="s">
        <v>2919</v>
      </c>
      <c r="K2153" s="3">
        <v>28</v>
      </c>
      <c r="L2153" s="3" t="s">
        <v>7005</v>
      </c>
      <c r="M2153" s="3" t="str">
        <f>HYPERLINK("http://ictvonline.org/taxonomyHistory.asp?taxnode_id=20152678","ICTVonline=20152678")</f>
        <v>ICTVonline=20152678</v>
      </c>
    </row>
    <row r="2154" spans="1:13" x14ac:dyDescent="0.15">
      <c r="A2154" s="1" t="s">
        <v>934</v>
      </c>
      <c r="B2154" s="1" t="s">
        <v>2228</v>
      </c>
      <c r="D2154" s="1" t="s">
        <v>2229</v>
      </c>
      <c r="E2154" s="1" t="s">
        <v>2584</v>
      </c>
      <c r="F2154" s="3">
        <v>0</v>
      </c>
      <c r="I2154" s="24" t="s">
        <v>5392</v>
      </c>
      <c r="J2154" s="24" t="s">
        <v>2919</v>
      </c>
      <c r="K2154" s="3">
        <v>28</v>
      </c>
      <c r="L2154" s="3" t="s">
        <v>7005</v>
      </c>
      <c r="M2154" s="3" t="str">
        <f>HYPERLINK("http://ictvonline.org/taxonomyHistory.asp?taxnode_id=20152679","ICTVonline=20152679")</f>
        <v>ICTVonline=20152679</v>
      </c>
    </row>
    <row r="2155" spans="1:13" x14ac:dyDescent="0.15">
      <c r="A2155" s="1" t="s">
        <v>934</v>
      </c>
      <c r="B2155" s="1" t="s">
        <v>2228</v>
      </c>
      <c r="D2155" s="1" t="s">
        <v>2229</v>
      </c>
      <c r="E2155" s="1" t="s">
        <v>2585</v>
      </c>
      <c r="F2155" s="3">
        <v>0</v>
      </c>
      <c r="I2155" s="24" t="s">
        <v>5392</v>
      </c>
      <c r="J2155" s="24" t="s">
        <v>2919</v>
      </c>
      <c r="K2155" s="3">
        <v>28</v>
      </c>
      <c r="L2155" s="3" t="s">
        <v>7005</v>
      </c>
      <c r="M2155" s="3" t="str">
        <f>HYPERLINK("http://ictvonline.org/taxonomyHistory.asp?taxnode_id=20152680","ICTVonline=20152680")</f>
        <v>ICTVonline=20152680</v>
      </c>
    </row>
    <row r="2156" spans="1:13" x14ac:dyDescent="0.15">
      <c r="A2156" s="1" t="s">
        <v>934</v>
      </c>
      <c r="B2156" s="1" t="s">
        <v>2228</v>
      </c>
      <c r="D2156" s="1" t="s">
        <v>2229</v>
      </c>
      <c r="E2156" s="1" t="s">
        <v>2586</v>
      </c>
      <c r="F2156" s="3">
        <v>0</v>
      </c>
      <c r="I2156" s="24" t="s">
        <v>5392</v>
      </c>
      <c r="J2156" s="24" t="s">
        <v>2919</v>
      </c>
      <c r="K2156" s="3">
        <v>28</v>
      </c>
      <c r="L2156" s="3" t="s">
        <v>7005</v>
      </c>
      <c r="M2156" s="3" t="str">
        <f>HYPERLINK("http://ictvonline.org/taxonomyHistory.asp?taxnode_id=20152681","ICTVonline=20152681")</f>
        <v>ICTVonline=20152681</v>
      </c>
    </row>
    <row r="2157" spans="1:13" x14ac:dyDescent="0.15">
      <c r="A2157" s="1" t="s">
        <v>934</v>
      </c>
      <c r="B2157" s="1" t="s">
        <v>2228</v>
      </c>
      <c r="D2157" s="1" t="s">
        <v>2229</v>
      </c>
      <c r="E2157" s="1" t="s">
        <v>845</v>
      </c>
      <c r="F2157" s="3">
        <v>0</v>
      </c>
      <c r="I2157" s="24" t="s">
        <v>5392</v>
      </c>
      <c r="J2157" s="24" t="s">
        <v>2919</v>
      </c>
      <c r="K2157" s="3">
        <v>22</v>
      </c>
      <c r="L2157" s="3" t="s">
        <v>7006</v>
      </c>
      <c r="M2157" s="3" t="str">
        <f>HYPERLINK("http://ictvonline.org/taxonomyHistory.asp?taxnode_id=20152682","ICTVonline=20152682")</f>
        <v>ICTVonline=20152682</v>
      </c>
    </row>
    <row r="2158" spans="1:13" x14ac:dyDescent="0.15">
      <c r="A2158" s="1" t="s">
        <v>934</v>
      </c>
      <c r="B2158" s="1" t="s">
        <v>2228</v>
      </c>
      <c r="D2158" s="1" t="s">
        <v>2229</v>
      </c>
      <c r="E2158" s="1" t="s">
        <v>2587</v>
      </c>
      <c r="F2158" s="3">
        <v>0</v>
      </c>
      <c r="I2158" s="24" t="s">
        <v>5392</v>
      </c>
      <c r="J2158" s="24" t="s">
        <v>2919</v>
      </c>
      <c r="K2158" s="3">
        <v>28</v>
      </c>
      <c r="L2158" s="3" t="s">
        <v>7005</v>
      </c>
      <c r="M2158" s="3" t="str">
        <f>HYPERLINK("http://ictvonline.org/taxonomyHistory.asp?taxnode_id=20152683","ICTVonline=20152683")</f>
        <v>ICTVonline=20152683</v>
      </c>
    </row>
    <row r="2159" spans="1:13" x14ac:dyDescent="0.15">
      <c r="A2159" s="1" t="s">
        <v>934</v>
      </c>
      <c r="B2159" s="1" t="s">
        <v>2228</v>
      </c>
      <c r="D2159" s="1" t="s">
        <v>2229</v>
      </c>
      <c r="E2159" s="1" t="s">
        <v>5583</v>
      </c>
      <c r="F2159" s="3">
        <v>0</v>
      </c>
      <c r="G2159" s="24" t="s">
        <v>7610</v>
      </c>
      <c r="I2159" s="24" t="s">
        <v>5392</v>
      </c>
      <c r="J2159" s="24" t="s">
        <v>2919</v>
      </c>
      <c r="K2159" s="3">
        <v>30</v>
      </c>
      <c r="L2159" s="3" t="s">
        <v>5549</v>
      </c>
      <c r="M2159" s="3" t="str">
        <f>HYPERLINK("http://ictvonline.org/taxonomyHistory.asp?taxnode_id=20152845","ICTVonline=20152845")</f>
        <v>ICTVonline=20152845</v>
      </c>
    </row>
    <row r="2160" spans="1:13" x14ac:dyDescent="0.15">
      <c r="A2160" s="1" t="s">
        <v>934</v>
      </c>
      <c r="B2160" s="1" t="s">
        <v>2228</v>
      </c>
      <c r="D2160" s="1" t="s">
        <v>2229</v>
      </c>
      <c r="E2160" s="1" t="s">
        <v>2588</v>
      </c>
      <c r="F2160" s="3">
        <v>0</v>
      </c>
      <c r="I2160" s="24" t="s">
        <v>5392</v>
      </c>
      <c r="J2160" s="24" t="s">
        <v>2919</v>
      </c>
      <c r="K2160" s="3">
        <v>28</v>
      </c>
      <c r="L2160" s="3" t="s">
        <v>7005</v>
      </c>
      <c r="M2160" s="3" t="str">
        <f>HYPERLINK("http://ictvonline.org/taxonomyHistory.asp?taxnode_id=20152684","ICTVonline=20152684")</f>
        <v>ICTVonline=20152684</v>
      </c>
    </row>
    <row r="2161" spans="1:13" x14ac:dyDescent="0.15">
      <c r="A2161" s="1" t="s">
        <v>934</v>
      </c>
      <c r="B2161" s="1" t="s">
        <v>2228</v>
      </c>
      <c r="D2161" s="1" t="s">
        <v>2229</v>
      </c>
      <c r="E2161" s="1" t="s">
        <v>846</v>
      </c>
      <c r="F2161" s="3">
        <v>0</v>
      </c>
      <c r="I2161" s="24" t="s">
        <v>5392</v>
      </c>
      <c r="J2161" s="24" t="s">
        <v>2919</v>
      </c>
      <c r="K2161" s="3">
        <v>24</v>
      </c>
      <c r="L2161" s="3" t="s">
        <v>7007</v>
      </c>
      <c r="M2161" s="3" t="str">
        <f>HYPERLINK("http://ictvonline.org/taxonomyHistory.asp?taxnode_id=20152685","ICTVonline=20152685")</f>
        <v>ICTVonline=20152685</v>
      </c>
    </row>
    <row r="2162" spans="1:13" x14ac:dyDescent="0.15">
      <c r="A2162" s="1" t="s">
        <v>934</v>
      </c>
      <c r="B2162" s="1" t="s">
        <v>2228</v>
      </c>
      <c r="D2162" s="1" t="s">
        <v>2229</v>
      </c>
      <c r="E2162" s="1" t="s">
        <v>847</v>
      </c>
      <c r="F2162" s="3">
        <v>0</v>
      </c>
      <c r="I2162" s="24" t="s">
        <v>5392</v>
      </c>
      <c r="J2162" s="24" t="s">
        <v>2919</v>
      </c>
      <c r="K2162" s="3">
        <v>22</v>
      </c>
      <c r="L2162" s="3" t="s">
        <v>7006</v>
      </c>
      <c r="M2162" s="3" t="str">
        <f>HYPERLINK("http://ictvonline.org/taxonomyHistory.asp?taxnode_id=20152686","ICTVonline=20152686")</f>
        <v>ICTVonline=20152686</v>
      </c>
    </row>
    <row r="2163" spans="1:13" x14ac:dyDescent="0.15">
      <c r="A2163" s="1" t="s">
        <v>934</v>
      </c>
      <c r="B2163" s="1" t="s">
        <v>2228</v>
      </c>
      <c r="D2163" s="1" t="s">
        <v>2229</v>
      </c>
      <c r="E2163" s="1" t="s">
        <v>1971</v>
      </c>
      <c r="F2163" s="3">
        <v>0</v>
      </c>
      <c r="I2163" s="24" t="s">
        <v>5392</v>
      </c>
      <c r="J2163" s="24" t="s">
        <v>2919</v>
      </c>
      <c r="K2163" s="3">
        <v>24</v>
      </c>
      <c r="L2163" s="3" t="s">
        <v>7008</v>
      </c>
      <c r="M2163" s="3" t="str">
        <f>HYPERLINK("http://ictvonline.org/taxonomyHistory.asp?taxnode_id=20152687","ICTVonline=20152687")</f>
        <v>ICTVonline=20152687</v>
      </c>
    </row>
    <row r="2164" spans="1:13" x14ac:dyDescent="0.15">
      <c r="A2164" s="1" t="s">
        <v>934</v>
      </c>
      <c r="B2164" s="1" t="s">
        <v>2228</v>
      </c>
      <c r="D2164" s="1" t="s">
        <v>2229</v>
      </c>
      <c r="E2164" s="1" t="s">
        <v>2589</v>
      </c>
      <c r="F2164" s="3">
        <v>0</v>
      </c>
      <c r="I2164" s="24" t="s">
        <v>5392</v>
      </c>
      <c r="J2164" s="24" t="s">
        <v>2919</v>
      </c>
      <c r="K2164" s="3">
        <v>28</v>
      </c>
      <c r="L2164" s="3" t="s">
        <v>7005</v>
      </c>
      <c r="M2164" s="3" t="str">
        <f>HYPERLINK("http://ictvonline.org/taxonomyHistory.asp?taxnode_id=20152688","ICTVonline=20152688")</f>
        <v>ICTVonline=20152688</v>
      </c>
    </row>
    <row r="2165" spans="1:13" x14ac:dyDescent="0.15">
      <c r="A2165" s="1" t="s">
        <v>934</v>
      </c>
      <c r="B2165" s="1" t="s">
        <v>2228</v>
      </c>
      <c r="D2165" s="1" t="s">
        <v>2229</v>
      </c>
      <c r="E2165" s="1" t="s">
        <v>2590</v>
      </c>
      <c r="F2165" s="3">
        <v>0</v>
      </c>
      <c r="I2165" s="24" t="s">
        <v>5392</v>
      </c>
      <c r="J2165" s="24" t="s">
        <v>2919</v>
      </c>
      <c r="K2165" s="3">
        <v>28</v>
      </c>
      <c r="L2165" s="3" t="s">
        <v>7005</v>
      </c>
      <c r="M2165" s="3" t="str">
        <f>HYPERLINK("http://ictvonline.org/taxonomyHistory.asp?taxnode_id=20152689","ICTVonline=20152689")</f>
        <v>ICTVonline=20152689</v>
      </c>
    </row>
    <row r="2166" spans="1:13" x14ac:dyDescent="0.15">
      <c r="A2166" s="1" t="s">
        <v>934</v>
      </c>
      <c r="B2166" s="1" t="s">
        <v>2228</v>
      </c>
      <c r="D2166" s="1" t="s">
        <v>2229</v>
      </c>
      <c r="E2166" s="1" t="s">
        <v>1972</v>
      </c>
      <c r="F2166" s="3">
        <v>0</v>
      </c>
      <c r="I2166" s="24" t="s">
        <v>5392</v>
      </c>
      <c r="J2166" s="24" t="s">
        <v>2919</v>
      </c>
      <c r="K2166" s="3">
        <v>24</v>
      </c>
      <c r="L2166" s="3" t="s">
        <v>7008</v>
      </c>
      <c r="M2166" s="3" t="str">
        <f>HYPERLINK("http://ictvonline.org/taxonomyHistory.asp?taxnode_id=20152691","ICTVonline=20152691")</f>
        <v>ICTVonline=20152691</v>
      </c>
    </row>
    <row r="2167" spans="1:13" x14ac:dyDescent="0.15">
      <c r="A2167" s="1" t="s">
        <v>934</v>
      </c>
      <c r="B2167" s="1" t="s">
        <v>2228</v>
      </c>
      <c r="D2167" s="1" t="s">
        <v>2229</v>
      </c>
      <c r="E2167" s="1" t="s">
        <v>1973</v>
      </c>
      <c r="F2167" s="3">
        <v>0</v>
      </c>
      <c r="I2167" s="24" t="s">
        <v>5392</v>
      </c>
      <c r="J2167" s="24" t="s">
        <v>2919</v>
      </c>
      <c r="K2167" s="3">
        <v>22</v>
      </c>
      <c r="L2167" s="3" t="s">
        <v>7006</v>
      </c>
      <c r="M2167" s="3" t="str">
        <f>HYPERLINK("http://ictvonline.org/taxonomyHistory.asp?taxnode_id=20152692","ICTVonline=20152692")</f>
        <v>ICTVonline=20152692</v>
      </c>
    </row>
    <row r="2168" spans="1:13" x14ac:dyDescent="0.15">
      <c r="A2168" s="1" t="s">
        <v>934</v>
      </c>
      <c r="B2168" s="1" t="s">
        <v>2228</v>
      </c>
      <c r="D2168" s="1" t="s">
        <v>2229</v>
      </c>
      <c r="E2168" s="1" t="s">
        <v>5584</v>
      </c>
      <c r="F2168" s="3">
        <v>0</v>
      </c>
      <c r="G2168" s="24" t="s">
        <v>7611</v>
      </c>
      <c r="I2168" s="24" t="s">
        <v>5392</v>
      </c>
      <c r="J2168" s="24" t="s">
        <v>2919</v>
      </c>
      <c r="K2168" s="3">
        <v>30</v>
      </c>
      <c r="L2168" s="3" t="s">
        <v>5549</v>
      </c>
      <c r="M2168" s="3" t="str">
        <f>HYPERLINK("http://ictvonline.org/taxonomyHistory.asp?taxnode_id=20152846","ICTVonline=20152846")</f>
        <v>ICTVonline=20152846</v>
      </c>
    </row>
    <row r="2169" spans="1:13" x14ac:dyDescent="0.15">
      <c r="A2169" s="1" t="s">
        <v>934</v>
      </c>
      <c r="B2169" s="1" t="s">
        <v>2228</v>
      </c>
      <c r="D2169" s="1" t="s">
        <v>2229</v>
      </c>
      <c r="E2169" s="1" t="s">
        <v>1974</v>
      </c>
      <c r="F2169" s="3">
        <v>0</v>
      </c>
      <c r="I2169" s="24" t="s">
        <v>5392</v>
      </c>
      <c r="J2169" s="24" t="s">
        <v>2919</v>
      </c>
      <c r="K2169" s="3">
        <v>24</v>
      </c>
      <c r="L2169" s="3" t="s">
        <v>7010</v>
      </c>
      <c r="M2169" s="3" t="str">
        <f>HYPERLINK("http://ictvonline.org/taxonomyHistory.asp?taxnode_id=20152693","ICTVonline=20152693")</f>
        <v>ICTVonline=20152693</v>
      </c>
    </row>
    <row r="2170" spans="1:13" x14ac:dyDescent="0.15">
      <c r="A2170" s="1" t="s">
        <v>934</v>
      </c>
      <c r="B2170" s="1" t="s">
        <v>2228</v>
      </c>
      <c r="D2170" s="1" t="s">
        <v>2229</v>
      </c>
      <c r="E2170" s="1" t="s">
        <v>1975</v>
      </c>
      <c r="F2170" s="3">
        <v>0</v>
      </c>
      <c r="I2170" s="24" t="s">
        <v>5392</v>
      </c>
      <c r="J2170" s="24" t="s">
        <v>2919</v>
      </c>
      <c r="K2170" s="3">
        <v>24</v>
      </c>
      <c r="L2170" s="3" t="s">
        <v>7010</v>
      </c>
      <c r="M2170" s="3" t="str">
        <f>HYPERLINK("http://ictvonline.org/taxonomyHistory.asp?taxnode_id=20152694","ICTVonline=20152694")</f>
        <v>ICTVonline=20152694</v>
      </c>
    </row>
    <row r="2171" spans="1:13" x14ac:dyDescent="0.15">
      <c r="A2171" s="1" t="s">
        <v>934</v>
      </c>
      <c r="B2171" s="1" t="s">
        <v>2228</v>
      </c>
      <c r="D2171" s="1" t="s">
        <v>2229</v>
      </c>
      <c r="E2171" s="1" t="s">
        <v>532</v>
      </c>
      <c r="F2171" s="3">
        <v>0</v>
      </c>
      <c r="I2171" s="24" t="s">
        <v>5392</v>
      </c>
      <c r="J2171" s="24" t="s">
        <v>2919</v>
      </c>
      <c r="K2171" s="3">
        <v>17</v>
      </c>
      <c r="L2171" s="3" t="s">
        <v>2928</v>
      </c>
      <c r="M2171" s="3" t="str">
        <f>HYPERLINK("http://ictvonline.org/taxonomyHistory.asp?taxnode_id=20152695","ICTVonline=20152695")</f>
        <v>ICTVonline=20152695</v>
      </c>
    </row>
    <row r="2172" spans="1:13" x14ac:dyDescent="0.15">
      <c r="A2172" s="1" t="s">
        <v>934</v>
      </c>
      <c r="B2172" s="1" t="s">
        <v>2228</v>
      </c>
      <c r="D2172" s="1" t="s">
        <v>2229</v>
      </c>
      <c r="E2172" s="1" t="s">
        <v>533</v>
      </c>
      <c r="F2172" s="3">
        <v>0</v>
      </c>
      <c r="I2172" s="24" t="s">
        <v>5392</v>
      </c>
      <c r="J2172" s="24" t="s">
        <v>2919</v>
      </c>
      <c r="K2172" s="3">
        <v>24</v>
      </c>
      <c r="L2172" s="3" t="s">
        <v>7008</v>
      </c>
      <c r="M2172" s="3" t="str">
        <f>HYPERLINK("http://ictvonline.org/taxonomyHistory.asp?taxnode_id=20152696","ICTVonline=20152696")</f>
        <v>ICTVonline=20152696</v>
      </c>
    </row>
    <row r="2173" spans="1:13" x14ac:dyDescent="0.15">
      <c r="A2173" s="1" t="s">
        <v>934</v>
      </c>
      <c r="B2173" s="1" t="s">
        <v>2228</v>
      </c>
      <c r="D2173" s="1" t="s">
        <v>2229</v>
      </c>
      <c r="E2173" s="1" t="s">
        <v>5585</v>
      </c>
      <c r="F2173" s="3">
        <v>0</v>
      </c>
      <c r="G2173" s="24" t="s">
        <v>7612</v>
      </c>
      <c r="I2173" s="24" t="s">
        <v>5392</v>
      </c>
      <c r="J2173" s="24" t="s">
        <v>2919</v>
      </c>
      <c r="K2173" s="3">
        <v>30</v>
      </c>
      <c r="L2173" s="3" t="s">
        <v>5549</v>
      </c>
      <c r="M2173" s="3" t="str">
        <f>HYPERLINK("http://ictvonline.org/taxonomyHistory.asp?taxnode_id=20152847","ICTVonline=20152847")</f>
        <v>ICTVonline=20152847</v>
      </c>
    </row>
    <row r="2174" spans="1:13" x14ac:dyDescent="0.15">
      <c r="A2174" s="1" t="s">
        <v>934</v>
      </c>
      <c r="B2174" s="1" t="s">
        <v>2228</v>
      </c>
      <c r="D2174" s="1" t="s">
        <v>2229</v>
      </c>
      <c r="E2174" s="1" t="s">
        <v>2591</v>
      </c>
      <c r="F2174" s="3">
        <v>0</v>
      </c>
      <c r="I2174" s="24" t="s">
        <v>5392</v>
      </c>
      <c r="J2174" s="24" t="s">
        <v>2919</v>
      </c>
      <c r="K2174" s="3">
        <v>28</v>
      </c>
      <c r="L2174" s="3" t="s">
        <v>7005</v>
      </c>
      <c r="M2174" s="3" t="str">
        <f>HYPERLINK("http://ictvonline.org/taxonomyHistory.asp?taxnode_id=20152699","ICTVonline=20152699")</f>
        <v>ICTVonline=20152699</v>
      </c>
    </row>
    <row r="2175" spans="1:13" x14ac:dyDescent="0.15">
      <c r="A2175" s="1" t="s">
        <v>934</v>
      </c>
      <c r="B2175" s="1" t="s">
        <v>2228</v>
      </c>
      <c r="D2175" s="1" t="s">
        <v>2229</v>
      </c>
      <c r="E2175" s="1" t="s">
        <v>534</v>
      </c>
      <c r="F2175" s="3">
        <v>0</v>
      </c>
      <c r="I2175" s="24" t="s">
        <v>5392</v>
      </c>
      <c r="J2175" s="24" t="s">
        <v>2919</v>
      </c>
      <c r="K2175" s="3">
        <v>24</v>
      </c>
      <c r="L2175" s="3" t="s">
        <v>7008</v>
      </c>
      <c r="M2175" s="3" t="str">
        <f>HYPERLINK("http://ictvonline.org/taxonomyHistory.asp?taxnode_id=20152700","ICTVonline=20152700")</f>
        <v>ICTVonline=20152700</v>
      </c>
    </row>
    <row r="2176" spans="1:13" x14ac:dyDescent="0.15">
      <c r="A2176" s="1" t="s">
        <v>934</v>
      </c>
      <c r="B2176" s="1" t="s">
        <v>2228</v>
      </c>
      <c r="D2176" s="1" t="s">
        <v>2229</v>
      </c>
      <c r="E2176" s="1" t="s">
        <v>5586</v>
      </c>
      <c r="F2176" s="3">
        <v>0</v>
      </c>
      <c r="G2176" s="24" t="s">
        <v>7613</v>
      </c>
      <c r="I2176" s="24" t="s">
        <v>5392</v>
      </c>
      <c r="J2176" s="24" t="s">
        <v>2919</v>
      </c>
      <c r="K2176" s="3">
        <v>30</v>
      </c>
      <c r="L2176" s="3" t="s">
        <v>5549</v>
      </c>
      <c r="M2176" s="3" t="str">
        <f>HYPERLINK("http://ictvonline.org/taxonomyHistory.asp?taxnode_id=20152848","ICTVonline=20152848")</f>
        <v>ICTVonline=20152848</v>
      </c>
    </row>
    <row r="2177" spans="1:13" x14ac:dyDescent="0.15">
      <c r="A2177" s="1" t="s">
        <v>934</v>
      </c>
      <c r="B2177" s="1" t="s">
        <v>2228</v>
      </c>
      <c r="D2177" s="1" t="s">
        <v>2229</v>
      </c>
      <c r="E2177" s="1" t="s">
        <v>535</v>
      </c>
      <c r="F2177" s="3">
        <v>0</v>
      </c>
      <c r="I2177" s="24" t="s">
        <v>5392</v>
      </c>
      <c r="J2177" s="24" t="s">
        <v>2924</v>
      </c>
      <c r="K2177" s="3">
        <v>23</v>
      </c>
      <c r="L2177" s="3" t="s">
        <v>2933</v>
      </c>
      <c r="M2177" s="3" t="str">
        <f>HYPERLINK("http://ictvonline.org/taxonomyHistory.asp?taxnode_id=20152701","ICTVonline=20152701")</f>
        <v>ICTVonline=20152701</v>
      </c>
    </row>
    <row r="2178" spans="1:13" x14ac:dyDescent="0.15">
      <c r="A2178" s="1" t="s">
        <v>934</v>
      </c>
      <c r="B2178" s="1" t="s">
        <v>2228</v>
      </c>
      <c r="D2178" s="1" t="s">
        <v>2229</v>
      </c>
      <c r="E2178" s="1" t="s">
        <v>536</v>
      </c>
      <c r="F2178" s="3">
        <v>0</v>
      </c>
      <c r="I2178" s="24" t="s">
        <v>5392</v>
      </c>
      <c r="J2178" s="24" t="s">
        <v>2919</v>
      </c>
      <c r="K2178" s="3">
        <v>23</v>
      </c>
      <c r="L2178" s="3" t="s">
        <v>2933</v>
      </c>
      <c r="M2178" s="3" t="str">
        <f>HYPERLINK("http://ictvonline.org/taxonomyHistory.asp?taxnode_id=20152702","ICTVonline=20152702")</f>
        <v>ICTVonline=20152702</v>
      </c>
    </row>
    <row r="2179" spans="1:13" x14ac:dyDescent="0.15">
      <c r="A2179" s="1" t="s">
        <v>934</v>
      </c>
      <c r="B2179" s="1" t="s">
        <v>2228</v>
      </c>
      <c r="D2179" s="1" t="s">
        <v>2229</v>
      </c>
      <c r="E2179" s="1" t="s">
        <v>537</v>
      </c>
      <c r="F2179" s="3">
        <v>0</v>
      </c>
      <c r="I2179" s="24" t="s">
        <v>5392</v>
      </c>
      <c r="J2179" s="24" t="s">
        <v>2920</v>
      </c>
      <c r="K2179" s="3">
        <v>16</v>
      </c>
      <c r="L2179" s="3" t="s">
        <v>2940</v>
      </c>
      <c r="M2179" s="3" t="str">
        <f>HYPERLINK("http://ictvonline.org/taxonomyHistory.asp?taxnode_id=20152703","ICTVonline=20152703")</f>
        <v>ICTVonline=20152703</v>
      </c>
    </row>
    <row r="2180" spans="1:13" x14ac:dyDescent="0.15">
      <c r="A2180" s="1" t="s">
        <v>934</v>
      </c>
      <c r="B2180" s="1" t="s">
        <v>2228</v>
      </c>
      <c r="D2180" s="1" t="s">
        <v>2229</v>
      </c>
      <c r="E2180" s="1" t="s">
        <v>538</v>
      </c>
      <c r="F2180" s="3">
        <v>0</v>
      </c>
      <c r="I2180" s="24" t="s">
        <v>5392</v>
      </c>
      <c r="J2180" s="24" t="s">
        <v>2919</v>
      </c>
      <c r="K2180" s="3">
        <v>22</v>
      </c>
      <c r="L2180" s="3" t="s">
        <v>7006</v>
      </c>
      <c r="M2180" s="3" t="str">
        <f>HYPERLINK("http://ictvonline.org/taxonomyHistory.asp?taxnode_id=20152704","ICTVonline=20152704")</f>
        <v>ICTVonline=20152704</v>
      </c>
    </row>
    <row r="2181" spans="1:13" x14ac:dyDescent="0.15">
      <c r="A2181" s="1" t="s">
        <v>934</v>
      </c>
      <c r="B2181" s="1" t="s">
        <v>2228</v>
      </c>
      <c r="D2181" s="1" t="s">
        <v>2229</v>
      </c>
      <c r="E2181" s="1" t="s">
        <v>539</v>
      </c>
      <c r="F2181" s="3">
        <v>0</v>
      </c>
      <c r="I2181" s="24" t="s">
        <v>5392</v>
      </c>
      <c r="J2181" s="24" t="s">
        <v>2919</v>
      </c>
      <c r="K2181" s="3">
        <v>22</v>
      </c>
      <c r="L2181" s="3" t="s">
        <v>7006</v>
      </c>
      <c r="M2181" s="3" t="str">
        <f>HYPERLINK("http://ictvonline.org/taxonomyHistory.asp?taxnode_id=20152705","ICTVonline=20152705")</f>
        <v>ICTVonline=20152705</v>
      </c>
    </row>
    <row r="2182" spans="1:13" x14ac:dyDescent="0.15">
      <c r="A2182" s="1" t="s">
        <v>934</v>
      </c>
      <c r="B2182" s="1" t="s">
        <v>2228</v>
      </c>
      <c r="D2182" s="1" t="s">
        <v>2229</v>
      </c>
      <c r="E2182" s="1" t="s">
        <v>540</v>
      </c>
      <c r="F2182" s="3">
        <v>0</v>
      </c>
      <c r="I2182" s="24" t="s">
        <v>5392</v>
      </c>
      <c r="J2182" s="24" t="s">
        <v>2919</v>
      </c>
      <c r="K2182" s="3">
        <v>22</v>
      </c>
      <c r="L2182" s="3" t="s">
        <v>7006</v>
      </c>
      <c r="M2182" s="3" t="str">
        <f>HYPERLINK("http://ictvonline.org/taxonomyHistory.asp?taxnode_id=20152706","ICTVonline=20152706")</f>
        <v>ICTVonline=20152706</v>
      </c>
    </row>
    <row r="2183" spans="1:13" x14ac:dyDescent="0.15">
      <c r="A2183" s="1" t="s">
        <v>934</v>
      </c>
      <c r="B2183" s="1" t="s">
        <v>2228</v>
      </c>
      <c r="D2183" s="1" t="s">
        <v>2229</v>
      </c>
      <c r="E2183" s="1" t="s">
        <v>541</v>
      </c>
      <c r="F2183" s="3">
        <v>0</v>
      </c>
      <c r="I2183" s="24" t="s">
        <v>5392</v>
      </c>
      <c r="J2183" s="24" t="s">
        <v>2919</v>
      </c>
      <c r="K2183" s="3">
        <v>22</v>
      </c>
      <c r="L2183" s="3" t="s">
        <v>7006</v>
      </c>
      <c r="M2183" s="3" t="str">
        <f>HYPERLINK("http://ictvonline.org/taxonomyHistory.asp?taxnode_id=20152707","ICTVonline=20152707")</f>
        <v>ICTVonline=20152707</v>
      </c>
    </row>
    <row r="2184" spans="1:13" x14ac:dyDescent="0.15">
      <c r="A2184" s="1" t="s">
        <v>934</v>
      </c>
      <c r="B2184" s="1" t="s">
        <v>2228</v>
      </c>
      <c r="D2184" s="1" t="s">
        <v>2229</v>
      </c>
      <c r="E2184" s="1" t="s">
        <v>5587</v>
      </c>
      <c r="F2184" s="3">
        <v>0</v>
      </c>
      <c r="G2184" s="24" t="s">
        <v>7614</v>
      </c>
      <c r="I2184" s="24" t="s">
        <v>5392</v>
      </c>
      <c r="J2184" s="24" t="s">
        <v>2919</v>
      </c>
      <c r="K2184" s="3">
        <v>30</v>
      </c>
      <c r="L2184" s="3" t="s">
        <v>5549</v>
      </c>
      <c r="M2184" s="3" t="str">
        <f>HYPERLINK("http://ictvonline.org/taxonomyHistory.asp?taxnode_id=20152849","ICTVonline=20152849")</f>
        <v>ICTVonline=20152849</v>
      </c>
    </row>
    <row r="2185" spans="1:13" x14ac:dyDescent="0.15">
      <c r="A2185" s="1" t="s">
        <v>934</v>
      </c>
      <c r="B2185" s="1" t="s">
        <v>2228</v>
      </c>
      <c r="D2185" s="1" t="s">
        <v>2229</v>
      </c>
      <c r="E2185" s="1" t="s">
        <v>542</v>
      </c>
      <c r="F2185" s="3">
        <v>0</v>
      </c>
      <c r="I2185" s="24" t="s">
        <v>5392</v>
      </c>
      <c r="J2185" s="24" t="s">
        <v>2919</v>
      </c>
      <c r="K2185" s="3">
        <v>24</v>
      </c>
      <c r="L2185" s="3" t="s">
        <v>7008</v>
      </c>
      <c r="M2185" s="3" t="str">
        <f>HYPERLINK("http://ictvonline.org/taxonomyHistory.asp?taxnode_id=20152708","ICTVonline=20152708")</f>
        <v>ICTVonline=20152708</v>
      </c>
    </row>
    <row r="2186" spans="1:13" x14ac:dyDescent="0.15">
      <c r="A2186" s="1" t="s">
        <v>934</v>
      </c>
      <c r="B2186" s="1" t="s">
        <v>2228</v>
      </c>
      <c r="D2186" s="1" t="s">
        <v>2229</v>
      </c>
      <c r="E2186" s="1" t="s">
        <v>543</v>
      </c>
      <c r="F2186" s="3">
        <v>0</v>
      </c>
      <c r="I2186" s="24" t="s">
        <v>5392</v>
      </c>
      <c r="J2186" s="24" t="s">
        <v>2919</v>
      </c>
      <c r="K2186" s="3">
        <v>24</v>
      </c>
      <c r="L2186" s="3" t="s">
        <v>7008</v>
      </c>
      <c r="M2186" s="3" t="str">
        <f>HYPERLINK("http://ictvonline.org/taxonomyHistory.asp?taxnode_id=20152709","ICTVonline=20152709")</f>
        <v>ICTVonline=20152709</v>
      </c>
    </row>
    <row r="2187" spans="1:13" x14ac:dyDescent="0.15">
      <c r="A2187" s="1" t="s">
        <v>934</v>
      </c>
      <c r="B2187" s="1" t="s">
        <v>2228</v>
      </c>
      <c r="D2187" s="1" t="s">
        <v>2229</v>
      </c>
      <c r="E2187" s="1" t="s">
        <v>544</v>
      </c>
      <c r="F2187" s="3">
        <v>0</v>
      </c>
      <c r="I2187" s="24" t="s">
        <v>5392</v>
      </c>
      <c r="J2187" s="24" t="s">
        <v>2919</v>
      </c>
      <c r="K2187" s="3">
        <v>23</v>
      </c>
      <c r="L2187" s="3" t="s">
        <v>2933</v>
      </c>
      <c r="M2187" s="3" t="str">
        <f>HYPERLINK("http://ictvonline.org/taxonomyHistory.asp?taxnode_id=20152710","ICTVonline=20152710")</f>
        <v>ICTVonline=20152710</v>
      </c>
    </row>
    <row r="2188" spans="1:13" x14ac:dyDescent="0.15">
      <c r="A2188" s="1" t="s">
        <v>934</v>
      </c>
      <c r="B2188" s="1" t="s">
        <v>2228</v>
      </c>
      <c r="D2188" s="1" t="s">
        <v>2229</v>
      </c>
      <c r="E2188" s="1" t="s">
        <v>5588</v>
      </c>
      <c r="F2188" s="3">
        <v>0</v>
      </c>
      <c r="G2188" s="24" t="s">
        <v>7615</v>
      </c>
      <c r="I2188" s="24" t="s">
        <v>5392</v>
      </c>
      <c r="J2188" s="24" t="s">
        <v>2919</v>
      </c>
      <c r="K2188" s="3">
        <v>30</v>
      </c>
      <c r="L2188" s="3" t="s">
        <v>5549</v>
      </c>
      <c r="M2188" s="3" t="str">
        <f>HYPERLINK("http://ictvonline.org/taxonomyHistory.asp?taxnode_id=20152850","ICTVonline=20152850")</f>
        <v>ICTVonline=20152850</v>
      </c>
    </row>
    <row r="2189" spans="1:13" x14ac:dyDescent="0.15">
      <c r="A2189" s="1" t="s">
        <v>934</v>
      </c>
      <c r="B2189" s="1" t="s">
        <v>2228</v>
      </c>
      <c r="D2189" s="1" t="s">
        <v>2229</v>
      </c>
      <c r="E2189" s="1" t="s">
        <v>2592</v>
      </c>
      <c r="F2189" s="3">
        <v>0</v>
      </c>
      <c r="I2189" s="24" t="s">
        <v>5392</v>
      </c>
      <c r="J2189" s="24" t="s">
        <v>2919</v>
      </c>
      <c r="K2189" s="3">
        <v>28</v>
      </c>
      <c r="L2189" s="3" t="s">
        <v>7005</v>
      </c>
      <c r="M2189" s="3" t="str">
        <f>HYPERLINK("http://ictvonline.org/taxonomyHistory.asp?taxnode_id=20152711","ICTVonline=20152711")</f>
        <v>ICTVonline=20152711</v>
      </c>
    </row>
    <row r="2190" spans="1:13" x14ac:dyDescent="0.15">
      <c r="A2190" s="1" t="s">
        <v>934</v>
      </c>
      <c r="B2190" s="1" t="s">
        <v>2228</v>
      </c>
      <c r="D2190" s="1" t="s">
        <v>2229</v>
      </c>
      <c r="E2190" s="1" t="s">
        <v>5589</v>
      </c>
      <c r="F2190" s="3">
        <v>0</v>
      </c>
      <c r="G2190" s="24" t="s">
        <v>7616</v>
      </c>
      <c r="I2190" s="24" t="s">
        <v>5392</v>
      </c>
      <c r="J2190" s="24" t="s">
        <v>2919</v>
      </c>
      <c r="K2190" s="3">
        <v>30</v>
      </c>
      <c r="L2190" s="3" t="s">
        <v>5549</v>
      </c>
      <c r="M2190" s="3" t="str">
        <f>HYPERLINK("http://ictvonline.org/taxonomyHistory.asp?taxnode_id=20152851","ICTVonline=20152851")</f>
        <v>ICTVonline=20152851</v>
      </c>
    </row>
    <row r="2191" spans="1:13" x14ac:dyDescent="0.15">
      <c r="A2191" s="1" t="s">
        <v>934</v>
      </c>
      <c r="B2191" s="1" t="s">
        <v>2228</v>
      </c>
      <c r="D2191" s="1" t="s">
        <v>2229</v>
      </c>
      <c r="E2191" s="1" t="s">
        <v>5590</v>
      </c>
      <c r="F2191" s="3">
        <v>0</v>
      </c>
      <c r="G2191" s="24" t="s">
        <v>7617</v>
      </c>
      <c r="I2191" s="24" t="s">
        <v>5392</v>
      </c>
      <c r="J2191" s="24" t="s">
        <v>2919</v>
      </c>
      <c r="K2191" s="3">
        <v>30</v>
      </c>
      <c r="L2191" s="3" t="s">
        <v>5549</v>
      </c>
      <c r="M2191" s="3" t="str">
        <f>HYPERLINK("http://ictvonline.org/taxonomyHistory.asp?taxnode_id=20152852","ICTVonline=20152852")</f>
        <v>ICTVonline=20152852</v>
      </c>
    </row>
    <row r="2192" spans="1:13" x14ac:dyDescent="0.15">
      <c r="A2192" s="1" t="s">
        <v>934</v>
      </c>
      <c r="B2192" s="1" t="s">
        <v>2228</v>
      </c>
      <c r="D2192" s="1" t="s">
        <v>2229</v>
      </c>
      <c r="E2192" s="1" t="s">
        <v>2593</v>
      </c>
      <c r="F2192" s="3">
        <v>0</v>
      </c>
      <c r="I2192" s="24" t="s">
        <v>5392</v>
      </c>
      <c r="J2192" s="24" t="s">
        <v>2919</v>
      </c>
      <c r="K2192" s="3">
        <v>28</v>
      </c>
      <c r="L2192" s="3" t="s">
        <v>7005</v>
      </c>
      <c r="M2192" s="3" t="str">
        <f>HYPERLINK("http://ictvonline.org/taxonomyHistory.asp?taxnode_id=20152712","ICTVonline=20152712")</f>
        <v>ICTVonline=20152712</v>
      </c>
    </row>
    <row r="2193" spans="1:13" x14ac:dyDescent="0.15">
      <c r="A2193" s="1" t="s">
        <v>934</v>
      </c>
      <c r="B2193" s="1" t="s">
        <v>2228</v>
      </c>
      <c r="D2193" s="1" t="s">
        <v>2229</v>
      </c>
      <c r="E2193" s="1" t="s">
        <v>2594</v>
      </c>
      <c r="F2193" s="3">
        <v>0</v>
      </c>
      <c r="I2193" s="24" t="s">
        <v>5392</v>
      </c>
      <c r="J2193" s="24" t="s">
        <v>2919</v>
      </c>
      <c r="K2193" s="3">
        <v>28</v>
      </c>
      <c r="L2193" s="3" t="s">
        <v>7005</v>
      </c>
      <c r="M2193" s="3" t="str">
        <f>HYPERLINK("http://ictvonline.org/taxonomyHistory.asp?taxnode_id=20152713","ICTVonline=20152713")</f>
        <v>ICTVonline=20152713</v>
      </c>
    </row>
    <row r="2194" spans="1:13" x14ac:dyDescent="0.15">
      <c r="A2194" s="1" t="s">
        <v>934</v>
      </c>
      <c r="B2194" s="1" t="s">
        <v>2228</v>
      </c>
      <c r="D2194" s="1" t="s">
        <v>2229</v>
      </c>
      <c r="E2194" s="1" t="s">
        <v>545</v>
      </c>
      <c r="F2194" s="3">
        <v>0</v>
      </c>
      <c r="I2194" s="24" t="s">
        <v>5392</v>
      </c>
      <c r="J2194" s="24" t="s">
        <v>2931</v>
      </c>
      <c r="K2194" s="3">
        <v>28</v>
      </c>
      <c r="L2194" s="3" t="s">
        <v>7005</v>
      </c>
      <c r="M2194" s="3" t="str">
        <f>HYPERLINK("http://ictvonline.org/taxonomyHistory.asp?taxnode_id=20152714","ICTVonline=20152714")</f>
        <v>ICTVonline=20152714</v>
      </c>
    </row>
    <row r="2195" spans="1:13" x14ac:dyDescent="0.15">
      <c r="A2195" s="1" t="s">
        <v>934</v>
      </c>
      <c r="B2195" s="1" t="s">
        <v>2228</v>
      </c>
      <c r="D2195" s="1" t="s">
        <v>2229</v>
      </c>
      <c r="E2195" s="1" t="s">
        <v>2595</v>
      </c>
      <c r="F2195" s="3">
        <v>0</v>
      </c>
      <c r="I2195" s="24" t="s">
        <v>5392</v>
      </c>
      <c r="J2195" s="24" t="s">
        <v>2919</v>
      </c>
      <c r="K2195" s="3">
        <v>28</v>
      </c>
      <c r="L2195" s="3" t="s">
        <v>7005</v>
      </c>
      <c r="M2195" s="3" t="str">
        <f>HYPERLINK("http://ictvonline.org/taxonomyHistory.asp?taxnode_id=20152715","ICTVonline=20152715")</f>
        <v>ICTVonline=20152715</v>
      </c>
    </row>
    <row r="2196" spans="1:13" x14ac:dyDescent="0.15">
      <c r="A2196" s="1" t="s">
        <v>934</v>
      </c>
      <c r="B2196" s="1" t="s">
        <v>2228</v>
      </c>
      <c r="D2196" s="1" t="s">
        <v>2229</v>
      </c>
      <c r="E2196" s="1" t="s">
        <v>546</v>
      </c>
      <c r="F2196" s="3">
        <v>0</v>
      </c>
      <c r="I2196" s="24" t="s">
        <v>5392</v>
      </c>
      <c r="J2196" s="24" t="s">
        <v>2919</v>
      </c>
      <c r="K2196" s="3">
        <v>22</v>
      </c>
      <c r="L2196" s="3" t="s">
        <v>7006</v>
      </c>
      <c r="M2196" s="3" t="str">
        <f>HYPERLINK("http://ictvonline.org/taxonomyHistory.asp?taxnode_id=20152716","ICTVonline=20152716")</f>
        <v>ICTVonline=20152716</v>
      </c>
    </row>
    <row r="2197" spans="1:13" x14ac:dyDescent="0.15">
      <c r="A2197" s="1" t="s">
        <v>934</v>
      </c>
      <c r="B2197" s="1" t="s">
        <v>2228</v>
      </c>
      <c r="D2197" s="1" t="s">
        <v>2229</v>
      </c>
      <c r="E2197" s="1" t="s">
        <v>5591</v>
      </c>
      <c r="F2197" s="3">
        <v>0</v>
      </c>
      <c r="G2197" s="24" t="s">
        <v>7618</v>
      </c>
      <c r="I2197" s="24" t="s">
        <v>5392</v>
      </c>
      <c r="J2197" s="24" t="s">
        <v>2919</v>
      </c>
      <c r="K2197" s="3">
        <v>30</v>
      </c>
      <c r="L2197" s="3" t="s">
        <v>5549</v>
      </c>
      <c r="M2197" s="3" t="str">
        <f>HYPERLINK("http://ictvonline.org/taxonomyHistory.asp?taxnode_id=20152853","ICTVonline=20152853")</f>
        <v>ICTVonline=20152853</v>
      </c>
    </row>
    <row r="2198" spans="1:13" x14ac:dyDescent="0.15">
      <c r="A2198" s="1" t="s">
        <v>934</v>
      </c>
      <c r="B2198" s="1" t="s">
        <v>2228</v>
      </c>
      <c r="D2198" s="1" t="s">
        <v>2229</v>
      </c>
      <c r="E2198" s="1" t="s">
        <v>1713</v>
      </c>
      <c r="F2198" s="3">
        <v>0</v>
      </c>
      <c r="I2198" s="24" t="s">
        <v>5392</v>
      </c>
      <c r="J2198" s="24" t="s">
        <v>2919</v>
      </c>
      <c r="K2198" s="3">
        <v>24</v>
      </c>
      <c r="L2198" s="3" t="s">
        <v>7010</v>
      </c>
      <c r="M2198" s="3" t="str">
        <f>HYPERLINK("http://ictvonline.org/taxonomyHistory.asp?taxnode_id=20152717","ICTVonline=20152717")</f>
        <v>ICTVonline=20152717</v>
      </c>
    </row>
    <row r="2199" spans="1:13" x14ac:dyDescent="0.15">
      <c r="A2199" s="1" t="s">
        <v>934</v>
      </c>
      <c r="B2199" s="1" t="s">
        <v>2228</v>
      </c>
      <c r="D2199" s="1" t="s">
        <v>2229</v>
      </c>
      <c r="E2199" s="1" t="s">
        <v>1714</v>
      </c>
      <c r="F2199" s="3">
        <v>0</v>
      </c>
      <c r="I2199" s="24" t="s">
        <v>5392</v>
      </c>
      <c r="J2199" s="24" t="s">
        <v>2919</v>
      </c>
      <c r="K2199" s="3">
        <v>22</v>
      </c>
      <c r="L2199" s="3" t="s">
        <v>7006</v>
      </c>
      <c r="M2199" s="3" t="str">
        <f>HYPERLINK("http://ictvonline.org/taxonomyHistory.asp?taxnode_id=20152718","ICTVonline=20152718")</f>
        <v>ICTVonline=20152718</v>
      </c>
    </row>
    <row r="2200" spans="1:13" x14ac:dyDescent="0.15">
      <c r="A2200" s="1" t="s">
        <v>934</v>
      </c>
      <c r="B2200" s="1" t="s">
        <v>2228</v>
      </c>
      <c r="D2200" s="1" t="s">
        <v>2229</v>
      </c>
      <c r="E2200" s="1" t="s">
        <v>2596</v>
      </c>
      <c r="F2200" s="3">
        <v>0</v>
      </c>
      <c r="I2200" s="24" t="s">
        <v>5392</v>
      </c>
      <c r="J2200" s="24" t="s">
        <v>2919</v>
      </c>
      <c r="K2200" s="3">
        <v>28</v>
      </c>
      <c r="L2200" s="3" t="s">
        <v>7005</v>
      </c>
      <c r="M2200" s="3" t="str">
        <f>HYPERLINK("http://ictvonline.org/taxonomyHistory.asp?taxnode_id=20152719","ICTVonline=20152719")</f>
        <v>ICTVonline=20152719</v>
      </c>
    </row>
    <row r="2201" spans="1:13" x14ac:dyDescent="0.15">
      <c r="A2201" s="1" t="s">
        <v>934</v>
      </c>
      <c r="B2201" s="1" t="s">
        <v>2228</v>
      </c>
      <c r="D2201" s="1" t="s">
        <v>2229</v>
      </c>
      <c r="E2201" s="1" t="s">
        <v>2597</v>
      </c>
      <c r="F2201" s="3">
        <v>0</v>
      </c>
      <c r="I2201" s="24" t="s">
        <v>5392</v>
      </c>
      <c r="J2201" s="24" t="s">
        <v>2919</v>
      </c>
      <c r="K2201" s="3">
        <v>28</v>
      </c>
      <c r="L2201" s="3" t="s">
        <v>7005</v>
      </c>
      <c r="M2201" s="3" t="str">
        <f>HYPERLINK("http://ictvonline.org/taxonomyHistory.asp?taxnode_id=20152720","ICTVonline=20152720")</f>
        <v>ICTVonline=20152720</v>
      </c>
    </row>
    <row r="2202" spans="1:13" x14ac:dyDescent="0.15">
      <c r="A2202" s="1" t="s">
        <v>934</v>
      </c>
      <c r="B2202" s="1" t="s">
        <v>2228</v>
      </c>
      <c r="D2202" s="1" t="s">
        <v>2229</v>
      </c>
      <c r="E2202" s="1" t="s">
        <v>1715</v>
      </c>
      <c r="F2202" s="3">
        <v>0</v>
      </c>
      <c r="I2202" s="24" t="s">
        <v>5392</v>
      </c>
      <c r="J2202" s="24" t="s">
        <v>2919</v>
      </c>
      <c r="K2202" s="3">
        <v>22</v>
      </c>
      <c r="L2202" s="3" t="s">
        <v>7006</v>
      </c>
      <c r="M2202" s="3" t="str">
        <f>HYPERLINK("http://ictvonline.org/taxonomyHistory.asp?taxnode_id=20152721","ICTVonline=20152721")</f>
        <v>ICTVonline=20152721</v>
      </c>
    </row>
    <row r="2203" spans="1:13" x14ac:dyDescent="0.15">
      <c r="A2203" s="1" t="s">
        <v>934</v>
      </c>
      <c r="B2203" s="1" t="s">
        <v>2228</v>
      </c>
      <c r="D2203" s="1" t="s">
        <v>2229</v>
      </c>
      <c r="E2203" s="1" t="s">
        <v>1716</v>
      </c>
      <c r="F2203" s="3">
        <v>0</v>
      </c>
      <c r="I2203" s="24" t="s">
        <v>5392</v>
      </c>
      <c r="J2203" s="24" t="s">
        <v>2919</v>
      </c>
      <c r="K2203" s="3">
        <v>23</v>
      </c>
      <c r="L2203" s="3" t="s">
        <v>2933</v>
      </c>
      <c r="M2203" s="3" t="str">
        <f>HYPERLINK("http://ictvonline.org/taxonomyHistory.asp?taxnode_id=20152722","ICTVonline=20152722")</f>
        <v>ICTVonline=20152722</v>
      </c>
    </row>
    <row r="2204" spans="1:13" x14ac:dyDescent="0.15">
      <c r="A2204" s="1" t="s">
        <v>934</v>
      </c>
      <c r="B2204" s="1" t="s">
        <v>2228</v>
      </c>
      <c r="D2204" s="1" t="s">
        <v>2229</v>
      </c>
      <c r="E2204" s="1" t="s">
        <v>2598</v>
      </c>
      <c r="F2204" s="3">
        <v>0</v>
      </c>
      <c r="I2204" s="24" t="s">
        <v>5392</v>
      </c>
      <c r="J2204" s="24" t="s">
        <v>2919</v>
      </c>
      <c r="K2204" s="3">
        <v>28</v>
      </c>
      <c r="L2204" s="3" t="s">
        <v>7005</v>
      </c>
      <c r="M2204" s="3" t="str">
        <f>HYPERLINK("http://ictvonline.org/taxonomyHistory.asp?taxnode_id=20152723","ICTVonline=20152723")</f>
        <v>ICTVonline=20152723</v>
      </c>
    </row>
    <row r="2205" spans="1:13" x14ac:dyDescent="0.15">
      <c r="A2205" s="1" t="s">
        <v>934</v>
      </c>
      <c r="B2205" s="1" t="s">
        <v>2228</v>
      </c>
      <c r="D2205" s="1" t="s">
        <v>2229</v>
      </c>
      <c r="E2205" s="1" t="s">
        <v>2599</v>
      </c>
      <c r="F2205" s="3">
        <v>0</v>
      </c>
      <c r="I2205" s="24" t="s">
        <v>5392</v>
      </c>
      <c r="J2205" s="24" t="s">
        <v>2919</v>
      </c>
      <c r="K2205" s="3">
        <v>28</v>
      </c>
      <c r="L2205" s="3" t="s">
        <v>7005</v>
      </c>
      <c r="M2205" s="3" t="str">
        <f>HYPERLINK("http://ictvonline.org/taxonomyHistory.asp?taxnode_id=20152724","ICTVonline=20152724")</f>
        <v>ICTVonline=20152724</v>
      </c>
    </row>
    <row r="2206" spans="1:13" x14ac:dyDescent="0.15">
      <c r="A2206" s="1" t="s">
        <v>934</v>
      </c>
      <c r="B2206" s="1" t="s">
        <v>2228</v>
      </c>
      <c r="D2206" s="1" t="s">
        <v>2229</v>
      </c>
      <c r="E2206" s="1" t="s">
        <v>2600</v>
      </c>
      <c r="F2206" s="3">
        <v>0</v>
      </c>
      <c r="I2206" s="24" t="s">
        <v>5392</v>
      </c>
      <c r="J2206" s="24" t="s">
        <v>2919</v>
      </c>
      <c r="K2206" s="3">
        <v>28</v>
      </c>
      <c r="L2206" s="3" t="s">
        <v>7005</v>
      </c>
      <c r="M2206" s="3" t="str">
        <f>HYPERLINK("http://ictvonline.org/taxonomyHistory.asp?taxnode_id=20152725","ICTVonline=20152725")</f>
        <v>ICTVonline=20152725</v>
      </c>
    </row>
    <row r="2207" spans="1:13" x14ac:dyDescent="0.15">
      <c r="A2207" s="1" t="s">
        <v>934</v>
      </c>
      <c r="B2207" s="1" t="s">
        <v>2228</v>
      </c>
      <c r="D2207" s="1" t="s">
        <v>2229</v>
      </c>
      <c r="E2207" s="1" t="s">
        <v>5592</v>
      </c>
      <c r="F2207" s="3">
        <v>0</v>
      </c>
      <c r="G2207" s="24" t="s">
        <v>7619</v>
      </c>
      <c r="I2207" s="24" t="s">
        <v>5392</v>
      </c>
      <c r="J2207" s="24" t="s">
        <v>2919</v>
      </c>
      <c r="K2207" s="3">
        <v>30</v>
      </c>
      <c r="L2207" s="3" t="s">
        <v>5549</v>
      </c>
      <c r="M2207" s="3" t="str">
        <f>HYPERLINK("http://ictvonline.org/taxonomyHistory.asp?taxnode_id=20152854","ICTVonline=20152854")</f>
        <v>ICTVonline=20152854</v>
      </c>
    </row>
    <row r="2208" spans="1:13" x14ac:dyDescent="0.15">
      <c r="A2208" s="1" t="s">
        <v>934</v>
      </c>
      <c r="B2208" s="1" t="s">
        <v>2228</v>
      </c>
      <c r="D2208" s="1" t="s">
        <v>2229</v>
      </c>
      <c r="E2208" s="1" t="s">
        <v>5593</v>
      </c>
      <c r="F2208" s="3">
        <v>0</v>
      </c>
      <c r="G2208" s="24" t="s">
        <v>7620</v>
      </c>
      <c r="I2208" s="24" t="s">
        <v>5392</v>
      </c>
      <c r="J2208" s="24" t="s">
        <v>2919</v>
      </c>
      <c r="K2208" s="3">
        <v>30</v>
      </c>
      <c r="L2208" s="3" t="s">
        <v>5549</v>
      </c>
      <c r="M2208" s="3" t="str">
        <f>HYPERLINK("http://ictvonline.org/taxonomyHistory.asp?taxnode_id=20152855","ICTVonline=20152855")</f>
        <v>ICTVonline=20152855</v>
      </c>
    </row>
    <row r="2209" spans="1:13" x14ac:dyDescent="0.15">
      <c r="A2209" s="1" t="s">
        <v>934</v>
      </c>
      <c r="B2209" s="1" t="s">
        <v>2228</v>
      </c>
      <c r="D2209" s="1" t="s">
        <v>2229</v>
      </c>
      <c r="E2209" s="1" t="s">
        <v>1938</v>
      </c>
      <c r="F2209" s="3">
        <v>0</v>
      </c>
      <c r="I2209" s="24" t="s">
        <v>5392</v>
      </c>
      <c r="J2209" s="24" t="s">
        <v>2919</v>
      </c>
      <c r="K2209" s="3">
        <v>23</v>
      </c>
      <c r="L2209" s="3" t="s">
        <v>2933</v>
      </c>
      <c r="M2209" s="3" t="str">
        <f>HYPERLINK("http://ictvonline.org/taxonomyHistory.asp?taxnode_id=20152726","ICTVonline=20152726")</f>
        <v>ICTVonline=20152726</v>
      </c>
    </row>
    <row r="2210" spans="1:13" x14ac:dyDescent="0.15">
      <c r="A2210" s="1" t="s">
        <v>934</v>
      </c>
      <c r="B2210" s="1" t="s">
        <v>2228</v>
      </c>
      <c r="D2210" s="1" t="s">
        <v>2229</v>
      </c>
      <c r="E2210" s="1" t="s">
        <v>2601</v>
      </c>
      <c r="F2210" s="3">
        <v>0</v>
      </c>
      <c r="I2210" s="24" t="s">
        <v>5392</v>
      </c>
      <c r="J2210" s="24" t="s">
        <v>2919</v>
      </c>
      <c r="K2210" s="3">
        <v>28</v>
      </c>
      <c r="L2210" s="3" t="s">
        <v>7005</v>
      </c>
      <c r="M2210" s="3" t="str">
        <f>HYPERLINK("http://ictvonline.org/taxonomyHistory.asp?taxnode_id=20152727","ICTVonline=20152727")</f>
        <v>ICTVonline=20152727</v>
      </c>
    </row>
    <row r="2211" spans="1:13" x14ac:dyDescent="0.15">
      <c r="A2211" s="1" t="s">
        <v>934</v>
      </c>
      <c r="B2211" s="1" t="s">
        <v>2228</v>
      </c>
      <c r="D2211" s="1" t="s">
        <v>2229</v>
      </c>
      <c r="E2211" s="1" t="s">
        <v>1939</v>
      </c>
      <c r="F2211" s="3">
        <v>0</v>
      </c>
      <c r="I2211" s="24" t="s">
        <v>5392</v>
      </c>
      <c r="J2211" s="24" t="s">
        <v>2919</v>
      </c>
      <c r="K2211" s="3">
        <v>22</v>
      </c>
      <c r="L2211" s="3" t="s">
        <v>7006</v>
      </c>
      <c r="M2211" s="3" t="str">
        <f>HYPERLINK("http://ictvonline.org/taxonomyHistory.asp?taxnode_id=20152728","ICTVonline=20152728")</f>
        <v>ICTVonline=20152728</v>
      </c>
    </row>
    <row r="2212" spans="1:13" x14ac:dyDescent="0.15">
      <c r="A2212" s="1" t="s">
        <v>934</v>
      </c>
      <c r="B2212" s="1" t="s">
        <v>2228</v>
      </c>
      <c r="D2212" s="1" t="s">
        <v>2229</v>
      </c>
      <c r="E2212" s="1" t="s">
        <v>2602</v>
      </c>
      <c r="F2212" s="3">
        <v>0</v>
      </c>
      <c r="I2212" s="24" t="s">
        <v>5392</v>
      </c>
      <c r="J2212" s="24" t="s">
        <v>2919</v>
      </c>
      <c r="K2212" s="3">
        <v>28</v>
      </c>
      <c r="L2212" s="3" t="s">
        <v>7005</v>
      </c>
      <c r="M2212" s="3" t="str">
        <f>HYPERLINK("http://ictvonline.org/taxonomyHistory.asp?taxnode_id=20152729","ICTVonline=20152729")</f>
        <v>ICTVonline=20152729</v>
      </c>
    </row>
    <row r="2213" spans="1:13" x14ac:dyDescent="0.15">
      <c r="A2213" s="1" t="s">
        <v>934</v>
      </c>
      <c r="B2213" s="1" t="s">
        <v>2228</v>
      </c>
      <c r="D2213" s="1" t="s">
        <v>2229</v>
      </c>
      <c r="E2213" s="1" t="s">
        <v>1940</v>
      </c>
      <c r="F2213" s="3">
        <v>0</v>
      </c>
      <c r="I2213" s="24" t="s">
        <v>5392</v>
      </c>
      <c r="J2213" s="24" t="s">
        <v>2919</v>
      </c>
      <c r="K2213" s="3">
        <v>22</v>
      </c>
      <c r="L2213" s="3" t="s">
        <v>7013</v>
      </c>
      <c r="M2213" s="3" t="str">
        <f>HYPERLINK("http://ictvonline.org/taxonomyHistory.asp?taxnode_id=20152730","ICTVonline=20152730")</f>
        <v>ICTVonline=20152730</v>
      </c>
    </row>
    <row r="2214" spans="1:13" x14ac:dyDescent="0.15">
      <c r="A2214" s="1" t="s">
        <v>934</v>
      </c>
      <c r="B2214" s="1" t="s">
        <v>2228</v>
      </c>
      <c r="D2214" s="1" t="s">
        <v>2229</v>
      </c>
      <c r="E2214" s="1" t="s">
        <v>2603</v>
      </c>
      <c r="F2214" s="3">
        <v>0</v>
      </c>
      <c r="I2214" s="24" t="s">
        <v>5392</v>
      </c>
      <c r="J2214" s="24" t="s">
        <v>2919</v>
      </c>
      <c r="K2214" s="3">
        <v>28</v>
      </c>
      <c r="L2214" s="3" t="s">
        <v>7005</v>
      </c>
      <c r="M2214" s="3" t="str">
        <f>HYPERLINK("http://ictvonline.org/taxonomyHistory.asp?taxnode_id=20152731","ICTVonline=20152731")</f>
        <v>ICTVonline=20152731</v>
      </c>
    </row>
    <row r="2215" spans="1:13" x14ac:dyDescent="0.15">
      <c r="A2215" s="1" t="s">
        <v>934</v>
      </c>
      <c r="B2215" s="1" t="s">
        <v>2228</v>
      </c>
      <c r="D2215" s="1" t="s">
        <v>2229</v>
      </c>
      <c r="E2215" s="1" t="s">
        <v>5594</v>
      </c>
      <c r="F2215" s="3">
        <v>0</v>
      </c>
      <c r="G2215" s="24" t="s">
        <v>7621</v>
      </c>
      <c r="I2215" s="24" t="s">
        <v>5392</v>
      </c>
      <c r="J2215" s="24" t="s">
        <v>2919</v>
      </c>
      <c r="K2215" s="3">
        <v>30</v>
      </c>
      <c r="L2215" s="3" t="s">
        <v>5549</v>
      </c>
      <c r="M2215" s="3" t="str">
        <f>HYPERLINK("http://ictvonline.org/taxonomyHistory.asp?taxnode_id=20152856","ICTVonline=20152856")</f>
        <v>ICTVonline=20152856</v>
      </c>
    </row>
    <row r="2216" spans="1:13" x14ac:dyDescent="0.15">
      <c r="A2216" s="1" t="s">
        <v>934</v>
      </c>
      <c r="B2216" s="1" t="s">
        <v>2228</v>
      </c>
      <c r="D2216" s="1" t="s">
        <v>2229</v>
      </c>
      <c r="E2216" s="1" t="s">
        <v>1941</v>
      </c>
      <c r="F2216" s="3">
        <v>0</v>
      </c>
      <c r="I2216" s="24" t="s">
        <v>5392</v>
      </c>
      <c r="J2216" s="24" t="s">
        <v>2920</v>
      </c>
      <c r="K2216" s="3">
        <v>16</v>
      </c>
      <c r="L2216" s="3" t="s">
        <v>2940</v>
      </c>
      <c r="M2216" s="3" t="str">
        <f>HYPERLINK("http://ictvonline.org/taxonomyHistory.asp?taxnode_id=20152732","ICTVonline=20152732")</f>
        <v>ICTVonline=20152732</v>
      </c>
    </row>
    <row r="2217" spans="1:13" x14ac:dyDescent="0.15">
      <c r="A2217" s="1" t="s">
        <v>934</v>
      </c>
      <c r="B2217" s="1" t="s">
        <v>2228</v>
      </c>
      <c r="D2217" s="1" t="s">
        <v>2229</v>
      </c>
      <c r="E2217" s="1" t="s">
        <v>1942</v>
      </c>
      <c r="F2217" s="3">
        <v>0</v>
      </c>
      <c r="I2217" s="24" t="s">
        <v>5392</v>
      </c>
      <c r="J2217" s="24" t="s">
        <v>2919</v>
      </c>
      <c r="K2217" s="3">
        <v>22</v>
      </c>
      <c r="L2217" s="3" t="s">
        <v>7006</v>
      </c>
      <c r="M2217" s="3" t="str">
        <f>HYPERLINK("http://ictvonline.org/taxonomyHistory.asp?taxnode_id=20152733","ICTVonline=20152733")</f>
        <v>ICTVonline=20152733</v>
      </c>
    </row>
    <row r="2218" spans="1:13" x14ac:dyDescent="0.15">
      <c r="A2218" s="1" t="s">
        <v>934</v>
      </c>
      <c r="B2218" s="1" t="s">
        <v>2228</v>
      </c>
      <c r="D2218" s="1" t="s">
        <v>2229</v>
      </c>
      <c r="E2218" s="1" t="s">
        <v>2604</v>
      </c>
      <c r="F2218" s="3">
        <v>0</v>
      </c>
      <c r="I2218" s="24" t="s">
        <v>5392</v>
      </c>
      <c r="J2218" s="24" t="s">
        <v>2919</v>
      </c>
      <c r="K2218" s="3">
        <v>28</v>
      </c>
      <c r="L2218" s="3" t="s">
        <v>7005</v>
      </c>
      <c r="M2218" s="3" t="str">
        <f>HYPERLINK("http://ictvonline.org/taxonomyHistory.asp?taxnode_id=20152734","ICTVonline=20152734")</f>
        <v>ICTVonline=20152734</v>
      </c>
    </row>
    <row r="2219" spans="1:13" x14ac:dyDescent="0.15">
      <c r="A2219" s="1" t="s">
        <v>934</v>
      </c>
      <c r="B2219" s="1" t="s">
        <v>2228</v>
      </c>
      <c r="D2219" s="1" t="s">
        <v>2229</v>
      </c>
      <c r="E2219" s="1" t="s">
        <v>5595</v>
      </c>
      <c r="F2219" s="3">
        <v>0</v>
      </c>
      <c r="G2219" s="24" t="s">
        <v>7622</v>
      </c>
      <c r="I2219" s="24" t="s">
        <v>5392</v>
      </c>
      <c r="J2219" s="24" t="s">
        <v>2919</v>
      </c>
      <c r="K2219" s="3">
        <v>30</v>
      </c>
      <c r="L2219" s="3" t="s">
        <v>5549</v>
      </c>
      <c r="M2219" s="3" t="str">
        <f>HYPERLINK("http://ictvonline.org/taxonomyHistory.asp?taxnode_id=20152857","ICTVonline=20152857")</f>
        <v>ICTVonline=20152857</v>
      </c>
    </row>
    <row r="2220" spans="1:13" x14ac:dyDescent="0.15">
      <c r="A2220" s="1" t="s">
        <v>934</v>
      </c>
      <c r="B2220" s="1" t="s">
        <v>2228</v>
      </c>
      <c r="D2220" s="1" t="s">
        <v>2229</v>
      </c>
      <c r="E2220" s="1" t="s">
        <v>2605</v>
      </c>
      <c r="F2220" s="3">
        <v>0</v>
      </c>
      <c r="I2220" s="24" t="s">
        <v>5392</v>
      </c>
      <c r="J2220" s="24" t="s">
        <v>2919</v>
      </c>
      <c r="K2220" s="3">
        <v>28</v>
      </c>
      <c r="L2220" s="3" t="s">
        <v>7005</v>
      </c>
      <c r="M2220" s="3" t="str">
        <f>HYPERLINK("http://ictvonline.org/taxonomyHistory.asp?taxnode_id=20152735","ICTVonline=20152735")</f>
        <v>ICTVonline=20152735</v>
      </c>
    </row>
    <row r="2221" spans="1:13" x14ac:dyDescent="0.15">
      <c r="A2221" s="1" t="s">
        <v>934</v>
      </c>
      <c r="B2221" s="1" t="s">
        <v>2228</v>
      </c>
      <c r="D2221" s="1" t="s">
        <v>2229</v>
      </c>
      <c r="E2221" s="1" t="s">
        <v>1943</v>
      </c>
      <c r="F2221" s="3">
        <v>0</v>
      </c>
      <c r="I2221" s="24" t="s">
        <v>5392</v>
      </c>
      <c r="J2221" s="24" t="s">
        <v>2919</v>
      </c>
      <c r="K2221" s="3">
        <v>24</v>
      </c>
      <c r="L2221" s="3" t="s">
        <v>7008</v>
      </c>
      <c r="M2221" s="3" t="str">
        <f>HYPERLINK("http://ictvonline.org/taxonomyHistory.asp?taxnode_id=20152736","ICTVonline=20152736")</f>
        <v>ICTVonline=20152736</v>
      </c>
    </row>
    <row r="2222" spans="1:13" x14ac:dyDescent="0.15">
      <c r="A2222" s="1" t="s">
        <v>934</v>
      </c>
      <c r="B2222" s="1" t="s">
        <v>2228</v>
      </c>
      <c r="D2222" s="1" t="s">
        <v>2229</v>
      </c>
      <c r="E2222" s="1" t="s">
        <v>1690</v>
      </c>
      <c r="F2222" s="3">
        <v>0</v>
      </c>
      <c r="I2222" s="24" t="s">
        <v>5392</v>
      </c>
      <c r="J2222" s="24" t="s">
        <v>2945</v>
      </c>
      <c r="K2222" s="3">
        <v>24</v>
      </c>
      <c r="L2222" s="3" t="s">
        <v>7009</v>
      </c>
      <c r="M2222" s="3" t="str">
        <f>HYPERLINK("http://ictvonline.org/taxonomyHistory.asp?taxnode_id=20152737","ICTVonline=20152737")</f>
        <v>ICTVonline=20152737</v>
      </c>
    </row>
    <row r="2223" spans="1:13" x14ac:dyDescent="0.15">
      <c r="A2223" s="1" t="s">
        <v>934</v>
      </c>
      <c r="B2223" s="1" t="s">
        <v>2228</v>
      </c>
      <c r="D2223" s="1" t="s">
        <v>2229</v>
      </c>
      <c r="E2223" s="1" t="s">
        <v>1691</v>
      </c>
      <c r="F2223" s="3">
        <v>0</v>
      </c>
      <c r="I2223" s="24" t="s">
        <v>5392</v>
      </c>
      <c r="J2223" s="24" t="s">
        <v>2919</v>
      </c>
      <c r="K2223" s="3">
        <v>22</v>
      </c>
      <c r="L2223" s="3" t="s">
        <v>7006</v>
      </c>
      <c r="M2223" s="3" t="str">
        <f>HYPERLINK("http://ictvonline.org/taxonomyHistory.asp?taxnode_id=20152738","ICTVonline=20152738")</f>
        <v>ICTVonline=20152738</v>
      </c>
    </row>
    <row r="2224" spans="1:13" x14ac:dyDescent="0.15">
      <c r="A2224" s="1" t="s">
        <v>934</v>
      </c>
      <c r="B2224" s="1" t="s">
        <v>2228</v>
      </c>
      <c r="D2224" s="1" t="s">
        <v>2229</v>
      </c>
      <c r="E2224" s="1" t="s">
        <v>2606</v>
      </c>
      <c r="F2224" s="3">
        <v>0</v>
      </c>
      <c r="I2224" s="24" t="s">
        <v>5392</v>
      </c>
      <c r="J2224" s="24" t="s">
        <v>2919</v>
      </c>
      <c r="K2224" s="3">
        <v>28</v>
      </c>
      <c r="L2224" s="3" t="s">
        <v>7005</v>
      </c>
      <c r="M2224" s="3" t="str">
        <f>HYPERLINK("http://ictvonline.org/taxonomyHistory.asp?taxnode_id=20152739","ICTVonline=20152739")</f>
        <v>ICTVonline=20152739</v>
      </c>
    </row>
    <row r="2225" spans="1:13" x14ac:dyDescent="0.15">
      <c r="A2225" s="1" t="s">
        <v>934</v>
      </c>
      <c r="B2225" s="1" t="s">
        <v>2228</v>
      </c>
      <c r="D2225" s="1" t="s">
        <v>2229</v>
      </c>
      <c r="E2225" s="1" t="s">
        <v>2058</v>
      </c>
      <c r="F2225" s="3">
        <v>0</v>
      </c>
      <c r="I2225" s="24" t="s">
        <v>5392</v>
      </c>
      <c r="J2225" s="24" t="s">
        <v>2919</v>
      </c>
      <c r="K2225" s="3">
        <v>22</v>
      </c>
      <c r="L2225" s="3" t="s">
        <v>7015</v>
      </c>
      <c r="M2225" s="3" t="str">
        <f>HYPERLINK("http://ictvonline.org/taxonomyHistory.asp?taxnode_id=20152740","ICTVonline=20152740")</f>
        <v>ICTVonline=20152740</v>
      </c>
    </row>
    <row r="2226" spans="1:13" x14ac:dyDescent="0.15">
      <c r="A2226" s="1" t="s">
        <v>934</v>
      </c>
      <c r="B2226" s="1" t="s">
        <v>2228</v>
      </c>
      <c r="D2226" s="1" t="s">
        <v>2229</v>
      </c>
      <c r="E2226" s="1" t="s">
        <v>1970</v>
      </c>
      <c r="F2226" s="3">
        <v>0</v>
      </c>
      <c r="I2226" s="24" t="s">
        <v>5392</v>
      </c>
      <c r="J2226" s="24" t="s">
        <v>2931</v>
      </c>
      <c r="K2226" s="3">
        <v>28</v>
      </c>
      <c r="L2226" s="3" t="s">
        <v>7005</v>
      </c>
      <c r="M2226" s="3" t="str">
        <f>HYPERLINK("http://ictvonline.org/taxonomyHistory.asp?taxnode_id=20152741","ICTVonline=20152741")</f>
        <v>ICTVonline=20152741</v>
      </c>
    </row>
    <row r="2227" spans="1:13" x14ac:dyDescent="0.15">
      <c r="A2227" s="1" t="s">
        <v>934</v>
      </c>
      <c r="B2227" s="1" t="s">
        <v>2228</v>
      </c>
      <c r="D2227" s="1" t="s">
        <v>2229</v>
      </c>
      <c r="E2227" s="1" t="s">
        <v>2607</v>
      </c>
      <c r="F2227" s="3">
        <v>0</v>
      </c>
      <c r="I2227" s="24" t="s">
        <v>5392</v>
      </c>
      <c r="J2227" s="24" t="s">
        <v>2919</v>
      </c>
      <c r="K2227" s="3">
        <v>28</v>
      </c>
      <c r="L2227" s="3" t="s">
        <v>7005</v>
      </c>
      <c r="M2227" s="3" t="str">
        <f>HYPERLINK("http://ictvonline.org/taxonomyHistory.asp?taxnode_id=20152742","ICTVonline=20152742")</f>
        <v>ICTVonline=20152742</v>
      </c>
    </row>
    <row r="2228" spans="1:13" x14ac:dyDescent="0.15">
      <c r="A2228" s="1" t="s">
        <v>934</v>
      </c>
      <c r="B2228" s="1" t="s">
        <v>2228</v>
      </c>
      <c r="D2228" s="1" t="s">
        <v>2229</v>
      </c>
      <c r="E2228" s="1" t="s">
        <v>2608</v>
      </c>
      <c r="F2228" s="3">
        <v>0</v>
      </c>
      <c r="I2228" s="24" t="s">
        <v>5392</v>
      </c>
      <c r="J2228" s="24" t="s">
        <v>2919</v>
      </c>
      <c r="K2228" s="3">
        <v>28</v>
      </c>
      <c r="L2228" s="3" t="s">
        <v>7005</v>
      </c>
      <c r="M2228" s="3" t="str">
        <f>HYPERLINK("http://ictvonline.org/taxonomyHistory.asp?taxnode_id=20152743","ICTVonline=20152743")</f>
        <v>ICTVonline=20152743</v>
      </c>
    </row>
    <row r="2229" spans="1:13" x14ac:dyDescent="0.15">
      <c r="A2229" s="1" t="s">
        <v>934</v>
      </c>
      <c r="B2229" s="1" t="s">
        <v>2228</v>
      </c>
      <c r="D2229" s="1" t="s">
        <v>2229</v>
      </c>
      <c r="E2229" s="1" t="s">
        <v>1629</v>
      </c>
      <c r="F2229" s="3">
        <v>0</v>
      </c>
      <c r="I2229" s="24" t="s">
        <v>5392</v>
      </c>
      <c r="J2229" s="24" t="s">
        <v>2919</v>
      </c>
      <c r="K2229" s="3">
        <v>24</v>
      </c>
      <c r="L2229" s="3" t="s">
        <v>7007</v>
      </c>
      <c r="M2229" s="3" t="str">
        <f>HYPERLINK("http://ictvonline.org/taxonomyHistory.asp?taxnode_id=20152744","ICTVonline=20152744")</f>
        <v>ICTVonline=20152744</v>
      </c>
    </row>
    <row r="2230" spans="1:13" x14ac:dyDescent="0.15">
      <c r="A2230" s="1" t="s">
        <v>934</v>
      </c>
      <c r="B2230" s="1" t="s">
        <v>2228</v>
      </c>
      <c r="D2230" s="1" t="s">
        <v>2229</v>
      </c>
      <c r="E2230" s="1" t="s">
        <v>481</v>
      </c>
      <c r="F2230" s="3">
        <v>0</v>
      </c>
      <c r="I2230" s="24" t="s">
        <v>5392</v>
      </c>
      <c r="J2230" s="24" t="s">
        <v>2919</v>
      </c>
      <c r="K2230" s="3">
        <v>24</v>
      </c>
      <c r="L2230" s="3" t="s">
        <v>7010</v>
      </c>
      <c r="M2230" s="3" t="str">
        <f>HYPERLINK("http://ictvonline.org/taxonomyHistory.asp?taxnode_id=20152745","ICTVonline=20152745")</f>
        <v>ICTVonline=20152745</v>
      </c>
    </row>
    <row r="2231" spans="1:13" x14ac:dyDescent="0.15">
      <c r="A2231" s="1" t="s">
        <v>934</v>
      </c>
      <c r="B2231" s="1" t="s">
        <v>2228</v>
      </c>
      <c r="D2231" s="1" t="s">
        <v>2229</v>
      </c>
      <c r="E2231" s="1" t="s">
        <v>482</v>
      </c>
      <c r="F2231" s="3">
        <v>0</v>
      </c>
      <c r="I2231" s="24" t="s">
        <v>5392</v>
      </c>
      <c r="J2231" s="24" t="s">
        <v>2919</v>
      </c>
      <c r="K2231" s="3">
        <v>22</v>
      </c>
      <c r="L2231" s="3" t="s">
        <v>7006</v>
      </c>
      <c r="M2231" s="3" t="str">
        <f>HYPERLINK("http://ictvonline.org/taxonomyHistory.asp?taxnode_id=20152746","ICTVonline=20152746")</f>
        <v>ICTVonline=20152746</v>
      </c>
    </row>
    <row r="2232" spans="1:13" x14ac:dyDescent="0.15">
      <c r="A2232" s="1" t="s">
        <v>934</v>
      </c>
      <c r="B2232" s="1" t="s">
        <v>2228</v>
      </c>
      <c r="D2232" s="1" t="s">
        <v>2229</v>
      </c>
      <c r="E2232" s="1" t="s">
        <v>2609</v>
      </c>
      <c r="F2232" s="3">
        <v>0</v>
      </c>
      <c r="I2232" s="24" t="s">
        <v>5392</v>
      </c>
      <c r="J2232" s="24" t="s">
        <v>2919</v>
      </c>
      <c r="K2232" s="3">
        <v>28</v>
      </c>
      <c r="L2232" s="3" t="s">
        <v>7005</v>
      </c>
      <c r="M2232" s="3" t="str">
        <f>HYPERLINK("http://ictvonline.org/taxonomyHistory.asp?taxnode_id=20152747","ICTVonline=20152747")</f>
        <v>ICTVonline=20152747</v>
      </c>
    </row>
    <row r="2233" spans="1:13" x14ac:dyDescent="0.15">
      <c r="A2233" s="1" t="s">
        <v>934</v>
      </c>
      <c r="B2233" s="1" t="s">
        <v>2228</v>
      </c>
      <c r="D2233" s="1" t="s">
        <v>2229</v>
      </c>
      <c r="E2233" s="1" t="s">
        <v>2610</v>
      </c>
      <c r="F2233" s="3">
        <v>0</v>
      </c>
      <c r="I2233" s="24" t="s">
        <v>5392</v>
      </c>
      <c r="J2233" s="24" t="s">
        <v>2919</v>
      </c>
      <c r="K2233" s="3">
        <v>28</v>
      </c>
      <c r="L2233" s="3" t="s">
        <v>7005</v>
      </c>
      <c r="M2233" s="3" t="str">
        <f>HYPERLINK("http://ictvonline.org/taxonomyHistory.asp?taxnode_id=20152748","ICTVonline=20152748")</f>
        <v>ICTVonline=20152748</v>
      </c>
    </row>
    <row r="2234" spans="1:13" x14ac:dyDescent="0.15">
      <c r="A2234" s="1" t="s">
        <v>934</v>
      </c>
      <c r="B2234" s="1" t="s">
        <v>2228</v>
      </c>
      <c r="D2234" s="1" t="s">
        <v>2229</v>
      </c>
      <c r="E2234" s="1" t="s">
        <v>462</v>
      </c>
      <c r="F2234" s="3">
        <v>0</v>
      </c>
      <c r="I2234" s="24" t="s">
        <v>5392</v>
      </c>
      <c r="J2234" s="24" t="s">
        <v>2919</v>
      </c>
      <c r="K2234" s="3">
        <v>24</v>
      </c>
      <c r="L2234" s="3" t="s">
        <v>7008</v>
      </c>
      <c r="M2234" s="3" t="str">
        <f>HYPERLINK("http://ictvonline.org/taxonomyHistory.asp?taxnode_id=20152749","ICTVonline=20152749")</f>
        <v>ICTVonline=20152749</v>
      </c>
    </row>
    <row r="2235" spans="1:13" x14ac:dyDescent="0.15">
      <c r="A2235" s="1" t="s">
        <v>934</v>
      </c>
      <c r="B2235" s="1" t="s">
        <v>2228</v>
      </c>
      <c r="D2235" s="1" t="s">
        <v>2229</v>
      </c>
      <c r="E2235" s="1" t="s">
        <v>2611</v>
      </c>
      <c r="F2235" s="3">
        <v>0</v>
      </c>
      <c r="I2235" s="24" t="s">
        <v>5392</v>
      </c>
      <c r="J2235" s="24" t="s">
        <v>2919</v>
      </c>
      <c r="K2235" s="3">
        <v>28</v>
      </c>
      <c r="L2235" s="3" t="s">
        <v>7005</v>
      </c>
      <c r="M2235" s="3" t="str">
        <f>HYPERLINK("http://ictvonline.org/taxonomyHistory.asp?taxnode_id=20152750","ICTVonline=20152750")</f>
        <v>ICTVonline=20152750</v>
      </c>
    </row>
    <row r="2236" spans="1:13" x14ac:dyDescent="0.15">
      <c r="A2236" s="1" t="s">
        <v>934</v>
      </c>
      <c r="B2236" s="1" t="s">
        <v>2228</v>
      </c>
      <c r="D2236" s="1" t="s">
        <v>2229</v>
      </c>
      <c r="E2236" s="1" t="s">
        <v>310</v>
      </c>
      <c r="F2236" s="3">
        <v>0</v>
      </c>
      <c r="I2236" s="24" t="s">
        <v>5392</v>
      </c>
      <c r="J2236" s="24" t="s">
        <v>2919</v>
      </c>
      <c r="K2236" s="3">
        <v>24</v>
      </c>
      <c r="L2236" s="3" t="s">
        <v>7007</v>
      </c>
      <c r="M2236" s="3" t="str">
        <f>HYPERLINK("http://ictvonline.org/taxonomyHistory.asp?taxnode_id=20152751","ICTVonline=20152751")</f>
        <v>ICTVonline=20152751</v>
      </c>
    </row>
    <row r="2237" spans="1:13" x14ac:dyDescent="0.15">
      <c r="A2237" s="1" t="s">
        <v>934</v>
      </c>
      <c r="B2237" s="1" t="s">
        <v>2228</v>
      </c>
      <c r="D2237" s="1" t="s">
        <v>2229</v>
      </c>
      <c r="E2237" s="1" t="s">
        <v>314</v>
      </c>
      <c r="F2237" s="3">
        <v>0</v>
      </c>
      <c r="I2237" s="24" t="s">
        <v>5392</v>
      </c>
      <c r="J2237" s="24" t="s">
        <v>2919</v>
      </c>
      <c r="K2237" s="3">
        <v>24</v>
      </c>
      <c r="L2237" s="3" t="s">
        <v>7007</v>
      </c>
      <c r="M2237" s="3" t="str">
        <f>HYPERLINK("http://ictvonline.org/taxonomyHistory.asp?taxnode_id=20152752","ICTVonline=20152752")</f>
        <v>ICTVonline=20152752</v>
      </c>
    </row>
    <row r="2238" spans="1:13" x14ac:dyDescent="0.15">
      <c r="A2238" s="1" t="s">
        <v>934</v>
      </c>
      <c r="B2238" s="1" t="s">
        <v>2228</v>
      </c>
      <c r="D2238" s="1" t="s">
        <v>2229</v>
      </c>
      <c r="E2238" s="1" t="s">
        <v>890</v>
      </c>
      <c r="F2238" s="3">
        <v>0</v>
      </c>
      <c r="I2238" s="24" t="s">
        <v>5392</v>
      </c>
      <c r="J2238" s="24" t="s">
        <v>2945</v>
      </c>
      <c r="K2238" s="3">
        <v>24</v>
      </c>
      <c r="L2238" s="3" t="s">
        <v>7009</v>
      </c>
      <c r="M2238" s="3" t="str">
        <f>HYPERLINK("http://ictvonline.org/taxonomyHistory.asp?taxnode_id=20152753","ICTVonline=20152753")</f>
        <v>ICTVonline=20152753</v>
      </c>
    </row>
    <row r="2239" spans="1:13" x14ac:dyDescent="0.15">
      <c r="A2239" s="1" t="s">
        <v>934</v>
      </c>
      <c r="B2239" s="1" t="s">
        <v>2228</v>
      </c>
      <c r="D2239" s="1" t="s">
        <v>2229</v>
      </c>
      <c r="E2239" s="1" t="s">
        <v>1630</v>
      </c>
      <c r="F2239" s="3">
        <v>0</v>
      </c>
      <c r="I2239" s="24" t="s">
        <v>5392</v>
      </c>
      <c r="J2239" s="24" t="s">
        <v>2919</v>
      </c>
      <c r="K2239" s="3">
        <v>24</v>
      </c>
      <c r="L2239" s="3" t="s">
        <v>7008</v>
      </c>
      <c r="M2239" s="3" t="str">
        <f>HYPERLINK("http://ictvonline.org/taxonomyHistory.asp?taxnode_id=20152754","ICTVonline=20152754")</f>
        <v>ICTVonline=20152754</v>
      </c>
    </row>
    <row r="2240" spans="1:13" x14ac:dyDescent="0.15">
      <c r="A2240" s="1" t="s">
        <v>934</v>
      </c>
      <c r="B2240" s="1" t="s">
        <v>2228</v>
      </c>
      <c r="D2240" s="1" t="s">
        <v>2229</v>
      </c>
      <c r="E2240" s="1" t="s">
        <v>1631</v>
      </c>
      <c r="F2240" s="3">
        <v>0</v>
      </c>
      <c r="I2240" s="24" t="s">
        <v>5392</v>
      </c>
      <c r="J2240" s="24" t="s">
        <v>2919</v>
      </c>
      <c r="K2240" s="3">
        <v>22</v>
      </c>
      <c r="L2240" s="3" t="s">
        <v>7006</v>
      </c>
      <c r="M2240" s="3" t="str">
        <f>HYPERLINK("http://ictvonline.org/taxonomyHistory.asp?taxnode_id=20152756","ICTVonline=20152756")</f>
        <v>ICTVonline=20152756</v>
      </c>
    </row>
    <row r="2241" spans="1:13" x14ac:dyDescent="0.15">
      <c r="A2241" s="1" t="s">
        <v>934</v>
      </c>
      <c r="B2241" s="1" t="s">
        <v>2228</v>
      </c>
      <c r="D2241" s="1" t="s">
        <v>2229</v>
      </c>
      <c r="E2241" s="1" t="s">
        <v>5596</v>
      </c>
      <c r="F2241" s="3">
        <v>0</v>
      </c>
      <c r="G2241" s="24" t="s">
        <v>7623</v>
      </c>
      <c r="I2241" s="24" t="s">
        <v>5392</v>
      </c>
      <c r="J2241" s="24" t="s">
        <v>2919</v>
      </c>
      <c r="K2241" s="3">
        <v>30</v>
      </c>
      <c r="L2241" s="3" t="s">
        <v>5549</v>
      </c>
      <c r="M2241" s="3" t="str">
        <f>HYPERLINK("http://ictvonline.org/taxonomyHistory.asp?taxnode_id=20152858","ICTVonline=20152858")</f>
        <v>ICTVonline=20152858</v>
      </c>
    </row>
    <row r="2242" spans="1:13" x14ac:dyDescent="0.15">
      <c r="A2242" s="1" t="s">
        <v>934</v>
      </c>
      <c r="B2242" s="1" t="s">
        <v>2228</v>
      </c>
      <c r="D2242" s="1" t="s">
        <v>2229</v>
      </c>
      <c r="E2242" s="1" t="s">
        <v>1632</v>
      </c>
      <c r="F2242" s="3">
        <v>0</v>
      </c>
      <c r="I2242" s="24" t="s">
        <v>5392</v>
      </c>
      <c r="J2242" s="24" t="s">
        <v>2919</v>
      </c>
      <c r="K2242" s="3">
        <v>24</v>
      </c>
      <c r="L2242" s="3" t="s">
        <v>7007</v>
      </c>
      <c r="M2242" s="3" t="str">
        <f>HYPERLINK("http://ictvonline.org/taxonomyHistory.asp?taxnode_id=20152757","ICTVonline=20152757")</f>
        <v>ICTVonline=20152757</v>
      </c>
    </row>
    <row r="2243" spans="1:13" x14ac:dyDescent="0.15">
      <c r="A2243" s="1" t="s">
        <v>934</v>
      </c>
      <c r="B2243" s="1" t="s">
        <v>2228</v>
      </c>
      <c r="D2243" s="1" t="s">
        <v>2229</v>
      </c>
      <c r="E2243" s="1" t="s">
        <v>1633</v>
      </c>
      <c r="F2243" s="3">
        <v>0</v>
      </c>
      <c r="I2243" s="24" t="s">
        <v>5392</v>
      </c>
      <c r="J2243" s="24" t="s">
        <v>2919</v>
      </c>
      <c r="K2243" s="3">
        <v>22</v>
      </c>
      <c r="L2243" s="3" t="s">
        <v>7006</v>
      </c>
      <c r="M2243" s="3" t="str">
        <f>HYPERLINK("http://ictvonline.org/taxonomyHistory.asp?taxnode_id=20152758","ICTVonline=20152758")</f>
        <v>ICTVonline=20152758</v>
      </c>
    </row>
    <row r="2244" spans="1:13" x14ac:dyDescent="0.15">
      <c r="A2244" s="1" t="s">
        <v>934</v>
      </c>
      <c r="B2244" s="1" t="s">
        <v>2228</v>
      </c>
      <c r="D2244" s="1" t="s">
        <v>2229</v>
      </c>
      <c r="E2244" s="1" t="s">
        <v>1634</v>
      </c>
      <c r="F2244" s="3">
        <v>0</v>
      </c>
      <c r="I2244" s="24" t="s">
        <v>5392</v>
      </c>
      <c r="J2244" s="24" t="s">
        <v>2919</v>
      </c>
      <c r="K2244" s="3">
        <v>24</v>
      </c>
      <c r="L2244" s="3" t="s">
        <v>7007</v>
      </c>
      <c r="M2244" s="3" t="str">
        <f>HYPERLINK("http://ictvonline.org/taxonomyHistory.asp?taxnode_id=20152759","ICTVonline=20152759")</f>
        <v>ICTVonline=20152759</v>
      </c>
    </row>
    <row r="2245" spans="1:13" x14ac:dyDescent="0.15">
      <c r="A2245" s="1" t="s">
        <v>934</v>
      </c>
      <c r="B2245" s="1" t="s">
        <v>2228</v>
      </c>
      <c r="D2245" s="1" t="s">
        <v>2229</v>
      </c>
      <c r="E2245" s="1" t="s">
        <v>2612</v>
      </c>
      <c r="F2245" s="3">
        <v>0</v>
      </c>
      <c r="I2245" s="24" t="s">
        <v>5392</v>
      </c>
      <c r="J2245" s="24" t="s">
        <v>2919</v>
      </c>
      <c r="K2245" s="3">
        <v>28</v>
      </c>
      <c r="L2245" s="3" t="s">
        <v>7005</v>
      </c>
      <c r="M2245" s="3" t="str">
        <f>HYPERLINK("http://ictvonline.org/taxonomyHistory.asp?taxnode_id=20152760","ICTVonline=20152760")</f>
        <v>ICTVonline=20152760</v>
      </c>
    </row>
    <row r="2246" spans="1:13" x14ac:dyDescent="0.15">
      <c r="A2246" s="1" t="s">
        <v>934</v>
      </c>
      <c r="B2246" s="1" t="s">
        <v>2228</v>
      </c>
      <c r="D2246" s="1" t="s">
        <v>2229</v>
      </c>
      <c r="E2246" s="1" t="s">
        <v>2613</v>
      </c>
      <c r="F2246" s="3">
        <v>0</v>
      </c>
      <c r="I2246" s="24" t="s">
        <v>5392</v>
      </c>
      <c r="J2246" s="24" t="s">
        <v>2919</v>
      </c>
      <c r="K2246" s="3">
        <v>28</v>
      </c>
      <c r="L2246" s="3" t="s">
        <v>7005</v>
      </c>
      <c r="M2246" s="3" t="str">
        <f>HYPERLINK("http://ictvonline.org/taxonomyHistory.asp?taxnode_id=20152761","ICTVonline=20152761")</f>
        <v>ICTVonline=20152761</v>
      </c>
    </row>
    <row r="2247" spans="1:13" x14ac:dyDescent="0.15">
      <c r="A2247" s="1" t="s">
        <v>934</v>
      </c>
      <c r="B2247" s="1" t="s">
        <v>2228</v>
      </c>
      <c r="D2247" s="1" t="s">
        <v>2229</v>
      </c>
      <c r="E2247" s="1" t="s">
        <v>2614</v>
      </c>
      <c r="F2247" s="3">
        <v>0</v>
      </c>
      <c r="I2247" s="24" t="s">
        <v>5392</v>
      </c>
      <c r="J2247" s="24" t="s">
        <v>2919</v>
      </c>
      <c r="K2247" s="3">
        <v>28</v>
      </c>
      <c r="L2247" s="3" t="s">
        <v>7005</v>
      </c>
      <c r="M2247" s="3" t="str">
        <f>HYPERLINK("http://ictvonline.org/taxonomyHistory.asp?taxnode_id=20152762","ICTVonline=20152762")</f>
        <v>ICTVonline=20152762</v>
      </c>
    </row>
    <row r="2248" spans="1:13" x14ac:dyDescent="0.15">
      <c r="A2248" s="1" t="s">
        <v>934</v>
      </c>
      <c r="B2248" s="1" t="s">
        <v>2228</v>
      </c>
      <c r="D2248" s="1" t="s">
        <v>2229</v>
      </c>
      <c r="E2248" s="1" t="s">
        <v>1635</v>
      </c>
      <c r="F2248" s="3">
        <v>0</v>
      </c>
      <c r="I2248" s="24" t="s">
        <v>5392</v>
      </c>
      <c r="J2248" s="24" t="s">
        <v>2924</v>
      </c>
      <c r="K2248" s="3">
        <v>23</v>
      </c>
      <c r="L2248" s="3" t="s">
        <v>2933</v>
      </c>
      <c r="M2248" s="3" t="str">
        <f>HYPERLINK("http://ictvonline.org/taxonomyHistory.asp?taxnode_id=20152763","ICTVonline=20152763")</f>
        <v>ICTVonline=20152763</v>
      </c>
    </row>
    <row r="2249" spans="1:13" x14ac:dyDescent="0.15">
      <c r="A2249" s="1" t="s">
        <v>934</v>
      </c>
      <c r="B2249" s="1" t="s">
        <v>2228</v>
      </c>
      <c r="D2249" s="1" t="s">
        <v>2229</v>
      </c>
      <c r="E2249" s="1" t="s">
        <v>5597</v>
      </c>
      <c r="F2249" s="3">
        <v>0</v>
      </c>
      <c r="G2249" s="24" t="s">
        <v>7624</v>
      </c>
      <c r="I2249" s="24" t="s">
        <v>5392</v>
      </c>
      <c r="J2249" s="24" t="s">
        <v>2919</v>
      </c>
      <c r="K2249" s="3">
        <v>30</v>
      </c>
      <c r="L2249" s="3" t="s">
        <v>5549</v>
      </c>
      <c r="M2249" s="3" t="str">
        <f>HYPERLINK("http://ictvonline.org/taxonomyHistory.asp?taxnode_id=20152859","ICTVonline=20152859")</f>
        <v>ICTVonline=20152859</v>
      </c>
    </row>
    <row r="2250" spans="1:13" x14ac:dyDescent="0.15">
      <c r="A2250" s="1" t="s">
        <v>934</v>
      </c>
      <c r="B2250" s="1" t="s">
        <v>2228</v>
      </c>
      <c r="D2250" s="1" t="s">
        <v>2229</v>
      </c>
      <c r="E2250" s="1" t="s">
        <v>5598</v>
      </c>
      <c r="F2250" s="3">
        <v>0</v>
      </c>
      <c r="G2250" s="24" t="s">
        <v>7625</v>
      </c>
      <c r="I2250" s="24" t="s">
        <v>5392</v>
      </c>
      <c r="J2250" s="24" t="s">
        <v>2919</v>
      </c>
      <c r="K2250" s="3">
        <v>30</v>
      </c>
      <c r="L2250" s="3" t="s">
        <v>5549</v>
      </c>
      <c r="M2250" s="3" t="str">
        <f>HYPERLINK("http://ictvonline.org/taxonomyHistory.asp?taxnode_id=20152860","ICTVonline=20152860")</f>
        <v>ICTVonline=20152860</v>
      </c>
    </row>
    <row r="2251" spans="1:13" x14ac:dyDescent="0.15">
      <c r="A2251" s="1" t="s">
        <v>934</v>
      </c>
      <c r="B2251" s="1" t="s">
        <v>2228</v>
      </c>
      <c r="D2251" s="1" t="s">
        <v>2229</v>
      </c>
      <c r="E2251" s="1" t="s">
        <v>2615</v>
      </c>
      <c r="F2251" s="3">
        <v>0</v>
      </c>
      <c r="I2251" s="24" t="s">
        <v>5392</v>
      </c>
      <c r="J2251" s="24" t="s">
        <v>2919</v>
      </c>
      <c r="K2251" s="3">
        <v>28</v>
      </c>
      <c r="L2251" s="3" t="s">
        <v>7005</v>
      </c>
      <c r="M2251" s="3" t="str">
        <f>HYPERLINK("http://ictvonline.org/taxonomyHistory.asp?taxnode_id=20152764","ICTVonline=20152764")</f>
        <v>ICTVonline=20152764</v>
      </c>
    </row>
    <row r="2252" spans="1:13" x14ac:dyDescent="0.15">
      <c r="A2252" s="1" t="s">
        <v>934</v>
      </c>
      <c r="B2252" s="1" t="s">
        <v>2228</v>
      </c>
      <c r="D2252" s="1" t="s">
        <v>2229</v>
      </c>
      <c r="E2252" s="1" t="s">
        <v>2616</v>
      </c>
      <c r="F2252" s="3">
        <v>0</v>
      </c>
      <c r="I2252" s="24" t="s">
        <v>5392</v>
      </c>
      <c r="J2252" s="24" t="s">
        <v>2919</v>
      </c>
      <c r="K2252" s="3">
        <v>28</v>
      </c>
      <c r="L2252" s="3" t="s">
        <v>7005</v>
      </c>
      <c r="M2252" s="3" t="str">
        <f>HYPERLINK("http://ictvonline.org/taxonomyHistory.asp?taxnode_id=20152765","ICTVonline=20152765")</f>
        <v>ICTVonline=20152765</v>
      </c>
    </row>
    <row r="2253" spans="1:13" x14ac:dyDescent="0.15">
      <c r="A2253" s="1" t="s">
        <v>934</v>
      </c>
      <c r="B2253" s="1" t="s">
        <v>2228</v>
      </c>
      <c r="D2253" s="1" t="s">
        <v>2229</v>
      </c>
      <c r="E2253" s="1" t="s">
        <v>5599</v>
      </c>
      <c r="F2253" s="3">
        <v>0</v>
      </c>
      <c r="G2253" s="24" t="s">
        <v>7626</v>
      </c>
      <c r="I2253" s="24" t="s">
        <v>5392</v>
      </c>
      <c r="J2253" s="24" t="s">
        <v>2919</v>
      </c>
      <c r="K2253" s="3">
        <v>30</v>
      </c>
      <c r="L2253" s="3" t="s">
        <v>5549</v>
      </c>
      <c r="M2253" s="3" t="str">
        <f>HYPERLINK("http://ictvonline.org/taxonomyHistory.asp?taxnode_id=20152861","ICTVonline=20152861")</f>
        <v>ICTVonline=20152861</v>
      </c>
    </row>
    <row r="2254" spans="1:13" x14ac:dyDescent="0.15">
      <c r="A2254" s="1" t="s">
        <v>934</v>
      </c>
      <c r="B2254" s="1" t="s">
        <v>2228</v>
      </c>
      <c r="D2254" s="1" t="s">
        <v>2229</v>
      </c>
      <c r="E2254" s="1" t="s">
        <v>5600</v>
      </c>
      <c r="F2254" s="3">
        <v>0</v>
      </c>
      <c r="G2254" s="24" t="s">
        <v>7627</v>
      </c>
      <c r="I2254" s="24" t="s">
        <v>5392</v>
      </c>
      <c r="J2254" s="24" t="s">
        <v>2919</v>
      </c>
      <c r="K2254" s="3">
        <v>30</v>
      </c>
      <c r="L2254" s="3" t="s">
        <v>5549</v>
      </c>
      <c r="M2254" s="3" t="str">
        <f>HYPERLINK("http://ictvonline.org/taxonomyHistory.asp?taxnode_id=20152862","ICTVonline=20152862")</f>
        <v>ICTVonline=20152862</v>
      </c>
    </row>
    <row r="2255" spans="1:13" x14ac:dyDescent="0.15">
      <c r="A2255" s="1" t="s">
        <v>934</v>
      </c>
      <c r="B2255" s="1" t="s">
        <v>2228</v>
      </c>
      <c r="D2255" s="1" t="s">
        <v>2229</v>
      </c>
      <c r="E2255" s="1" t="s">
        <v>1636</v>
      </c>
      <c r="F2255" s="3">
        <v>0</v>
      </c>
      <c r="I2255" s="24" t="s">
        <v>5392</v>
      </c>
      <c r="J2255" s="24" t="s">
        <v>2919</v>
      </c>
      <c r="K2255" s="3">
        <v>22</v>
      </c>
      <c r="L2255" s="3" t="s">
        <v>7013</v>
      </c>
      <c r="M2255" s="3" t="str">
        <f>HYPERLINK("http://ictvonline.org/taxonomyHistory.asp?taxnode_id=20152766","ICTVonline=20152766")</f>
        <v>ICTVonline=20152766</v>
      </c>
    </row>
    <row r="2256" spans="1:13" x14ac:dyDescent="0.15">
      <c r="A2256" s="1" t="s">
        <v>934</v>
      </c>
      <c r="B2256" s="1" t="s">
        <v>2228</v>
      </c>
      <c r="D2256" s="1" t="s">
        <v>2229</v>
      </c>
      <c r="E2256" s="1" t="s">
        <v>1637</v>
      </c>
      <c r="F2256" s="3">
        <v>0</v>
      </c>
      <c r="I2256" s="24" t="s">
        <v>5392</v>
      </c>
      <c r="J2256" s="24" t="s">
        <v>2919</v>
      </c>
      <c r="K2256" s="3">
        <v>24</v>
      </c>
      <c r="L2256" s="3" t="s">
        <v>7008</v>
      </c>
      <c r="M2256" s="3" t="str">
        <f>HYPERLINK("http://ictvonline.org/taxonomyHistory.asp?taxnode_id=20152767","ICTVonline=20152767")</f>
        <v>ICTVonline=20152767</v>
      </c>
    </row>
    <row r="2257" spans="1:13" x14ac:dyDescent="0.15">
      <c r="A2257" s="1" t="s">
        <v>934</v>
      </c>
      <c r="B2257" s="1" t="s">
        <v>2228</v>
      </c>
      <c r="D2257" s="1" t="s">
        <v>2229</v>
      </c>
      <c r="E2257" s="1" t="s">
        <v>5601</v>
      </c>
      <c r="F2257" s="3">
        <v>0</v>
      </c>
      <c r="G2257" s="24" t="s">
        <v>7628</v>
      </c>
      <c r="I2257" s="24" t="s">
        <v>5392</v>
      </c>
      <c r="J2257" s="24" t="s">
        <v>2919</v>
      </c>
      <c r="K2257" s="3">
        <v>30</v>
      </c>
      <c r="L2257" s="3" t="s">
        <v>5549</v>
      </c>
      <c r="M2257" s="3" t="str">
        <f>HYPERLINK("http://ictvonline.org/taxonomyHistory.asp?taxnode_id=20152863","ICTVonline=20152863")</f>
        <v>ICTVonline=20152863</v>
      </c>
    </row>
    <row r="2258" spans="1:13" x14ac:dyDescent="0.15">
      <c r="A2258" s="1" t="s">
        <v>934</v>
      </c>
      <c r="B2258" s="1" t="s">
        <v>2228</v>
      </c>
      <c r="D2258" s="1" t="s">
        <v>2229</v>
      </c>
      <c r="E2258" s="1" t="s">
        <v>1638</v>
      </c>
      <c r="F2258" s="3">
        <v>0</v>
      </c>
      <c r="I2258" s="24" t="s">
        <v>5392</v>
      </c>
      <c r="J2258" s="24" t="s">
        <v>2919</v>
      </c>
      <c r="K2258" s="3">
        <v>24</v>
      </c>
      <c r="L2258" s="3" t="s">
        <v>7008</v>
      </c>
      <c r="M2258" s="3" t="str">
        <f>HYPERLINK("http://ictvonline.org/taxonomyHistory.asp?taxnode_id=20152768","ICTVonline=20152768")</f>
        <v>ICTVonline=20152768</v>
      </c>
    </row>
    <row r="2259" spans="1:13" x14ac:dyDescent="0.15">
      <c r="A2259" s="1" t="s">
        <v>934</v>
      </c>
      <c r="B2259" s="1" t="s">
        <v>2228</v>
      </c>
      <c r="D2259" s="1" t="s">
        <v>2229</v>
      </c>
      <c r="E2259" s="1" t="s">
        <v>1639</v>
      </c>
      <c r="F2259" s="3">
        <v>0</v>
      </c>
      <c r="I2259" s="24" t="s">
        <v>5392</v>
      </c>
      <c r="J2259" s="24" t="s">
        <v>2919</v>
      </c>
      <c r="K2259" s="3">
        <v>24</v>
      </c>
      <c r="L2259" s="3" t="s">
        <v>7008</v>
      </c>
      <c r="M2259" s="3" t="str">
        <f>HYPERLINK("http://ictvonline.org/taxonomyHistory.asp?taxnode_id=20152769","ICTVonline=20152769")</f>
        <v>ICTVonline=20152769</v>
      </c>
    </row>
    <row r="2260" spans="1:13" x14ac:dyDescent="0.15">
      <c r="A2260" s="1" t="s">
        <v>934</v>
      </c>
      <c r="B2260" s="1" t="s">
        <v>2228</v>
      </c>
      <c r="D2260" s="1" t="s">
        <v>2229</v>
      </c>
      <c r="E2260" s="1" t="s">
        <v>1640</v>
      </c>
      <c r="F2260" s="3">
        <v>0</v>
      </c>
      <c r="I2260" s="24" t="s">
        <v>5392</v>
      </c>
      <c r="J2260" s="24" t="s">
        <v>2919</v>
      </c>
      <c r="K2260" s="3">
        <v>22</v>
      </c>
      <c r="L2260" s="3" t="s">
        <v>7006</v>
      </c>
      <c r="M2260" s="3" t="str">
        <f>HYPERLINK("http://ictvonline.org/taxonomyHistory.asp?taxnode_id=20152770","ICTVonline=20152770")</f>
        <v>ICTVonline=20152770</v>
      </c>
    </row>
    <row r="2261" spans="1:13" x14ac:dyDescent="0.15">
      <c r="A2261" s="1" t="s">
        <v>934</v>
      </c>
      <c r="B2261" s="1" t="s">
        <v>2228</v>
      </c>
      <c r="D2261" s="1" t="s">
        <v>2229</v>
      </c>
      <c r="E2261" s="1" t="s">
        <v>1641</v>
      </c>
      <c r="F2261" s="3">
        <v>0</v>
      </c>
      <c r="I2261" s="24" t="s">
        <v>5392</v>
      </c>
      <c r="J2261" s="24" t="s">
        <v>2919</v>
      </c>
      <c r="K2261" s="3">
        <v>23</v>
      </c>
      <c r="L2261" s="3" t="s">
        <v>2933</v>
      </c>
      <c r="M2261" s="3" t="str">
        <f>HYPERLINK("http://ictvonline.org/taxonomyHistory.asp?taxnode_id=20152771","ICTVonline=20152771")</f>
        <v>ICTVonline=20152771</v>
      </c>
    </row>
    <row r="2262" spans="1:13" x14ac:dyDescent="0.15">
      <c r="A2262" s="1" t="s">
        <v>934</v>
      </c>
      <c r="B2262" s="1" t="s">
        <v>2228</v>
      </c>
      <c r="D2262" s="1" t="s">
        <v>2229</v>
      </c>
      <c r="E2262" s="1" t="s">
        <v>5602</v>
      </c>
      <c r="F2262" s="3">
        <v>0</v>
      </c>
      <c r="G2262" s="24" t="s">
        <v>7629</v>
      </c>
      <c r="I2262" s="24" t="s">
        <v>5392</v>
      </c>
      <c r="J2262" s="24" t="s">
        <v>2919</v>
      </c>
      <c r="K2262" s="3">
        <v>30</v>
      </c>
      <c r="L2262" s="3" t="s">
        <v>5549</v>
      </c>
      <c r="M2262" s="3" t="str">
        <f>HYPERLINK("http://ictvonline.org/taxonomyHistory.asp?taxnode_id=20152864","ICTVonline=20152864")</f>
        <v>ICTVonline=20152864</v>
      </c>
    </row>
    <row r="2263" spans="1:13" x14ac:dyDescent="0.15">
      <c r="A2263" s="1" t="s">
        <v>934</v>
      </c>
      <c r="B2263" s="1" t="s">
        <v>2228</v>
      </c>
      <c r="D2263" s="1" t="s">
        <v>2229</v>
      </c>
      <c r="E2263" s="1" t="s">
        <v>1642</v>
      </c>
      <c r="F2263" s="3">
        <v>0</v>
      </c>
      <c r="I2263" s="24" t="s">
        <v>5392</v>
      </c>
      <c r="J2263" s="24" t="s">
        <v>2924</v>
      </c>
      <c r="K2263" s="3">
        <v>23</v>
      </c>
      <c r="L2263" s="3" t="s">
        <v>2933</v>
      </c>
      <c r="M2263" s="3" t="str">
        <f>HYPERLINK("http://ictvonline.org/taxonomyHistory.asp?taxnode_id=20152772","ICTVonline=20152772")</f>
        <v>ICTVonline=20152772</v>
      </c>
    </row>
    <row r="2264" spans="1:13" x14ac:dyDescent="0.15">
      <c r="A2264" s="1" t="s">
        <v>934</v>
      </c>
      <c r="B2264" s="1" t="s">
        <v>2228</v>
      </c>
      <c r="D2264" s="1" t="s">
        <v>2229</v>
      </c>
      <c r="E2264" s="1" t="s">
        <v>2617</v>
      </c>
      <c r="F2264" s="3">
        <v>0</v>
      </c>
      <c r="I2264" s="24" t="s">
        <v>5392</v>
      </c>
      <c r="J2264" s="24" t="s">
        <v>2919</v>
      </c>
      <c r="K2264" s="3">
        <v>28</v>
      </c>
      <c r="L2264" s="3" t="s">
        <v>7005</v>
      </c>
      <c r="M2264" s="3" t="str">
        <f>HYPERLINK("http://ictvonline.org/taxonomyHistory.asp?taxnode_id=20152773","ICTVonline=20152773")</f>
        <v>ICTVonline=20152773</v>
      </c>
    </row>
    <row r="2265" spans="1:13" x14ac:dyDescent="0.15">
      <c r="A2265" s="1" t="s">
        <v>934</v>
      </c>
      <c r="B2265" s="1" t="s">
        <v>2228</v>
      </c>
      <c r="D2265" s="1" t="s">
        <v>2229</v>
      </c>
      <c r="E2265" s="1" t="s">
        <v>1643</v>
      </c>
      <c r="F2265" s="3">
        <v>0</v>
      </c>
      <c r="I2265" s="24" t="s">
        <v>5392</v>
      </c>
      <c r="J2265" s="24" t="s">
        <v>2919</v>
      </c>
      <c r="K2265" s="3">
        <v>24</v>
      </c>
      <c r="L2265" s="3" t="s">
        <v>7010</v>
      </c>
      <c r="M2265" s="3" t="str">
        <f>HYPERLINK("http://ictvonline.org/taxonomyHistory.asp?taxnode_id=20152774","ICTVonline=20152774")</f>
        <v>ICTVonline=20152774</v>
      </c>
    </row>
    <row r="2266" spans="1:13" x14ac:dyDescent="0.15">
      <c r="A2266" s="1" t="s">
        <v>934</v>
      </c>
      <c r="B2266" s="1" t="s">
        <v>2228</v>
      </c>
      <c r="D2266" s="1" t="s">
        <v>2229</v>
      </c>
      <c r="E2266" s="1" t="s">
        <v>1644</v>
      </c>
      <c r="F2266" s="3">
        <v>0</v>
      </c>
      <c r="I2266" s="24" t="s">
        <v>5392</v>
      </c>
      <c r="J2266" s="24" t="s">
        <v>2919</v>
      </c>
      <c r="K2266" s="3">
        <v>22</v>
      </c>
      <c r="L2266" s="3" t="s">
        <v>7006</v>
      </c>
      <c r="M2266" s="3" t="str">
        <f>HYPERLINK("http://ictvonline.org/taxonomyHistory.asp?taxnode_id=20152775","ICTVonline=20152775")</f>
        <v>ICTVonline=20152775</v>
      </c>
    </row>
    <row r="2267" spans="1:13" x14ac:dyDescent="0.15">
      <c r="A2267" s="1" t="s">
        <v>934</v>
      </c>
      <c r="B2267" s="1" t="s">
        <v>2228</v>
      </c>
      <c r="D2267" s="1" t="s">
        <v>2229</v>
      </c>
      <c r="E2267" s="1" t="s">
        <v>1645</v>
      </c>
      <c r="F2267" s="3">
        <v>0</v>
      </c>
      <c r="I2267" s="24" t="s">
        <v>5392</v>
      </c>
      <c r="J2267" s="24" t="s">
        <v>2945</v>
      </c>
      <c r="K2267" s="3">
        <v>24</v>
      </c>
      <c r="L2267" s="3" t="s">
        <v>7009</v>
      </c>
      <c r="M2267" s="3" t="str">
        <f>HYPERLINK("http://ictvonline.org/taxonomyHistory.asp?taxnode_id=20152776","ICTVonline=20152776")</f>
        <v>ICTVonline=20152776</v>
      </c>
    </row>
    <row r="2268" spans="1:13" x14ac:dyDescent="0.15">
      <c r="A2268" s="1" t="s">
        <v>934</v>
      </c>
      <c r="B2268" s="1" t="s">
        <v>2228</v>
      </c>
      <c r="D2268" s="1" t="s">
        <v>2229</v>
      </c>
      <c r="E2268" s="1" t="s">
        <v>2618</v>
      </c>
      <c r="F2268" s="3">
        <v>0</v>
      </c>
      <c r="I2268" s="24" t="s">
        <v>5392</v>
      </c>
      <c r="J2268" s="24" t="s">
        <v>2919</v>
      </c>
      <c r="K2268" s="3">
        <v>28</v>
      </c>
      <c r="L2268" s="3" t="s">
        <v>7005</v>
      </c>
      <c r="M2268" s="3" t="str">
        <f>HYPERLINK("http://ictvonline.org/taxonomyHistory.asp?taxnode_id=20152777","ICTVonline=20152777")</f>
        <v>ICTVonline=20152777</v>
      </c>
    </row>
    <row r="2269" spans="1:13" x14ac:dyDescent="0.15">
      <c r="A2269" s="1" t="s">
        <v>934</v>
      </c>
      <c r="B2269" s="1" t="s">
        <v>2228</v>
      </c>
      <c r="D2269" s="1" t="s">
        <v>2229</v>
      </c>
      <c r="E2269" s="1" t="s">
        <v>2619</v>
      </c>
      <c r="F2269" s="3">
        <v>0</v>
      </c>
      <c r="I2269" s="24" t="s">
        <v>5392</v>
      </c>
      <c r="J2269" s="24" t="s">
        <v>2919</v>
      </c>
      <c r="K2269" s="3">
        <v>28</v>
      </c>
      <c r="L2269" s="3" t="s">
        <v>7005</v>
      </c>
      <c r="M2269" s="3" t="str">
        <f>HYPERLINK("http://ictvonline.org/taxonomyHistory.asp?taxnode_id=20152778","ICTVonline=20152778")</f>
        <v>ICTVonline=20152778</v>
      </c>
    </row>
    <row r="2270" spans="1:13" x14ac:dyDescent="0.15">
      <c r="A2270" s="1" t="s">
        <v>934</v>
      </c>
      <c r="B2270" s="1" t="s">
        <v>2228</v>
      </c>
      <c r="D2270" s="1" t="s">
        <v>2229</v>
      </c>
      <c r="E2270" s="1" t="s">
        <v>2620</v>
      </c>
      <c r="F2270" s="3">
        <v>0</v>
      </c>
      <c r="I2270" s="24" t="s">
        <v>5392</v>
      </c>
      <c r="J2270" s="24" t="s">
        <v>2919</v>
      </c>
      <c r="K2270" s="3">
        <v>28</v>
      </c>
      <c r="L2270" s="3" t="s">
        <v>7005</v>
      </c>
      <c r="M2270" s="3" t="str">
        <f>HYPERLINK("http://ictvonline.org/taxonomyHistory.asp?taxnode_id=20152779","ICTVonline=20152779")</f>
        <v>ICTVonline=20152779</v>
      </c>
    </row>
    <row r="2271" spans="1:13" x14ac:dyDescent="0.15">
      <c r="A2271" s="1" t="s">
        <v>934</v>
      </c>
      <c r="B2271" s="1" t="s">
        <v>2228</v>
      </c>
      <c r="D2271" s="1" t="s">
        <v>2229</v>
      </c>
      <c r="E2271" s="1" t="s">
        <v>1646</v>
      </c>
      <c r="F2271" s="3">
        <v>0</v>
      </c>
      <c r="I2271" s="24" t="s">
        <v>5392</v>
      </c>
      <c r="J2271" s="24" t="s">
        <v>2919</v>
      </c>
      <c r="K2271" s="3">
        <v>24</v>
      </c>
      <c r="L2271" s="3" t="s">
        <v>7007</v>
      </c>
      <c r="M2271" s="3" t="str">
        <f>HYPERLINK("http://ictvonline.org/taxonomyHistory.asp?taxnode_id=20152780","ICTVonline=20152780")</f>
        <v>ICTVonline=20152780</v>
      </c>
    </row>
    <row r="2272" spans="1:13" x14ac:dyDescent="0.15">
      <c r="A2272" s="1" t="s">
        <v>934</v>
      </c>
      <c r="B2272" s="1" t="s">
        <v>2228</v>
      </c>
      <c r="D2272" s="1" t="s">
        <v>2229</v>
      </c>
      <c r="E2272" s="1" t="s">
        <v>1647</v>
      </c>
      <c r="F2272" s="3">
        <v>0</v>
      </c>
      <c r="I2272" s="24" t="s">
        <v>5392</v>
      </c>
      <c r="J2272" s="24" t="s">
        <v>2919</v>
      </c>
      <c r="K2272" s="3">
        <v>22</v>
      </c>
      <c r="L2272" s="3" t="s">
        <v>7006</v>
      </c>
      <c r="M2272" s="3" t="str">
        <f>HYPERLINK("http://ictvonline.org/taxonomyHistory.asp?taxnode_id=20152781","ICTVonline=20152781")</f>
        <v>ICTVonline=20152781</v>
      </c>
    </row>
    <row r="2273" spans="1:13" x14ac:dyDescent="0.15">
      <c r="A2273" s="1" t="s">
        <v>934</v>
      </c>
      <c r="B2273" s="1" t="s">
        <v>2228</v>
      </c>
      <c r="D2273" s="1" t="s">
        <v>2229</v>
      </c>
      <c r="E2273" s="1" t="s">
        <v>2621</v>
      </c>
      <c r="F2273" s="3">
        <v>0</v>
      </c>
      <c r="I2273" s="24" t="s">
        <v>5392</v>
      </c>
      <c r="J2273" s="24" t="s">
        <v>2919</v>
      </c>
      <c r="K2273" s="3">
        <v>28</v>
      </c>
      <c r="L2273" s="3" t="s">
        <v>7005</v>
      </c>
      <c r="M2273" s="3" t="str">
        <f>HYPERLINK("http://ictvonline.org/taxonomyHistory.asp?taxnode_id=20152783","ICTVonline=20152783")</f>
        <v>ICTVonline=20152783</v>
      </c>
    </row>
    <row r="2274" spans="1:13" x14ac:dyDescent="0.15">
      <c r="A2274" s="1" t="s">
        <v>934</v>
      </c>
      <c r="B2274" s="1" t="s">
        <v>2228</v>
      </c>
      <c r="D2274" s="1" t="s">
        <v>2229</v>
      </c>
      <c r="E2274" s="1" t="s">
        <v>1989</v>
      </c>
      <c r="F2274" s="3">
        <v>0</v>
      </c>
      <c r="I2274" s="24" t="s">
        <v>5392</v>
      </c>
      <c r="J2274" s="24" t="s">
        <v>2924</v>
      </c>
      <c r="K2274" s="3">
        <v>23</v>
      </c>
      <c r="L2274" s="3" t="s">
        <v>2933</v>
      </c>
      <c r="M2274" s="3" t="str">
        <f>HYPERLINK("http://ictvonline.org/taxonomyHistory.asp?taxnode_id=20152784","ICTVonline=20152784")</f>
        <v>ICTVonline=20152784</v>
      </c>
    </row>
    <row r="2275" spans="1:13" x14ac:dyDescent="0.15">
      <c r="A2275" s="1" t="s">
        <v>934</v>
      </c>
      <c r="B2275" s="1" t="s">
        <v>2228</v>
      </c>
      <c r="D2275" s="1" t="s">
        <v>2229</v>
      </c>
      <c r="E2275" s="1" t="s">
        <v>1990</v>
      </c>
      <c r="F2275" s="3">
        <v>0</v>
      </c>
      <c r="I2275" s="24" t="s">
        <v>5392</v>
      </c>
      <c r="J2275" s="24" t="s">
        <v>2920</v>
      </c>
      <c r="K2275" s="3">
        <v>16</v>
      </c>
      <c r="L2275" s="3" t="s">
        <v>2940</v>
      </c>
      <c r="M2275" s="3" t="str">
        <f>HYPERLINK("http://ictvonline.org/taxonomyHistory.asp?taxnode_id=20152785","ICTVonline=20152785")</f>
        <v>ICTVonline=20152785</v>
      </c>
    </row>
    <row r="2276" spans="1:13" x14ac:dyDescent="0.15">
      <c r="A2276" s="1" t="s">
        <v>934</v>
      </c>
      <c r="B2276" s="1" t="s">
        <v>2228</v>
      </c>
      <c r="D2276" s="1" t="s">
        <v>2229</v>
      </c>
      <c r="E2276" s="1" t="s">
        <v>1991</v>
      </c>
      <c r="F2276" s="3">
        <v>0</v>
      </c>
      <c r="I2276" s="24" t="s">
        <v>5392</v>
      </c>
      <c r="J2276" s="24" t="s">
        <v>2919</v>
      </c>
      <c r="K2276" s="3">
        <v>22</v>
      </c>
      <c r="L2276" s="3" t="s">
        <v>7006</v>
      </c>
      <c r="M2276" s="3" t="str">
        <f>HYPERLINK("http://ictvonline.org/taxonomyHistory.asp?taxnode_id=20152786","ICTVonline=20152786")</f>
        <v>ICTVonline=20152786</v>
      </c>
    </row>
    <row r="2277" spans="1:13" x14ac:dyDescent="0.15">
      <c r="A2277" s="1" t="s">
        <v>934</v>
      </c>
      <c r="B2277" s="1" t="s">
        <v>2228</v>
      </c>
      <c r="D2277" s="1" t="s">
        <v>2229</v>
      </c>
      <c r="E2277" s="1" t="s">
        <v>2622</v>
      </c>
      <c r="F2277" s="3">
        <v>0</v>
      </c>
      <c r="I2277" s="24" t="s">
        <v>5392</v>
      </c>
      <c r="J2277" s="24" t="s">
        <v>2919</v>
      </c>
      <c r="K2277" s="3">
        <v>28</v>
      </c>
      <c r="L2277" s="3" t="s">
        <v>7005</v>
      </c>
      <c r="M2277" s="3" t="str">
        <f>HYPERLINK("http://ictvonline.org/taxonomyHistory.asp?taxnode_id=20152787","ICTVonline=20152787")</f>
        <v>ICTVonline=20152787</v>
      </c>
    </row>
    <row r="2278" spans="1:13" x14ac:dyDescent="0.15">
      <c r="A2278" s="1" t="s">
        <v>934</v>
      </c>
      <c r="B2278" s="1" t="s">
        <v>2228</v>
      </c>
      <c r="D2278" s="1" t="s">
        <v>2229</v>
      </c>
      <c r="E2278" s="1" t="s">
        <v>1992</v>
      </c>
      <c r="F2278" s="3">
        <v>0</v>
      </c>
      <c r="I2278" s="24" t="s">
        <v>5392</v>
      </c>
      <c r="J2278" s="24" t="s">
        <v>2919</v>
      </c>
      <c r="K2278" s="3">
        <v>17</v>
      </c>
      <c r="L2278" s="3" t="s">
        <v>2928</v>
      </c>
      <c r="M2278" s="3" t="str">
        <f>HYPERLINK("http://ictvonline.org/taxonomyHistory.asp?taxnode_id=20152788","ICTVonline=20152788")</f>
        <v>ICTVonline=20152788</v>
      </c>
    </row>
    <row r="2279" spans="1:13" x14ac:dyDescent="0.15">
      <c r="A2279" s="1" t="s">
        <v>934</v>
      </c>
      <c r="B2279" s="1" t="s">
        <v>2228</v>
      </c>
      <c r="D2279" s="1" t="s">
        <v>2229</v>
      </c>
      <c r="E2279" s="1" t="s">
        <v>1993</v>
      </c>
      <c r="F2279" s="3">
        <v>0</v>
      </c>
      <c r="I2279" s="24" t="s">
        <v>5392</v>
      </c>
      <c r="J2279" s="24" t="s">
        <v>2919</v>
      </c>
      <c r="K2279" s="3">
        <v>22</v>
      </c>
      <c r="L2279" s="3" t="s">
        <v>7006</v>
      </c>
      <c r="M2279" s="3" t="str">
        <f>HYPERLINK("http://ictvonline.org/taxonomyHistory.asp?taxnode_id=20152789","ICTVonline=20152789")</f>
        <v>ICTVonline=20152789</v>
      </c>
    </row>
    <row r="2280" spans="1:13" x14ac:dyDescent="0.15">
      <c r="A2280" s="1" t="s">
        <v>934</v>
      </c>
      <c r="B2280" s="1" t="s">
        <v>2228</v>
      </c>
      <c r="D2280" s="1" t="s">
        <v>2229</v>
      </c>
      <c r="E2280" s="1" t="s">
        <v>1994</v>
      </c>
      <c r="F2280" s="3">
        <v>0</v>
      </c>
      <c r="I2280" s="24" t="s">
        <v>5392</v>
      </c>
      <c r="J2280" s="24" t="s">
        <v>2919</v>
      </c>
      <c r="K2280" s="3">
        <v>24</v>
      </c>
      <c r="L2280" s="3" t="s">
        <v>7007</v>
      </c>
      <c r="M2280" s="3" t="str">
        <f>HYPERLINK("http://ictvonline.org/taxonomyHistory.asp?taxnode_id=20152790","ICTVonline=20152790")</f>
        <v>ICTVonline=20152790</v>
      </c>
    </row>
    <row r="2281" spans="1:13" x14ac:dyDescent="0.15">
      <c r="A2281" s="1" t="s">
        <v>934</v>
      </c>
      <c r="B2281" s="1" t="s">
        <v>2228</v>
      </c>
      <c r="D2281" s="1" t="s">
        <v>2229</v>
      </c>
      <c r="E2281" s="1" t="s">
        <v>1995</v>
      </c>
      <c r="F2281" s="3">
        <v>0</v>
      </c>
      <c r="I2281" s="24" t="s">
        <v>5392</v>
      </c>
      <c r="J2281" s="24" t="s">
        <v>2924</v>
      </c>
      <c r="K2281" s="3">
        <v>23</v>
      </c>
      <c r="L2281" s="3" t="s">
        <v>2933</v>
      </c>
      <c r="M2281" s="3" t="str">
        <f>HYPERLINK("http://ictvonline.org/taxonomyHistory.asp?taxnode_id=20152791","ICTVonline=20152791")</f>
        <v>ICTVonline=20152791</v>
      </c>
    </row>
    <row r="2282" spans="1:13" x14ac:dyDescent="0.15">
      <c r="A2282" s="1" t="s">
        <v>934</v>
      </c>
      <c r="B2282" s="1" t="s">
        <v>2228</v>
      </c>
      <c r="D2282" s="1" t="s">
        <v>2229</v>
      </c>
      <c r="E2282" s="1" t="s">
        <v>1996</v>
      </c>
      <c r="F2282" s="3">
        <v>0</v>
      </c>
      <c r="I2282" s="24" t="s">
        <v>5392</v>
      </c>
      <c r="J2282" s="24" t="s">
        <v>2919</v>
      </c>
      <c r="K2282" s="3">
        <v>24</v>
      </c>
      <c r="L2282" s="3" t="s">
        <v>7007</v>
      </c>
      <c r="M2282" s="3" t="str">
        <f>HYPERLINK("http://ictvonline.org/taxonomyHistory.asp?taxnode_id=20152792","ICTVonline=20152792")</f>
        <v>ICTVonline=20152792</v>
      </c>
    </row>
    <row r="2283" spans="1:13" x14ac:dyDescent="0.15">
      <c r="A2283" s="1" t="s">
        <v>934</v>
      </c>
      <c r="B2283" s="1" t="s">
        <v>2228</v>
      </c>
      <c r="D2283" s="1" t="s">
        <v>2229</v>
      </c>
      <c r="E2283" s="1" t="s">
        <v>896</v>
      </c>
      <c r="F2283" s="3">
        <v>0</v>
      </c>
      <c r="I2283" s="24" t="s">
        <v>5392</v>
      </c>
      <c r="J2283" s="24" t="s">
        <v>2919</v>
      </c>
      <c r="K2283" s="3">
        <v>24</v>
      </c>
      <c r="L2283" s="3" t="s">
        <v>7008</v>
      </c>
      <c r="M2283" s="3" t="str">
        <f>HYPERLINK("http://ictvonline.org/taxonomyHistory.asp?taxnode_id=20152793","ICTVonline=20152793")</f>
        <v>ICTVonline=20152793</v>
      </c>
    </row>
    <row r="2284" spans="1:13" x14ac:dyDescent="0.15">
      <c r="A2284" s="1" t="s">
        <v>934</v>
      </c>
      <c r="B2284" s="1" t="s">
        <v>2228</v>
      </c>
      <c r="D2284" s="1" t="s">
        <v>2229</v>
      </c>
      <c r="E2284" s="1" t="s">
        <v>897</v>
      </c>
      <c r="F2284" s="3">
        <v>0</v>
      </c>
      <c r="I2284" s="24" t="s">
        <v>5392</v>
      </c>
      <c r="J2284" s="24" t="s">
        <v>2919</v>
      </c>
      <c r="K2284" s="3">
        <v>23</v>
      </c>
      <c r="L2284" s="3" t="s">
        <v>2933</v>
      </c>
      <c r="M2284" s="3" t="str">
        <f>HYPERLINK("http://ictvonline.org/taxonomyHistory.asp?taxnode_id=20152794","ICTVonline=20152794")</f>
        <v>ICTVonline=20152794</v>
      </c>
    </row>
    <row r="2285" spans="1:13" x14ac:dyDescent="0.15">
      <c r="A2285" s="1" t="s">
        <v>934</v>
      </c>
      <c r="B2285" s="1" t="s">
        <v>2228</v>
      </c>
      <c r="D2285" s="1" t="s">
        <v>2229</v>
      </c>
      <c r="E2285" s="1" t="s">
        <v>1997</v>
      </c>
      <c r="F2285" s="3">
        <v>0</v>
      </c>
      <c r="I2285" s="24" t="s">
        <v>5392</v>
      </c>
      <c r="J2285" s="24" t="s">
        <v>2919</v>
      </c>
      <c r="K2285" s="3">
        <v>23</v>
      </c>
      <c r="L2285" s="3" t="s">
        <v>2933</v>
      </c>
      <c r="M2285" s="3" t="str">
        <f>HYPERLINK("http://ictvonline.org/taxonomyHistory.asp?taxnode_id=20152795","ICTVonline=20152795")</f>
        <v>ICTVonline=20152795</v>
      </c>
    </row>
    <row r="2286" spans="1:13" x14ac:dyDescent="0.15">
      <c r="A2286" s="1" t="s">
        <v>934</v>
      </c>
      <c r="B2286" s="1" t="s">
        <v>2228</v>
      </c>
      <c r="D2286" s="1" t="s">
        <v>2229</v>
      </c>
      <c r="E2286" s="1" t="s">
        <v>2067</v>
      </c>
      <c r="F2286" s="3">
        <v>0</v>
      </c>
      <c r="I2286" s="24" t="s">
        <v>5392</v>
      </c>
      <c r="J2286" s="24" t="s">
        <v>2919</v>
      </c>
      <c r="K2286" s="3">
        <v>24</v>
      </c>
      <c r="L2286" s="3" t="s">
        <v>7007</v>
      </c>
      <c r="M2286" s="3" t="str">
        <f>HYPERLINK("http://ictvonline.org/taxonomyHistory.asp?taxnode_id=20152796","ICTVonline=20152796")</f>
        <v>ICTVonline=20152796</v>
      </c>
    </row>
    <row r="2287" spans="1:13" x14ac:dyDescent="0.15">
      <c r="A2287" s="1" t="s">
        <v>934</v>
      </c>
      <c r="B2287" s="1" t="s">
        <v>2228</v>
      </c>
      <c r="D2287" s="1" t="s">
        <v>2229</v>
      </c>
      <c r="E2287" s="1" t="s">
        <v>835</v>
      </c>
      <c r="F2287" s="3">
        <v>0</v>
      </c>
      <c r="I2287" s="24" t="s">
        <v>5392</v>
      </c>
      <c r="J2287" s="24" t="s">
        <v>2924</v>
      </c>
      <c r="K2287" s="3">
        <v>23</v>
      </c>
      <c r="L2287" s="3" t="s">
        <v>2933</v>
      </c>
      <c r="M2287" s="3" t="str">
        <f>HYPERLINK("http://ictvonline.org/taxonomyHistory.asp?taxnode_id=20152797","ICTVonline=20152797")</f>
        <v>ICTVonline=20152797</v>
      </c>
    </row>
    <row r="2288" spans="1:13" x14ac:dyDescent="0.15">
      <c r="A2288" s="1" t="s">
        <v>934</v>
      </c>
      <c r="B2288" s="1" t="s">
        <v>2228</v>
      </c>
      <c r="D2288" s="1" t="s">
        <v>2229</v>
      </c>
      <c r="E2288" s="1" t="s">
        <v>836</v>
      </c>
      <c r="F2288" s="3">
        <v>0</v>
      </c>
      <c r="I2288" s="24" t="s">
        <v>5392</v>
      </c>
      <c r="J2288" s="24" t="s">
        <v>2924</v>
      </c>
      <c r="K2288" s="3">
        <v>23</v>
      </c>
      <c r="L2288" s="3" t="s">
        <v>2933</v>
      </c>
      <c r="M2288" s="3" t="str">
        <f>HYPERLINK("http://ictvonline.org/taxonomyHistory.asp?taxnode_id=20152798","ICTVonline=20152798")</f>
        <v>ICTVonline=20152798</v>
      </c>
    </row>
    <row r="2289" spans="1:13" x14ac:dyDescent="0.15">
      <c r="A2289" s="1" t="s">
        <v>934</v>
      </c>
      <c r="B2289" s="1" t="s">
        <v>2228</v>
      </c>
      <c r="D2289" s="1" t="s">
        <v>2229</v>
      </c>
      <c r="E2289" s="1" t="s">
        <v>837</v>
      </c>
      <c r="F2289" s="3">
        <v>0</v>
      </c>
      <c r="I2289" s="24" t="s">
        <v>5392</v>
      </c>
      <c r="J2289" s="24" t="s">
        <v>2919</v>
      </c>
      <c r="K2289" s="3">
        <v>24</v>
      </c>
      <c r="L2289" s="3" t="s">
        <v>7008</v>
      </c>
      <c r="M2289" s="3" t="str">
        <f>HYPERLINK("http://ictvonline.org/taxonomyHistory.asp?taxnode_id=20152799","ICTVonline=20152799")</f>
        <v>ICTVonline=20152799</v>
      </c>
    </row>
    <row r="2290" spans="1:13" x14ac:dyDescent="0.15">
      <c r="A2290" s="1" t="s">
        <v>934</v>
      </c>
      <c r="B2290" s="1" t="s">
        <v>2228</v>
      </c>
      <c r="D2290" s="1" t="s">
        <v>2229</v>
      </c>
      <c r="E2290" s="1" t="s">
        <v>1957</v>
      </c>
      <c r="F2290" s="3">
        <v>0</v>
      </c>
      <c r="I2290" s="24" t="s">
        <v>5392</v>
      </c>
      <c r="J2290" s="24" t="s">
        <v>2931</v>
      </c>
      <c r="K2290" s="3">
        <v>23</v>
      </c>
      <c r="L2290" s="3" t="s">
        <v>2933</v>
      </c>
      <c r="M2290" s="3" t="str">
        <f>HYPERLINK("http://ictvonline.org/taxonomyHistory.asp?taxnode_id=20152800","ICTVonline=20152800")</f>
        <v>ICTVonline=20152800</v>
      </c>
    </row>
    <row r="2291" spans="1:13" x14ac:dyDescent="0.15">
      <c r="A2291" s="1" t="s">
        <v>934</v>
      </c>
      <c r="B2291" s="1" t="s">
        <v>2228</v>
      </c>
      <c r="D2291" s="1" t="s">
        <v>2229</v>
      </c>
      <c r="E2291" s="1" t="s">
        <v>2623</v>
      </c>
      <c r="F2291" s="3">
        <v>0</v>
      </c>
      <c r="I2291" s="24" t="s">
        <v>5392</v>
      </c>
      <c r="J2291" s="24" t="s">
        <v>2919</v>
      </c>
      <c r="K2291" s="3">
        <v>28</v>
      </c>
      <c r="L2291" s="3" t="s">
        <v>7005</v>
      </c>
      <c r="M2291" s="3" t="str">
        <f>HYPERLINK("http://ictvonline.org/taxonomyHistory.asp?taxnode_id=20152801","ICTVonline=20152801")</f>
        <v>ICTVonline=20152801</v>
      </c>
    </row>
    <row r="2292" spans="1:13" x14ac:dyDescent="0.15">
      <c r="A2292" s="1" t="s">
        <v>934</v>
      </c>
      <c r="B2292" s="1" t="s">
        <v>2228</v>
      </c>
      <c r="D2292" s="1" t="s">
        <v>2229</v>
      </c>
      <c r="E2292" s="1" t="s">
        <v>1083</v>
      </c>
      <c r="F2292" s="3">
        <v>0</v>
      </c>
      <c r="I2292" s="24" t="s">
        <v>5392</v>
      </c>
      <c r="J2292" s="24" t="s">
        <v>2919</v>
      </c>
      <c r="K2292" s="3">
        <v>24</v>
      </c>
      <c r="L2292" s="3" t="s">
        <v>7007</v>
      </c>
      <c r="M2292" s="3" t="str">
        <f>HYPERLINK("http://ictvonline.org/taxonomyHistory.asp?taxnode_id=20152802","ICTVonline=20152802")</f>
        <v>ICTVonline=20152802</v>
      </c>
    </row>
    <row r="2293" spans="1:13" x14ac:dyDescent="0.15">
      <c r="A2293" s="1" t="s">
        <v>934</v>
      </c>
      <c r="B2293" s="1" t="s">
        <v>2228</v>
      </c>
      <c r="D2293" s="1" t="s">
        <v>2229</v>
      </c>
      <c r="E2293" s="1" t="s">
        <v>2624</v>
      </c>
      <c r="F2293" s="3">
        <v>0</v>
      </c>
      <c r="I2293" s="24" t="s">
        <v>5392</v>
      </c>
      <c r="J2293" s="24" t="s">
        <v>2919</v>
      </c>
      <c r="K2293" s="3">
        <v>28</v>
      </c>
      <c r="L2293" s="3" t="s">
        <v>7005</v>
      </c>
      <c r="M2293" s="3" t="str">
        <f>HYPERLINK("http://ictvonline.org/taxonomyHistory.asp?taxnode_id=20152803","ICTVonline=20152803")</f>
        <v>ICTVonline=20152803</v>
      </c>
    </row>
    <row r="2294" spans="1:13" x14ac:dyDescent="0.15">
      <c r="A2294" s="1" t="s">
        <v>934</v>
      </c>
      <c r="B2294" s="1" t="s">
        <v>2228</v>
      </c>
      <c r="D2294" s="1" t="s">
        <v>2229</v>
      </c>
      <c r="E2294" s="1" t="s">
        <v>1084</v>
      </c>
      <c r="F2294" s="3">
        <v>0</v>
      </c>
      <c r="I2294" s="24" t="s">
        <v>5392</v>
      </c>
      <c r="J2294" s="24" t="s">
        <v>2919</v>
      </c>
      <c r="K2294" s="3">
        <v>24</v>
      </c>
      <c r="L2294" s="3" t="s">
        <v>7010</v>
      </c>
      <c r="M2294" s="3" t="str">
        <f>HYPERLINK("http://ictvonline.org/taxonomyHistory.asp?taxnode_id=20152804","ICTVonline=20152804")</f>
        <v>ICTVonline=20152804</v>
      </c>
    </row>
    <row r="2295" spans="1:13" x14ac:dyDescent="0.15">
      <c r="A2295" s="1" t="s">
        <v>934</v>
      </c>
      <c r="B2295" s="1" t="s">
        <v>2228</v>
      </c>
      <c r="D2295" s="1" t="s">
        <v>2229</v>
      </c>
      <c r="E2295" s="1" t="s">
        <v>1085</v>
      </c>
      <c r="F2295" s="3">
        <v>0</v>
      </c>
      <c r="I2295" s="24" t="s">
        <v>5392</v>
      </c>
      <c r="J2295" s="24" t="s">
        <v>2919</v>
      </c>
      <c r="K2295" s="3">
        <v>24</v>
      </c>
      <c r="L2295" s="3" t="s">
        <v>7008</v>
      </c>
      <c r="M2295" s="3" t="str">
        <f>HYPERLINK("http://ictvonline.org/taxonomyHistory.asp?taxnode_id=20152805","ICTVonline=20152805")</f>
        <v>ICTVonline=20152805</v>
      </c>
    </row>
    <row r="2296" spans="1:13" x14ac:dyDescent="0.15">
      <c r="A2296" s="1" t="s">
        <v>934</v>
      </c>
      <c r="B2296" s="1" t="s">
        <v>2228</v>
      </c>
      <c r="D2296" s="1" t="s">
        <v>2229</v>
      </c>
      <c r="E2296" s="1" t="s">
        <v>5603</v>
      </c>
      <c r="F2296" s="3">
        <v>0</v>
      </c>
      <c r="G2296" s="24" t="s">
        <v>7630</v>
      </c>
      <c r="I2296" s="24" t="s">
        <v>5392</v>
      </c>
      <c r="J2296" s="24" t="s">
        <v>2919</v>
      </c>
      <c r="K2296" s="3">
        <v>30</v>
      </c>
      <c r="L2296" s="3" t="s">
        <v>5549</v>
      </c>
      <c r="M2296" s="3" t="str">
        <f>HYPERLINK("http://ictvonline.org/taxonomyHistory.asp?taxnode_id=20152865","ICTVonline=20152865")</f>
        <v>ICTVonline=20152865</v>
      </c>
    </row>
    <row r="2297" spans="1:13" x14ac:dyDescent="0.15">
      <c r="A2297" s="1" t="s">
        <v>934</v>
      </c>
      <c r="B2297" s="1" t="s">
        <v>2228</v>
      </c>
      <c r="D2297" s="1" t="s">
        <v>2229</v>
      </c>
      <c r="E2297" s="1" t="s">
        <v>1172</v>
      </c>
      <c r="F2297" s="3">
        <v>0</v>
      </c>
      <c r="I2297" s="24" t="s">
        <v>5392</v>
      </c>
      <c r="J2297" s="24" t="s">
        <v>2919</v>
      </c>
      <c r="K2297" s="3">
        <v>24</v>
      </c>
      <c r="L2297" s="3" t="s">
        <v>7010</v>
      </c>
      <c r="M2297" s="3" t="str">
        <f>HYPERLINK("http://ictvonline.org/taxonomyHistory.asp?taxnode_id=20152806","ICTVonline=20152806")</f>
        <v>ICTVonline=20152806</v>
      </c>
    </row>
    <row r="2298" spans="1:13" x14ac:dyDescent="0.15">
      <c r="A2298" s="1" t="s">
        <v>934</v>
      </c>
      <c r="B2298" s="1" t="s">
        <v>2228</v>
      </c>
      <c r="D2298" s="1" t="s">
        <v>2229</v>
      </c>
      <c r="E2298" s="1" t="s">
        <v>5604</v>
      </c>
      <c r="F2298" s="3">
        <v>0</v>
      </c>
      <c r="G2298" s="24" t="s">
        <v>7631</v>
      </c>
      <c r="I2298" s="24" t="s">
        <v>5392</v>
      </c>
      <c r="J2298" s="24" t="s">
        <v>2919</v>
      </c>
      <c r="K2298" s="3">
        <v>30</v>
      </c>
      <c r="L2298" s="3" t="s">
        <v>5549</v>
      </c>
      <c r="M2298" s="3" t="str">
        <f>HYPERLINK("http://ictvonline.org/taxonomyHistory.asp?taxnode_id=20152866","ICTVonline=20152866")</f>
        <v>ICTVonline=20152866</v>
      </c>
    </row>
    <row r="2299" spans="1:13" x14ac:dyDescent="0.15">
      <c r="A2299" s="1" t="s">
        <v>934</v>
      </c>
      <c r="B2299" s="1" t="s">
        <v>2228</v>
      </c>
      <c r="D2299" s="1" t="s">
        <v>2229</v>
      </c>
      <c r="E2299" s="1" t="s">
        <v>1173</v>
      </c>
      <c r="F2299" s="3">
        <v>0</v>
      </c>
      <c r="I2299" s="24" t="s">
        <v>5392</v>
      </c>
      <c r="J2299" s="24" t="s">
        <v>2920</v>
      </c>
      <c r="K2299" s="3">
        <v>16</v>
      </c>
      <c r="L2299" s="3" t="s">
        <v>2940</v>
      </c>
      <c r="M2299" s="3" t="str">
        <f>HYPERLINK("http://ictvonline.org/taxonomyHistory.asp?taxnode_id=20152807","ICTVonline=20152807")</f>
        <v>ICTVonline=20152807</v>
      </c>
    </row>
    <row r="2300" spans="1:13" x14ac:dyDescent="0.15">
      <c r="A2300" s="1" t="s">
        <v>934</v>
      </c>
      <c r="B2300" s="1" t="s">
        <v>2228</v>
      </c>
      <c r="D2300" s="1" t="s">
        <v>2229</v>
      </c>
      <c r="E2300" s="1" t="s">
        <v>2625</v>
      </c>
      <c r="F2300" s="3">
        <v>0</v>
      </c>
      <c r="I2300" s="24" t="s">
        <v>5392</v>
      </c>
      <c r="J2300" s="24" t="s">
        <v>2919</v>
      </c>
      <c r="K2300" s="3">
        <v>28</v>
      </c>
      <c r="L2300" s="3" t="s">
        <v>7005</v>
      </c>
      <c r="M2300" s="3" t="str">
        <f>HYPERLINK("http://ictvonline.org/taxonomyHistory.asp?taxnode_id=20152808","ICTVonline=20152808")</f>
        <v>ICTVonline=20152808</v>
      </c>
    </row>
    <row r="2301" spans="1:13" x14ac:dyDescent="0.15">
      <c r="A2301" s="1" t="s">
        <v>934</v>
      </c>
      <c r="B2301" s="1" t="s">
        <v>2228</v>
      </c>
      <c r="D2301" s="1" t="s">
        <v>2229</v>
      </c>
      <c r="E2301" s="1" t="s">
        <v>2626</v>
      </c>
      <c r="F2301" s="3">
        <v>0</v>
      </c>
      <c r="I2301" s="24" t="s">
        <v>5392</v>
      </c>
      <c r="J2301" s="24" t="s">
        <v>2919</v>
      </c>
      <c r="K2301" s="3">
        <v>28</v>
      </c>
      <c r="L2301" s="3" t="s">
        <v>7005</v>
      </c>
      <c r="M2301" s="3" t="str">
        <f>HYPERLINK("http://ictvonline.org/taxonomyHistory.asp?taxnode_id=20152809","ICTVonline=20152809")</f>
        <v>ICTVonline=20152809</v>
      </c>
    </row>
    <row r="2302" spans="1:13" x14ac:dyDescent="0.15">
      <c r="A2302" s="1" t="s">
        <v>934</v>
      </c>
      <c r="B2302" s="1" t="s">
        <v>2228</v>
      </c>
      <c r="D2302" s="1" t="s">
        <v>2229</v>
      </c>
      <c r="E2302" s="1" t="s">
        <v>2627</v>
      </c>
      <c r="F2302" s="3">
        <v>0</v>
      </c>
      <c r="I2302" s="24" t="s">
        <v>5392</v>
      </c>
      <c r="J2302" s="24" t="s">
        <v>2919</v>
      </c>
      <c r="K2302" s="3">
        <v>28</v>
      </c>
      <c r="L2302" s="3" t="s">
        <v>7005</v>
      </c>
      <c r="M2302" s="3" t="str">
        <f>HYPERLINK("http://ictvonline.org/taxonomyHistory.asp?taxnode_id=20152810","ICTVonline=20152810")</f>
        <v>ICTVonline=20152810</v>
      </c>
    </row>
    <row r="2303" spans="1:13" x14ac:dyDescent="0.15">
      <c r="A2303" s="1" t="s">
        <v>934</v>
      </c>
      <c r="B2303" s="1" t="s">
        <v>2228</v>
      </c>
      <c r="D2303" s="1" t="s">
        <v>1174</v>
      </c>
      <c r="E2303" s="1" t="s">
        <v>1175</v>
      </c>
      <c r="F2303" s="3">
        <v>1</v>
      </c>
      <c r="I2303" s="24" t="s">
        <v>5392</v>
      </c>
      <c r="J2303" s="24" t="s">
        <v>2938</v>
      </c>
      <c r="K2303" s="3">
        <v>18</v>
      </c>
      <c r="L2303" s="3" t="s">
        <v>2929</v>
      </c>
      <c r="M2303" s="3" t="str">
        <f>HYPERLINK("http://ictvonline.org/taxonomyHistory.asp?taxnode_id=20152868","ICTVonline=20152868")</f>
        <v>ICTVonline=20152868</v>
      </c>
    </row>
    <row r="2304" spans="1:13" x14ac:dyDescent="0.15">
      <c r="A2304" s="1" t="s">
        <v>934</v>
      </c>
      <c r="B2304" s="1" t="s">
        <v>2228</v>
      </c>
      <c r="D2304" s="1" t="s">
        <v>1174</v>
      </c>
      <c r="E2304" s="1" t="s">
        <v>693</v>
      </c>
      <c r="F2304" s="3">
        <v>0</v>
      </c>
      <c r="I2304" s="24" t="s">
        <v>5392</v>
      </c>
      <c r="J2304" s="24" t="s">
        <v>2919</v>
      </c>
      <c r="K2304" s="3">
        <v>18</v>
      </c>
      <c r="L2304" s="3" t="s">
        <v>2929</v>
      </c>
      <c r="M2304" s="3" t="str">
        <f>HYPERLINK("http://ictvonline.org/taxonomyHistory.asp?taxnode_id=20152869","ICTVonline=20152869")</f>
        <v>ICTVonline=20152869</v>
      </c>
    </row>
    <row r="2305" spans="1:13" x14ac:dyDescent="0.15">
      <c r="A2305" s="1" t="s">
        <v>934</v>
      </c>
      <c r="B2305" s="1" t="s">
        <v>2228</v>
      </c>
      <c r="D2305" s="1" t="s">
        <v>1174</v>
      </c>
      <c r="E2305" s="1" t="s">
        <v>2392</v>
      </c>
      <c r="F2305" s="3">
        <v>0</v>
      </c>
      <c r="I2305" s="24" t="s">
        <v>5392</v>
      </c>
      <c r="J2305" s="24" t="s">
        <v>2919</v>
      </c>
      <c r="K2305" s="3">
        <v>27</v>
      </c>
      <c r="L2305" s="3" t="s">
        <v>7004</v>
      </c>
      <c r="M2305" s="3" t="str">
        <f>HYPERLINK("http://ictvonline.org/taxonomyHistory.asp?taxnode_id=20152870","ICTVonline=20152870")</f>
        <v>ICTVonline=20152870</v>
      </c>
    </row>
    <row r="2306" spans="1:13" x14ac:dyDescent="0.15">
      <c r="A2306" s="1" t="s">
        <v>934</v>
      </c>
      <c r="B2306" s="1" t="s">
        <v>2228</v>
      </c>
      <c r="D2306" s="1" t="s">
        <v>2393</v>
      </c>
      <c r="E2306" s="1" t="s">
        <v>2394</v>
      </c>
      <c r="F2306" s="3">
        <v>1</v>
      </c>
      <c r="I2306" s="24" t="s">
        <v>5392</v>
      </c>
      <c r="J2306" s="24" t="s">
        <v>2921</v>
      </c>
      <c r="K2306" s="3">
        <v>27</v>
      </c>
      <c r="L2306" s="3" t="s">
        <v>7004</v>
      </c>
      <c r="M2306" s="3" t="str">
        <f>HYPERLINK("http://ictvonline.org/taxonomyHistory.asp?taxnode_id=20152872","ICTVonline=20152872")</f>
        <v>ICTVonline=20152872</v>
      </c>
    </row>
    <row r="2307" spans="1:13" x14ac:dyDescent="0.15">
      <c r="A2307" s="1" t="s">
        <v>934</v>
      </c>
      <c r="B2307" s="1" t="s">
        <v>2228</v>
      </c>
      <c r="D2307" s="1" t="s">
        <v>694</v>
      </c>
      <c r="E2307" s="1" t="s">
        <v>5605</v>
      </c>
      <c r="F2307" s="3">
        <v>0</v>
      </c>
      <c r="G2307" s="24" t="s">
        <v>7632</v>
      </c>
      <c r="H2307" s="24" t="s">
        <v>5606</v>
      </c>
      <c r="I2307" s="24" t="s">
        <v>5392</v>
      </c>
      <c r="J2307" s="24" t="s">
        <v>2919</v>
      </c>
      <c r="K2307" s="3">
        <v>30</v>
      </c>
      <c r="L2307" s="3" t="s">
        <v>7016</v>
      </c>
      <c r="M2307" s="3" t="str">
        <f>HYPERLINK("http://ictvonline.org/taxonomyHistory.asp?taxnode_id=20152904","ICTVonline=20152904")</f>
        <v>ICTVonline=20152904</v>
      </c>
    </row>
    <row r="2308" spans="1:13" x14ac:dyDescent="0.15">
      <c r="A2308" s="1" t="s">
        <v>934</v>
      </c>
      <c r="B2308" s="1" t="s">
        <v>2228</v>
      </c>
      <c r="D2308" s="1" t="s">
        <v>694</v>
      </c>
      <c r="E2308" s="1" t="s">
        <v>2395</v>
      </c>
      <c r="F2308" s="3">
        <v>0</v>
      </c>
      <c r="I2308" s="24" t="s">
        <v>5392</v>
      </c>
      <c r="J2308" s="24" t="s">
        <v>2919</v>
      </c>
      <c r="K2308" s="3">
        <v>27</v>
      </c>
      <c r="L2308" s="3" t="s">
        <v>7017</v>
      </c>
      <c r="M2308" s="3" t="str">
        <f>HYPERLINK("http://ictvonline.org/taxonomyHistory.asp?taxnode_id=20152874","ICTVonline=20152874")</f>
        <v>ICTVonline=20152874</v>
      </c>
    </row>
    <row r="2309" spans="1:13" x14ac:dyDescent="0.15">
      <c r="A2309" s="1" t="s">
        <v>934</v>
      </c>
      <c r="B2309" s="1" t="s">
        <v>2228</v>
      </c>
      <c r="D2309" s="1" t="s">
        <v>694</v>
      </c>
      <c r="E2309" s="1" t="s">
        <v>2396</v>
      </c>
      <c r="F2309" s="3">
        <v>0</v>
      </c>
      <c r="I2309" s="24" t="s">
        <v>5392</v>
      </c>
      <c r="J2309" s="24" t="s">
        <v>2919</v>
      </c>
      <c r="K2309" s="3">
        <v>27</v>
      </c>
      <c r="L2309" s="3" t="s">
        <v>7017</v>
      </c>
      <c r="M2309" s="3" t="str">
        <f>HYPERLINK("http://ictvonline.org/taxonomyHistory.asp?taxnode_id=20152875","ICTVonline=20152875")</f>
        <v>ICTVonline=20152875</v>
      </c>
    </row>
    <row r="2310" spans="1:13" x14ac:dyDescent="0.15">
      <c r="A2310" s="1" t="s">
        <v>934</v>
      </c>
      <c r="B2310" s="1" t="s">
        <v>2228</v>
      </c>
      <c r="D2310" s="1" t="s">
        <v>694</v>
      </c>
      <c r="E2310" s="1" t="s">
        <v>2397</v>
      </c>
      <c r="F2310" s="3">
        <v>0</v>
      </c>
      <c r="I2310" s="24" t="s">
        <v>5392</v>
      </c>
      <c r="J2310" s="24" t="s">
        <v>2919</v>
      </c>
      <c r="K2310" s="3">
        <v>27</v>
      </c>
      <c r="L2310" s="3" t="s">
        <v>7017</v>
      </c>
      <c r="M2310" s="3" t="str">
        <f>HYPERLINK("http://ictvonline.org/taxonomyHistory.asp?taxnode_id=20152876","ICTVonline=20152876")</f>
        <v>ICTVonline=20152876</v>
      </c>
    </row>
    <row r="2311" spans="1:13" x14ac:dyDescent="0.15">
      <c r="A2311" s="1" t="s">
        <v>934</v>
      </c>
      <c r="B2311" s="1" t="s">
        <v>2228</v>
      </c>
      <c r="D2311" s="1" t="s">
        <v>694</v>
      </c>
      <c r="E2311" s="1" t="s">
        <v>2398</v>
      </c>
      <c r="F2311" s="3">
        <v>0</v>
      </c>
      <c r="I2311" s="24" t="s">
        <v>5392</v>
      </c>
      <c r="J2311" s="24" t="s">
        <v>2919</v>
      </c>
      <c r="K2311" s="3">
        <v>27</v>
      </c>
      <c r="L2311" s="3" t="s">
        <v>7017</v>
      </c>
      <c r="M2311" s="3" t="str">
        <f>HYPERLINK("http://ictvonline.org/taxonomyHistory.asp?taxnode_id=20152877","ICTVonline=20152877")</f>
        <v>ICTVonline=20152877</v>
      </c>
    </row>
    <row r="2312" spans="1:13" x14ac:dyDescent="0.15">
      <c r="A2312" s="1" t="s">
        <v>934</v>
      </c>
      <c r="B2312" s="1" t="s">
        <v>2228</v>
      </c>
      <c r="D2312" s="1" t="s">
        <v>694</v>
      </c>
      <c r="E2312" s="1" t="s">
        <v>2399</v>
      </c>
      <c r="F2312" s="3">
        <v>0</v>
      </c>
      <c r="I2312" s="24" t="s">
        <v>5392</v>
      </c>
      <c r="J2312" s="24" t="s">
        <v>2919</v>
      </c>
      <c r="K2312" s="3">
        <v>27</v>
      </c>
      <c r="L2312" s="3" t="s">
        <v>7017</v>
      </c>
      <c r="M2312" s="3" t="str">
        <f>HYPERLINK("http://ictvonline.org/taxonomyHistory.asp?taxnode_id=20152878","ICTVonline=20152878")</f>
        <v>ICTVonline=20152878</v>
      </c>
    </row>
    <row r="2313" spans="1:13" x14ac:dyDescent="0.15">
      <c r="A2313" s="1" t="s">
        <v>934</v>
      </c>
      <c r="B2313" s="1" t="s">
        <v>2228</v>
      </c>
      <c r="D2313" s="1" t="s">
        <v>694</v>
      </c>
      <c r="E2313" s="1" t="s">
        <v>2400</v>
      </c>
      <c r="F2313" s="3">
        <v>0</v>
      </c>
      <c r="I2313" s="24" t="s">
        <v>5392</v>
      </c>
      <c r="J2313" s="24" t="s">
        <v>2919</v>
      </c>
      <c r="K2313" s="3">
        <v>27</v>
      </c>
      <c r="L2313" s="3" t="s">
        <v>7017</v>
      </c>
      <c r="M2313" s="3" t="str">
        <f>HYPERLINK("http://ictvonline.org/taxonomyHistory.asp?taxnode_id=20152879","ICTVonline=20152879")</f>
        <v>ICTVonline=20152879</v>
      </c>
    </row>
    <row r="2314" spans="1:13" x14ac:dyDescent="0.15">
      <c r="A2314" s="1" t="s">
        <v>934</v>
      </c>
      <c r="B2314" s="1" t="s">
        <v>2228</v>
      </c>
      <c r="D2314" s="1" t="s">
        <v>694</v>
      </c>
      <c r="E2314" s="1" t="s">
        <v>1578</v>
      </c>
      <c r="F2314" s="3">
        <v>0</v>
      </c>
      <c r="I2314" s="24" t="s">
        <v>5392</v>
      </c>
      <c r="J2314" s="24" t="s">
        <v>2920</v>
      </c>
      <c r="K2314" s="3">
        <v>16</v>
      </c>
      <c r="L2314" s="3" t="s">
        <v>2940</v>
      </c>
      <c r="M2314" s="3" t="str">
        <f>HYPERLINK("http://ictvonline.org/taxonomyHistory.asp?taxnode_id=20152880","ICTVonline=20152880")</f>
        <v>ICTVonline=20152880</v>
      </c>
    </row>
    <row r="2315" spans="1:13" x14ac:dyDescent="0.15">
      <c r="A2315" s="1" t="s">
        <v>934</v>
      </c>
      <c r="B2315" s="1" t="s">
        <v>2228</v>
      </c>
      <c r="D2315" s="1" t="s">
        <v>694</v>
      </c>
      <c r="E2315" s="1" t="s">
        <v>2401</v>
      </c>
      <c r="F2315" s="3">
        <v>0</v>
      </c>
      <c r="I2315" s="24" t="s">
        <v>5392</v>
      </c>
      <c r="J2315" s="24" t="s">
        <v>2919</v>
      </c>
      <c r="K2315" s="3">
        <v>27</v>
      </c>
      <c r="L2315" s="3" t="s">
        <v>7017</v>
      </c>
      <c r="M2315" s="3" t="str">
        <f>HYPERLINK("http://ictvonline.org/taxonomyHistory.asp?taxnode_id=20152881","ICTVonline=20152881")</f>
        <v>ICTVonline=20152881</v>
      </c>
    </row>
    <row r="2316" spans="1:13" x14ac:dyDescent="0.15">
      <c r="A2316" s="1" t="s">
        <v>934</v>
      </c>
      <c r="B2316" s="1" t="s">
        <v>2228</v>
      </c>
      <c r="D2316" s="1" t="s">
        <v>694</v>
      </c>
      <c r="E2316" s="1" t="s">
        <v>2402</v>
      </c>
      <c r="F2316" s="3">
        <v>0</v>
      </c>
      <c r="I2316" s="24" t="s">
        <v>5392</v>
      </c>
      <c r="J2316" s="24" t="s">
        <v>2919</v>
      </c>
      <c r="K2316" s="3">
        <v>27</v>
      </c>
      <c r="L2316" s="3" t="s">
        <v>7017</v>
      </c>
      <c r="M2316" s="3" t="str">
        <f>HYPERLINK("http://ictvonline.org/taxonomyHistory.asp?taxnode_id=20152882","ICTVonline=20152882")</f>
        <v>ICTVonline=20152882</v>
      </c>
    </row>
    <row r="2317" spans="1:13" x14ac:dyDescent="0.15">
      <c r="A2317" s="1" t="s">
        <v>934</v>
      </c>
      <c r="B2317" s="1" t="s">
        <v>2228</v>
      </c>
      <c r="D2317" s="1" t="s">
        <v>694</v>
      </c>
      <c r="E2317" s="1" t="s">
        <v>1579</v>
      </c>
      <c r="F2317" s="3">
        <v>0</v>
      </c>
      <c r="I2317" s="24" t="s">
        <v>5392</v>
      </c>
      <c r="J2317" s="24" t="s">
        <v>2920</v>
      </c>
      <c r="K2317" s="3">
        <v>16</v>
      </c>
      <c r="L2317" s="3" t="s">
        <v>2940</v>
      </c>
      <c r="M2317" s="3" t="str">
        <f>HYPERLINK("http://ictvonline.org/taxonomyHistory.asp?taxnode_id=20152883","ICTVonline=20152883")</f>
        <v>ICTVonline=20152883</v>
      </c>
    </row>
    <row r="2318" spans="1:13" x14ac:dyDescent="0.15">
      <c r="A2318" s="1" t="s">
        <v>934</v>
      </c>
      <c r="B2318" s="1" t="s">
        <v>2228</v>
      </c>
      <c r="D2318" s="1" t="s">
        <v>694</v>
      </c>
      <c r="E2318" s="1" t="s">
        <v>2403</v>
      </c>
      <c r="F2318" s="3">
        <v>0</v>
      </c>
      <c r="I2318" s="24" t="s">
        <v>5392</v>
      </c>
      <c r="J2318" s="24" t="s">
        <v>2919</v>
      </c>
      <c r="K2318" s="3">
        <v>27</v>
      </c>
      <c r="L2318" s="3" t="s">
        <v>7017</v>
      </c>
      <c r="M2318" s="3" t="str">
        <f>HYPERLINK("http://ictvonline.org/taxonomyHistory.asp?taxnode_id=20152884","ICTVonline=20152884")</f>
        <v>ICTVonline=20152884</v>
      </c>
    </row>
    <row r="2319" spans="1:13" x14ac:dyDescent="0.15">
      <c r="A2319" s="1" t="s">
        <v>934</v>
      </c>
      <c r="B2319" s="1" t="s">
        <v>2228</v>
      </c>
      <c r="D2319" s="1" t="s">
        <v>694</v>
      </c>
      <c r="E2319" s="1" t="s">
        <v>582</v>
      </c>
      <c r="F2319" s="3">
        <v>0</v>
      </c>
      <c r="I2319" s="24" t="s">
        <v>5392</v>
      </c>
      <c r="J2319" s="24" t="s">
        <v>2919</v>
      </c>
      <c r="K2319" s="3">
        <v>25</v>
      </c>
      <c r="L2319" s="3" t="s">
        <v>7018</v>
      </c>
      <c r="M2319" s="3" t="str">
        <f>HYPERLINK("http://ictvonline.org/taxonomyHistory.asp?taxnode_id=20152885","ICTVonline=20152885")</f>
        <v>ICTVonline=20152885</v>
      </c>
    </row>
    <row r="2320" spans="1:13" x14ac:dyDescent="0.15">
      <c r="A2320" s="1" t="s">
        <v>934</v>
      </c>
      <c r="B2320" s="1" t="s">
        <v>2228</v>
      </c>
      <c r="D2320" s="1" t="s">
        <v>694</v>
      </c>
      <c r="E2320" s="1" t="s">
        <v>2404</v>
      </c>
      <c r="F2320" s="3">
        <v>0</v>
      </c>
      <c r="I2320" s="24" t="s">
        <v>5392</v>
      </c>
      <c r="J2320" s="24" t="s">
        <v>2919</v>
      </c>
      <c r="K2320" s="3">
        <v>27</v>
      </c>
      <c r="L2320" s="3" t="s">
        <v>7017</v>
      </c>
      <c r="M2320" s="3" t="str">
        <f>HYPERLINK("http://ictvonline.org/taxonomyHistory.asp?taxnode_id=20152886","ICTVonline=20152886")</f>
        <v>ICTVonline=20152886</v>
      </c>
    </row>
    <row r="2321" spans="1:13" x14ac:dyDescent="0.15">
      <c r="A2321" s="1" t="s">
        <v>934</v>
      </c>
      <c r="B2321" s="1" t="s">
        <v>2228</v>
      </c>
      <c r="D2321" s="1" t="s">
        <v>694</v>
      </c>
      <c r="E2321" s="1" t="s">
        <v>1580</v>
      </c>
      <c r="F2321" s="3">
        <v>1</v>
      </c>
      <c r="I2321" s="24" t="s">
        <v>5392</v>
      </c>
      <c r="J2321" s="24" t="s">
        <v>2920</v>
      </c>
      <c r="K2321" s="3">
        <v>16</v>
      </c>
      <c r="L2321" s="3" t="s">
        <v>2940</v>
      </c>
      <c r="M2321" s="3" t="str">
        <f>HYPERLINK("http://ictvonline.org/taxonomyHistory.asp?taxnode_id=20152887","ICTVonline=20152887")</f>
        <v>ICTVonline=20152887</v>
      </c>
    </row>
    <row r="2322" spans="1:13" x14ac:dyDescent="0.15">
      <c r="A2322" s="1" t="s">
        <v>934</v>
      </c>
      <c r="B2322" s="1" t="s">
        <v>2228</v>
      </c>
      <c r="D2322" s="1" t="s">
        <v>694</v>
      </c>
      <c r="E2322" s="1" t="s">
        <v>381</v>
      </c>
      <c r="F2322" s="3">
        <v>0</v>
      </c>
      <c r="I2322" s="24" t="s">
        <v>5392</v>
      </c>
      <c r="J2322" s="24" t="s">
        <v>2920</v>
      </c>
      <c r="K2322" s="3">
        <v>16</v>
      </c>
      <c r="L2322" s="3" t="s">
        <v>2940</v>
      </c>
      <c r="M2322" s="3" t="str">
        <f>HYPERLINK("http://ictvonline.org/taxonomyHistory.asp?taxnode_id=20152888","ICTVonline=20152888")</f>
        <v>ICTVonline=20152888</v>
      </c>
    </row>
    <row r="2323" spans="1:13" x14ac:dyDescent="0.15">
      <c r="A2323" s="1" t="s">
        <v>934</v>
      </c>
      <c r="B2323" s="1" t="s">
        <v>2228</v>
      </c>
      <c r="D2323" s="1" t="s">
        <v>694</v>
      </c>
      <c r="E2323" s="1" t="s">
        <v>2405</v>
      </c>
      <c r="F2323" s="3">
        <v>0</v>
      </c>
      <c r="I2323" s="24" t="s">
        <v>5392</v>
      </c>
      <c r="J2323" s="24" t="s">
        <v>2919</v>
      </c>
      <c r="K2323" s="3">
        <v>27</v>
      </c>
      <c r="L2323" s="3" t="s">
        <v>7017</v>
      </c>
      <c r="M2323" s="3" t="str">
        <f>HYPERLINK("http://ictvonline.org/taxonomyHistory.asp?taxnode_id=20152889","ICTVonline=20152889")</f>
        <v>ICTVonline=20152889</v>
      </c>
    </row>
    <row r="2324" spans="1:13" x14ac:dyDescent="0.15">
      <c r="A2324" s="1" t="s">
        <v>934</v>
      </c>
      <c r="B2324" s="1" t="s">
        <v>2228</v>
      </c>
      <c r="D2324" s="1" t="s">
        <v>694</v>
      </c>
      <c r="E2324" s="1" t="s">
        <v>382</v>
      </c>
      <c r="F2324" s="3">
        <v>0</v>
      </c>
      <c r="I2324" s="24" t="s">
        <v>5392</v>
      </c>
      <c r="J2324" s="24" t="s">
        <v>2920</v>
      </c>
      <c r="K2324" s="3">
        <v>16</v>
      </c>
      <c r="L2324" s="3" t="s">
        <v>2940</v>
      </c>
      <c r="M2324" s="3" t="str">
        <f>HYPERLINK("http://ictvonline.org/taxonomyHistory.asp?taxnode_id=20152890","ICTVonline=20152890")</f>
        <v>ICTVonline=20152890</v>
      </c>
    </row>
    <row r="2325" spans="1:13" x14ac:dyDescent="0.15">
      <c r="A2325" s="1" t="s">
        <v>934</v>
      </c>
      <c r="B2325" s="1" t="s">
        <v>2228</v>
      </c>
      <c r="D2325" s="1" t="s">
        <v>694</v>
      </c>
      <c r="E2325" s="1" t="s">
        <v>2406</v>
      </c>
      <c r="F2325" s="3">
        <v>0</v>
      </c>
      <c r="I2325" s="24" t="s">
        <v>5392</v>
      </c>
      <c r="J2325" s="24" t="s">
        <v>2919</v>
      </c>
      <c r="K2325" s="3">
        <v>27</v>
      </c>
      <c r="L2325" s="3" t="s">
        <v>7017</v>
      </c>
      <c r="M2325" s="3" t="str">
        <f>HYPERLINK("http://ictvonline.org/taxonomyHistory.asp?taxnode_id=20152891","ICTVonline=20152891")</f>
        <v>ICTVonline=20152891</v>
      </c>
    </row>
    <row r="2326" spans="1:13" x14ac:dyDescent="0.15">
      <c r="A2326" s="1" t="s">
        <v>934</v>
      </c>
      <c r="B2326" s="1" t="s">
        <v>2228</v>
      </c>
      <c r="D2326" s="1" t="s">
        <v>694</v>
      </c>
      <c r="E2326" s="1" t="s">
        <v>2407</v>
      </c>
      <c r="F2326" s="3">
        <v>0</v>
      </c>
      <c r="I2326" s="24" t="s">
        <v>5392</v>
      </c>
      <c r="J2326" s="24" t="s">
        <v>2919</v>
      </c>
      <c r="K2326" s="3">
        <v>27</v>
      </c>
      <c r="L2326" s="3" t="s">
        <v>7017</v>
      </c>
      <c r="M2326" s="3" t="str">
        <f>HYPERLINK("http://ictvonline.org/taxonomyHistory.asp?taxnode_id=20152892","ICTVonline=20152892")</f>
        <v>ICTVonline=20152892</v>
      </c>
    </row>
    <row r="2327" spans="1:13" x14ac:dyDescent="0.15">
      <c r="A2327" s="1" t="s">
        <v>934</v>
      </c>
      <c r="B2327" s="1" t="s">
        <v>2228</v>
      </c>
      <c r="D2327" s="1" t="s">
        <v>694</v>
      </c>
      <c r="E2327" s="1" t="s">
        <v>2408</v>
      </c>
      <c r="F2327" s="3">
        <v>0</v>
      </c>
      <c r="I2327" s="24" t="s">
        <v>5392</v>
      </c>
      <c r="J2327" s="24" t="s">
        <v>2919</v>
      </c>
      <c r="K2327" s="3">
        <v>27</v>
      </c>
      <c r="L2327" s="3" t="s">
        <v>7017</v>
      </c>
      <c r="M2327" s="3" t="str">
        <f>HYPERLINK("http://ictvonline.org/taxonomyHistory.asp?taxnode_id=20152893","ICTVonline=20152893")</f>
        <v>ICTVonline=20152893</v>
      </c>
    </row>
    <row r="2328" spans="1:13" x14ac:dyDescent="0.15">
      <c r="A2328" s="1" t="s">
        <v>934</v>
      </c>
      <c r="B2328" s="1" t="s">
        <v>2228</v>
      </c>
      <c r="D2328" s="1" t="s">
        <v>694</v>
      </c>
      <c r="E2328" s="1" t="s">
        <v>2409</v>
      </c>
      <c r="F2328" s="3">
        <v>0</v>
      </c>
      <c r="I2328" s="24" t="s">
        <v>5392</v>
      </c>
      <c r="J2328" s="24" t="s">
        <v>2919</v>
      </c>
      <c r="K2328" s="3">
        <v>27</v>
      </c>
      <c r="L2328" s="3" t="s">
        <v>7017</v>
      </c>
      <c r="M2328" s="3" t="str">
        <f>HYPERLINK("http://ictvonline.org/taxonomyHistory.asp?taxnode_id=20152894","ICTVonline=20152894")</f>
        <v>ICTVonline=20152894</v>
      </c>
    </row>
    <row r="2329" spans="1:13" x14ac:dyDescent="0.15">
      <c r="A2329" s="1" t="s">
        <v>934</v>
      </c>
      <c r="B2329" s="1" t="s">
        <v>2228</v>
      </c>
      <c r="D2329" s="1" t="s">
        <v>694</v>
      </c>
      <c r="E2329" s="1" t="s">
        <v>2410</v>
      </c>
      <c r="F2329" s="3">
        <v>0</v>
      </c>
      <c r="I2329" s="24" t="s">
        <v>5392</v>
      </c>
      <c r="J2329" s="24" t="s">
        <v>2919</v>
      </c>
      <c r="K2329" s="3">
        <v>27</v>
      </c>
      <c r="L2329" s="3" t="s">
        <v>7017</v>
      </c>
      <c r="M2329" s="3" t="str">
        <f>HYPERLINK("http://ictvonline.org/taxonomyHistory.asp?taxnode_id=20152895","ICTVonline=20152895")</f>
        <v>ICTVonline=20152895</v>
      </c>
    </row>
    <row r="2330" spans="1:13" x14ac:dyDescent="0.15">
      <c r="A2330" s="1" t="s">
        <v>934</v>
      </c>
      <c r="B2330" s="1" t="s">
        <v>2228</v>
      </c>
      <c r="D2330" s="1" t="s">
        <v>694</v>
      </c>
      <c r="E2330" s="1" t="s">
        <v>383</v>
      </c>
      <c r="F2330" s="3">
        <v>0</v>
      </c>
      <c r="I2330" s="24" t="s">
        <v>5392</v>
      </c>
      <c r="J2330" s="24" t="s">
        <v>2919</v>
      </c>
      <c r="K2330" s="3">
        <v>20</v>
      </c>
      <c r="L2330" s="3" t="s">
        <v>2925</v>
      </c>
      <c r="M2330" s="3" t="str">
        <f>HYPERLINK("http://ictvonline.org/taxonomyHistory.asp?taxnode_id=20152896","ICTVonline=20152896")</f>
        <v>ICTVonline=20152896</v>
      </c>
    </row>
    <row r="2331" spans="1:13" x14ac:dyDescent="0.15">
      <c r="A2331" s="1" t="s">
        <v>934</v>
      </c>
      <c r="B2331" s="1" t="s">
        <v>2228</v>
      </c>
      <c r="D2331" s="1" t="s">
        <v>694</v>
      </c>
      <c r="E2331" s="1" t="s">
        <v>384</v>
      </c>
      <c r="F2331" s="3">
        <v>0</v>
      </c>
      <c r="I2331" s="24" t="s">
        <v>5392</v>
      </c>
      <c r="J2331" s="24" t="s">
        <v>2919</v>
      </c>
      <c r="K2331" s="3">
        <v>20</v>
      </c>
      <c r="L2331" s="3" t="s">
        <v>2925</v>
      </c>
      <c r="M2331" s="3" t="str">
        <f>HYPERLINK("http://ictvonline.org/taxonomyHistory.asp?taxnode_id=20152897","ICTVonline=20152897")</f>
        <v>ICTVonline=20152897</v>
      </c>
    </row>
    <row r="2332" spans="1:13" x14ac:dyDescent="0.15">
      <c r="A2332" s="1" t="s">
        <v>934</v>
      </c>
      <c r="B2332" s="1" t="s">
        <v>2228</v>
      </c>
      <c r="D2332" s="1" t="s">
        <v>694</v>
      </c>
      <c r="E2332" s="1" t="s">
        <v>385</v>
      </c>
      <c r="F2332" s="3">
        <v>0</v>
      </c>
      <c r="I2332" s="24" t="s">
        <v>5392</v>
      </c>
      <c r="J2332" s="24" t="s">
        <v>2920</v>
      </c>
      <c r="K2332" s="3">
        <v>16</v>
      </c>
      <c r="L2332" s="3" t="s">
        <v>2940</v>
      </c>
      <c r="M2332" s="3" t="str">
        <f>HYPERLINK("http://ictvonline.org/taxonomyHistory.asp?taxnode_id=20152898","ICTVonline=20152898")</f>
        <v>ICTVonline=20152898</v>
      </c>
    </row>
    <row r="2333" spans="1:13" x14ac:dyDescent="0.15">
      <c r="A2333" s="1" t="s">
        <v>934</v>
      </c>
      <c r="B2333" s="1" t="s">
        <v>2228</v>
      </c>
      <c r="D2333" s="1" t="s">
        <v>694</v>
      </c>
      <c r="E2333" s="1" t="s">
        <v>5607</v>
      </c>
      <c r="F2333" s="3">
        <v>0</v>
      </c>
      <c r="G2333" s="24" t="s">
        <v>7633</v>
      </c>
      <c r="H2333" s="24" t="s">
        <v>5608</v>
      </c>
      <c r="I2333" s="24" t="s">
        <v>5392</v>
      </c>
      <c r="J2333" s="24" t="s">
        <v>2919</v>
      </c>
      <c r="K2333" s="3">
        <v>30</v>
      </c>
      <c r="L2333" s="3" t="s">
        <v>7016</v>
      </c>
      <c r="M2333" s="3" t="str">
        <f>HYPERLINK("http://ictvonline.org/taxonomyHistory.asp?taxnode_id=20152903","ICTVonline=20152903")</f>
        <v>ICTVonline=20152903</v>
      </c>
    </row>
    <row r="2334" spans="1:13" x14ac:dyDescent="0.15">
      <c r="A2334" s="1" t="s">
        <v>934</v>
      </c>
      <c r="B2334" s="1" t="s">
        <v>2228</v>
      </c>
      <c r="D2334" s="1" t="s">
        <v>694</v>
      </c>
      <c r="E2334" s="1" t="s">
        <v>5609</v>
      </c>
      <c r="F2334" s="3">
        <v>0</v>
      </c>
      <c r="G2334" s="24" t="s">
        <v>7634</v>
      </c>
      <c r="H2334" s="24" t="s">
        <v>5610</v>
      </c>
      <c r="I2334" s="24" t="s">
        <v>5392</v>
      </c>
      <c r="J2334" s="24" t="s">
        <v>2919</v>
      </c>
      <c r="K2334" s="3">
        <v>30</v>
      </c>
      <c r="L2334" s="3" t="s">
        <v>7016</v>
      </c>
      <c r="M2334" s="3" t="str">
        <f>HYPERLINK("http://ictvonline.org/taxonomyHistory.asp?taxnode_id=20152905","ICTVonline=20152905")</f>
        <v>ICTVonline=20152905</v>
      </c>
    </row>
    <row r="2335" spans="1:13" x14ac:dyDescent="0.15">
      <c r="A2335" s="1" t="s">
        <v>934</v>
      </c>
      <c r="B2335" s="1" t="s">
        <v>2228</v>
      </c>
      <c r="D2335" s="1" t="s">
        <v>694</v>
      </c>
      <c r="E2335" s="1" t="s">
        <v>386</v>
      </c>
      <c r="F2335" s="3">
        <v>0</v>
      </c>
      <c r="I2335" s="24" t="s">
        <v>5392</v>
      </c>
      <c r="J2335" s="24" t="s">
        <v>2920</v>
      </c>
      <c r="K2335" s="3">
        <v>16</v>
      </c>
      <c r="L2335" s="3" t="s">
        <v>2940</v>
      </c>
      <c r="M2335" s="3" t="str">
        <f>HYPERLINK("http://ictvonline.org/taxonomyHistory.asp?taxnode_id=20152899","ICTVonline=20152899")</f>
        <v>ICTVonline=20152899</v>
      </c>
    </row>
    <row r="2336" spans="1:13" x14ac:dyDescent="0.15">
      <c r="A2336" s="1" t="s">
        <v>934</v>
      </c>
      <c r="B2336" s="1" t="s">
        <v>2228</v>
      </c>
      <c r="D2336" s="1" t="s">
        <v>694</v>
      </c>
      <c r="E2336" s="1" t="s">
        <v>583</v>
      </c>
      <c r="F2336" s="3">
        <v>0</v>
      </c>
      <c r="I2336" s="24" t="s">
        <v>5392</v>
      </c>
      <c r="J2336" s="24" t="s">
        <v>2919</v>
      </c>
      <c r="K2336" s="3">
        <v>25</v>
      </c>
      <c r="L2336" s="3" t="s">
        <v>7018</v>
      </c>
      <c r="M2336" s="3" t="str">
        <f>HYPERLINK("http://ictvonline.org/taxonomyHistory.asp?taxnode_id=20152900","ICTVonline=20152900")</f>
        <v>ICTVonline=20152900</v>
      </c>
    </row>
    <row r="2337" spans="1:13" x14ac:dyDescent="0.15">
      <c r="A2337" s="1" t="s">
        <v>934</v>
      </c>
      <c r="B2337" s="1" t="s">
        <v>2228</v>
      </c>
      <c r="D2337" s="1" t="s">
        <v>694</v>
      </c>
      <c r="E2337" s="1" t="s">
        <v>2411</v>
      </c>
      <c r="F2337" s="3">
        <v>0</v>
      </c>
      <c r="I2337" s="24" t="s">
        <v>5392</v>
      </c>
      <c r="J2337" s="24" t="s">
        <v>2919</v>
      </c>
      <c r="K2337" s="3">
        <v>27</v>
      </c>
      <c r="L2337" s="3" t="s">
        <v>7017</v>
      </c>
      <c r="M2337" s="3" t="str">
        <f>HYPERLINK("http://ictvonline.org/taxonomyHistory.asp?taxnode_id=20152901","ICTVonline=20152901")</f>
        <v>ICTVonline=20152901</v>
      </c>
    </row>
    <row r="2338" spans="1:13" x14ac:dyDescent="0.15">
      <c r="A2338" s="1" t="s">
        <v>934</v>
      </c>
      <c r="B2338" s="1" t="s">
        <v>2228</v>
      </c>
      <c r="D2338" s="1" t="s">
        <v>694</v>
      </c>
      <c r="E2338" s="1" t="s">
        <v>387</v>
      </c>
      <c r="F2338" s="3">
        <v>0</v>
      </c>
      <c r="I2338" s="24" t="s">
        <v>5392</v>
      </c>
      <c r="J2338" s="24" t="s">
        <v>2920</v>
      </c>
      <c r="K2338" s="3">
        <v>16</v>
      </c>
      <c r="L2338" s="3" t="s">
        <v>2940</v>
      </c>
      <c r="M2338" s="3" t="str">
        <f>HYPERLINK("http://ictvonline.org/taxonomyHistory.asp?taxnode_id=20152902","ICTVonline=20152902")</f>
        <v>ICTVonline=20152902</v>
      </c>
    </row>
    <row r="2339" spans="1:13" x14ac:dyDescent="0.15">
      <c r="A2339" s="1" t="s">
        <v>934</v>
      </c>
      <c r="B2339" s="1" t="s">
        <v>2228</v>
      </c>
      <c r="D2339" s="1" t="s">
        <v>388</v>
      </c>
      <c r="E2339" s="1" t="s">
        <v>389</v>
      </c>
      <c r="F2339" s="3">
        <v>1</v>
      </c>
      <c r="I2339" s="24" t="s">
        <v>5392</v>
      </c>
      <c r="J2339" s="24" t="s">
        <v>2922</v>
      </c>
      <c r="K2339" s="3">
        <v>19</v>
      </c>
      <c r="L2339" s="3" t="s">
        <v>2942</v>
      </c>
      <c r="M2339" s="3" t="str">
        <f>HYPERLINK("http://ictvonline.org/taxonomyHistory.asp?taxnode_id=20152907","ICTVonline=20152907")</f>
        <v>ICTVonline=20152907</v>
      </c>
    </row>
    <row r="2340" spans="1:13" x14ac:dyDescent="0.15">
      <c r="A2340" s="1" t="s">
        <v>934</v>
      </c>
      <c r="B2340" s="1" t="s">
        <v>2228</v>
      </c>
      <c r="D2340" s="1" t="s">
        <v>2412</v>
      </c>
      <c r="E2340" s="1" t="s">
        <v>2413</v>
      </c>
      <c r="F2340" s="3">
        <v>1</v>
      </c>
      <c r="I2340" s="24" t="s">
        <v>5392</v>
      </c>
      <c r="J2340" s="24" t="s">
        <v>2921</v>
      </c>
      <c r="K2340" s="3">
        <v>27</v>
      </c>
      <c r="L2340" s="3" t="s">
        <v>7004</v>
      </c>
      <c r="M2340" s="3" t="str">
        <f>HYPERLINK("http://ictvonline.org/taxonomyHistory.asp?taxnode_id=20152909","ICTVonline=20152909")</f>
        <v>ICTVonline=20152909</v>
      </c>
    </row>
    <row r="2341" spans="1:13" x14ac:dyDescent="0.15">
      <c r="A2341" s="1" t="s">
        <v>934</v>
      </c>
      <c r="B2341" s="1" t="s">
        <v>5611</v>
      </c>
      <c r="D2341" s="1" t="s">
        <v>5612</v>
      </c>
      <c r="E2341" s="1" t="s">
        <v>5613</v>
      </c>
      <c r="F2341" s="3">
        <v>1</v>
      </c>
      <c r="G2341" s="24" t="s">
        <v>5614</v>
      </c>
      <c r="H2341" s="24" t="s">
        <v>5615</v>
      </c>
      <c r="I2341" s="24" t="s">
        <v>3274</v>
      </c>
      <c r="J2341" s="24" t="s">
        <v>2919</v>
      </c>
      <c r="K2341" s="3">
        <v>30</v>
      </c>
      <c r="L2341" s="3" t="s">
        <v>7019</v>
      </c>
      <c r="M2341" s="3" t="str">
        <f>HYPERLINK("http://ictvonline.org/taxonomyHistory.asp?taxnode_id=20154640","ICTVonline=20154640")</f>
        <v>ICTVonline=20154640</v>
      </c>
    </row>
    <row r="2342" spans="1:13" x14ac:dyDescent="0.15">
      <c r="A2342" s="1" t="s">
        <v>934</v>
      </c>
      <c r="B2342" s="1" t="s">
        <v>390</v>
      </c>
      <c r="D2342" s="1" t="s">
        <v>391</v>
      </c>
      <c r="E2342" s="1" t="s">
        <v>392</v>
      </c>
      <c r="F2342" s="3">
        <v>1</v>
      </c>
      <c r="G2342" s="24" t="s">
        <v>5616</v>
      </c>
      <c r="I2342" s="24" t="s">
        <v>2965</v>
      </c>
      <c r="J2342" s="24" t="s">
        <v>2921</v>
      </c>
      <c r="K2342" s="3">
        <v>24</v>
      </c>
      <c r="L2342" s="3" t="s">
        <v>7020</v>
      </c>
      <c r="M2342" s="3" t="str">
        <f>HYPERLINK("http://ictvonline.org/taxonomyHistory.asp?taxnode_id=20152913","ICTVonline=20152913")</f>
        <v>ICTVonline=20152913</v>
      </c>
    </row>
    <row r="2343" spans="1:13" x14ac:dyDescent="0.15">
      <c r="A2343" s="1" t="s">
        <v>934</v>
      </c>
      <c r="B2343" s="1" t="s">
        <v>390</v>
      </c>
      <c r="D2343" s="1" t="s">
        <v>391</v>
      </c>
      <c r="E2343" s="1" t="s">
        <v>692</v>
      </c>
      <c r="F2343" s="3">
        <v>0</v>
      </c>
      <c r="G2343" s="24" t="s">
        <v>5617</v>
      </c>
      <c r="I2343" s="24" t="s">
        <v>2965</v>
      </c>
      <c r="J2343" s="24" t="s">
        <v>2919</v>
      </c>
      <c r="K2343" s="3">
        <v>24</v>
      </c>
      <c r="L2343" s="3" t="s">
        <v>7021</v>
      </c>
      <c r="M2343" s="3" t="str">
        <f>HYPERLINK("http://ictvonline.org/taxonomyHistory.asp?taxnode_id=20152914","ICTVonline=20152914")</f>
        <v>ICTVonline=20152914</v>
      </c>
    </row>
    <row r="2344" spans="1:13" x14ac:dyDescent="0.15">
      <c r="A2344" s="1" t="s">
        <v>934</v>
      </c>
      <c r="B2344" s="1" t="s">
        <v>1552</v>
      </c>
      <c r="D2344" s="1" t="s">
        <v>2414</v>
      </c>
      <c r="E2344" s="1" t="s">
        <v>250</v>
      </c>
      <c r="F2344" s="3">
        <v>1</v>
      </c>
      <c r="I2344" s="24" t="s">
        <v>2965</v>
      </c>
      <c r="J2344" s="24" t="s">
        <v>2920</v>
      </c>
      <c r="K2344" s="3">
        <v>27</v>
      </c>
      <c r="L2344" s="3" t="s">
        <v>7022</v>
      </c>
      <c r="M2344" s="3" t="str">
        <f>HYPERLINK("http://ictvonline.org/taxonomyHistory.asp?taxnode_id=20152918","ICTVonline=20152918")</f>
        <v>ICTVonline=20152918</v>
      </c>
    </row>
    <row r="2345" spans="1:13" x14ac:dyDescent="0.15">
      <c r="A2345" s="1" t="s">
        <v>934</v>
      </c>
      <c r="B2345" s="1" t="s">
        <v>1552</v>
      </c>
      <c r="D2345" s="1" t="s">
        <v>2415</v>
      </c>
      <c r="E2345" s="1" t="s">
        <v>2416</v>
      </c>
      <c r="F2345" s="3">
        <v>1</v>
      </c>
      <c r="G2345" s="24" t="s">
        <v>5618</v>
      </c>
      <c r="I2345" s="24" t="s">
        <v>2965</v>
      </c>
      <c r="J2345" s="24" t="s">
        <v>2921</v>
      </c>
      <c r="K2345" s="3">
        <v>27</v>
      </c>
      <c r="L2345" s="3" t="s">
        <v>7022</v>
      </c>
      <c r="M2345" s="3" t="str">
        <f>HYPERLINK("http://ictvonline.org/taxonomyHistory.asp?taxnode_id=20152920","ICTVonline=20152920")</f>
        <v>ICTVonline=20152920</v>
      </c>
    </row>
    <row r="2346" spans="1:13" x14ac:dyDescent="0.15">
      <c r="A2346" s="1" t="s">
        <v>934</v>
      </c>
      <c r="B2346" s="1" t="s">
        <v>251</v>
      </c>
      <c r="D2346" s="1" t="s">
        <v>1288</v>
      </c>
      <c r="E2346" s="1" t="s">
        <v>1289</v>
      </c>
      <c r="F2346" s="3">
        <v>1</v>
      </c>
      <c r="I2346" s="24" t="s">
        <v>5304</v>
      </c>
      <c r="J2346" s="24" t="s">
        <v>2921</v>
      </c>
      <c r="K2346" s="3">
        <v>12</v>
      </c>
      <c r="L2346" s="3" t="s">
        <v>2927</v>
      </c>
      <c r="M2346" s="3" t="str">
        <f>HYPERLINK("http://ictvonline.org/taxonomyHistory.asp?taxnode_id=20152924","ICTVonline=20152924")</f>
        <v>ICTVonline=20152924</v>
      </c>
    </row>
    <row r="2347" spans="1:13" x14ac:dyDescent="0.15">
      <c r="A2347" s="1" t="s">
        <v>934</v>
      </c>
      <c r="B2347" s="1" t="s">
        <v>251</v>
      </c>
      <c r="D2347" s="1" t="s">
        <v>1288</v>
      </c>
      <c r="E2347" s="1" t="s">
        <v>1290</v>
      </c>
      <c r="F2347" s="3">
        <v>0</v>
      </c>
      <c r="I2347" s="24" t="s">
        <v>5304</v>
      </c>
      <c r="J2347" s="24" t="s">
        <v>2919</v>
      </c>
      <c r="K2347" s="3">
        <v>12</v>
      </c>
      <c r="L2347" s="3" t="s">
        <v>2927</v>
      </c>
      <c r="M2347" s="3" t="str">
        <f>HYPERLINK("http://ictvonline.org/taxonomyHistory.asp?taxnode_id=20152925","ICTVonline=20152925")</f>
        <v>ICTVonline=20152925</v>
      </c>
    </row>
    <row r="2348" spans="1:13" x14ac:dyDescent="0.15">
      <c r="A2348" s="1" t="s">
        <v>934</v>
      </c>
      <c r="B2348" s="1" t="s">
        <v>251</v>
      </c>
      <c r="D2348" s="1" t="s">
        <v>1291</v>
      </c>
      <c r="E2348" s="1" t="s">
        <v>1292</v>
      </c>
      <c r="F2348" s="3">
        <v>0</v>
      </c>
      <c r="I2348" s="24" t="s">
        <v>5304</v>
      </c>
      <c r="J2348" s="24" t="s">
        <v>2924</v>
      </c>
      <c r="K2348" s="3">
        <v>23</v>
      </c>
      <c r="L2348" s="3" t="s">
        <v>2933</v>
      </c>
      <c r="M2348" s="3" t="str">
        <f>HYPERLINK("http://ictvonline.org/taxonomyHistory.asp?taxnode_id=20152928","ICTVonline=20152928")</f>
        <v>ICTVonline=20152928</v>
      </c>
    </row>
    <row r="2349" spans="1:13" x14ac:dyDescent="0.15">
      <c r="A2349" s="1" t="s">
        <v>934</v>
      </c>
      <c r="B2349" s="1" t="s">
        <v>251</v>
      </c>
      <c r="D2349" s="1" t="s">
        <v>1291</v>
      </c>
      <c r="E2349" s="1" t="s">
        <v>1293</v>
      </c>
      <c r="F2349" s="3">
        <v>1</v>
      </c>
      <c r="I2349" s="24" t="s">
        <v>5304</v>
      </c>
      <c r="J2349" s="24" t="s">
        <v>2921</v>
      </c>
      <c r="K2349" s="3">
        <v>12</v>
      </c>
      <c r="L2349" s="3" t="s">
        <v>2927</v>
      </c>
      <c r="M2349" s="3" t="str">
        <f>HYPERLINK("http://ictvonline.org/taxonomyHistory.asp?taxnode_id=20152929","ICTVonline=20152929")</f>
        <v>ICTVonline=20152929</v>
      </c>
    </row>
    <row r="2350" spans="1:13" x14ac:dyDescent="0.15">
      <c r="A2350" s="1" t="s">
        <v>934</v>
      </c>
      <c r="B2350" s="1" t="s">
        <v>251</v>
      </c>
      <c r="D2350" s="1" t="s">
        <v>1291</v>
      </c>
      <c r="E2350" s="1" t="s">
        <v>5619</v>
      </c>
      <c r="F2350" s="3">
        <v>0</v>
      </c>
      <c r="G2350" s="24" t="s">
        <v>3297</v>
      </c>
      <c r="I2350" s="24" t="s">
        <v>5304</v>
      </c>
      <c r="J2350" s="24" t="s">
        <v>2924</v>
      </c>
      <c r="K2350" s="3">
        <v>30</v>
      </c>
      <c r="L2350" s="3" t="s">
        <v>5620</v>
      </c>
      <c r="M2350" s="3" t="str">
        <f>HYPERLINK("http://ictvonline.org/taxonomyHistory.asp?taxnode_id=20152927","ICTVonline=20152927")</f>
        <v>ICTVonline=20152927</v>
      </c>
    </row>
    <row r="2351" spans="1:13" x14ac:dyDescent="0.15">
      <c r="A2351" s="1" t="s">
        <v>934</v>
      </c>
      <c r="B2351" s="1" t="s">
        <v>251</v>
      </c>
      <c r="D2351" s="1" t="s">
        <v>1291</v>
      </c>
      <c r="E2351" s="1" t="s">
        <v>5621</v>
      </c>
      <c r="F2351" s="3">
        <v>0</v>
      </c>
      <c r="G2351" s="24" t="s">
        <v>7635</v>
      </c>
      <c r="H2351" s="24" t="s">
        <v>5622</v>
      </c>
      <c r="I2351" s="24" t="s">
        <v>5304</v>
      </c>
      <c r="J2351" s="24" t="s">
        <v>2919</v>
      </c>
      <c r="K2351" s="3">
        <v>30</v>
      </c>
      <c r="L2351" s="3" t="s">
        <v>5620</v>
      </c>
      <c r="M2351" s="3" t="str">
        <f>HYPERLINK("http://ictvonline.org/taxonomyHistory.asp?taxnode_id=20152933","ICTVonline=20152933")</f>
        <v>ICTVonline=20152933</v>
      </c>
    </row>
    <row r="2352" spans="1:13" x14ac:dyDescent="0.15">
      <c r="A2352" s="1" t="s">
        <v>934</v>
      </c>
      <c r="B2352" s="1" t="s">
        <v>251</v>
      </c>
      <c r="D2352" s="1" t="s">
        <v>1291</v>
      </c>
      <c r="E2352" s="1" t="s">
        <v>5623</v>
      </c>
      <c r="F2352" s="3">
        <v>0</v>
      </c>
      <c r="G2352" s="24" t="s">
        <v>7636</v>
      </c>
      <c r="H2352" s="24" t="s">
        <v>5624</v>
      </c>
      <c r="I2352" s="24" t="s">
        <v>5304</v>
      </c>
      <c r="J2352" s="24" t="s">
        <v>2919</v>
      </c>
      <c r="K2352" s="3">
        <v>30</v>
      </c>
      <c r="L2352" s="3" t="s">
        <v>5620</v>
      </c>
      <c r="M2352" s="3" t="str">
        <f>HYPERLINK("http://ictvonline.org/taxonomyHistory.asp?taxnode_id=20152932","ICTVonline=20152932")</f>
        <v>ICTVonline=20152932</v>
      </c>
    </row>
    <row r="2353" spans="1:13" x14ac:dyDescent="0.15">
      <c r="A2353" s="1" t="s">
        <v>934</v>
      </c>
      <c r="B2353" s="1" t="s">
        <v>251</v>
      </c>
      <c r="D2353" s="1" t="s">
        <v>1291</v>
      </c>
      <c r="E2353" s="1" t="s">
        <v>1294</v>
      </c>
      <c r="F2353" s="3">
        <v>0</v>
      </c>
      <c r="I2353" s="24" t="s">
        <v>5304</v>
      </c>
      <c r="J2353" s="24" t="s">
        <v>2924</v>
      </c>
      <c r="K2353" s="3">
        <v>23</v>
      </c>
      <c r="L2353" s="3" t="s">
        <v>2933</v>
      </c>
      <c r="M2353" s="3" t="str">
        <f>HYPERLINK("http://ictvonline.org/taxonomyHistory.asp?taxnode_id=20152930","ICTVonline=20152930")</f>
        <v>ICTVonline=20152930</v>
      </c>
    </row>
    <row r="2354" spans="1:13" x14ac:dyDescent="0.15">
      <c r="A2354" s="1" t="s">
        <v>934</v>
      </c>
      <c r="B2354" s="1" t="s">
        <v>251</v>
      </c>
      <c r="D2354" s="1" t="s">
        <v>1291</v>
      </c>
      <c r="E2354" s="1" t="s">
        <v>258</v>
      </c>
      <c r="F2354" s="3">
        <v>0</v>
      </c>
      <c r="I2354" s="24" t="s">
        <v>5304</v>
      </c>
      <c r="J2354" s="24" t="s">
        <v>2919</v>
      </c>
      <c r="K2354" s="3">
        <v>23</v>
      </c>
      <c r="L2354" s="3" t="s">
        <v>2933</v>
      </c>
      <c r="M2354" s="3" t="str">
        <f>HYPERLINK("http://ictvonline.org/taxonomyHistory.asp?taxnode_id=20152931","ICTVonline=20152931")</f>
        <v>ICTVonline=20152931</v>
      </c>
    </row>
    <row r="2355" spans="1:13" x14ac:dyDescent="0.15">
      <c r="A2355" s="1" t="s">
        <v>934</v>
      </c>
      <c r="B2355" s="1" t="s">
        <v>1119</v>
      </c>
      <c r="D2355" s="1" t="s">
        <v>2856</v>
      </c>
      <c r="E2355" s="1" t="s">
        <v>2857</v>
      </c>
      <c r="F2355" s="3">
        <v>1</v>
      </c>
      <c r="I2355" s="24" t="s">
        <v>3265</v>
      </c>
      <c r="J2355" s="24" t="s">
        <v>2923</v>
      </c>
      <c r="K2355" s="3">
        <v>29</v>
      </c>
      <c r="L2355" s="3" t="s">
        <v>7023</v>
      </c>
      <c r="M2355" s="3" t="str">
        <f>HYPERLINK("http://ictvonline.org/taxonomyHistory.asp?taxnode_id=20152937","ICTVonline=20152937")</f>
        <v>ICTVonline=20152937</v>
      </c>
    </row>
    <row r="2356" spans="1:13" x14ac:dyDescent="0.15">
      <c r="A2356" s="1" t="s">
        <v>934</v>
      </c>
      <c r="B2356" s="1" t="s">
        <v>1119</v>
      </c>
      <c r="D2356" s="1" t="s">
        <v>2856</v>
      </c>
      <c r="E2356" s="1" t="s">
        <v>2858</v>
      </c>
      <c r="F2356" s="3">
        <v>0</v>
      </c>
      <c r="I2356" s="24" t="s">
        <v>3265</v>
      </c>
      <c r="J2356" s="24" t="s">
        <v>2923</v>
      </c>
      <c r="K2356" s="3">
        <v>29</v>
      </c>
      <c r="L2356" s="3" t="s">
        <v>7023</v>
      </c>
      <c r="M2356" s="3" t="str">
        <f>HYPERLINK("http://ictvonline.org/taxonomyHistory.asp?taxnode_id=20152938","ICTVonline=20152938")</f>
        <v>ICTVonline=20152938</v>
      </c>
    </row>
    <row r="2357" spans="1:13" x14ac:dyDescent="0.15">
      <c r="A2357" s="1" t="s">
        <v>934</v>
      </c>
      <c r="B2357" s="1" t="s">
        <v>1119</v>
      </c>
      <c r="D2357" s="1" t="s">
        <v>2856</v>
      </c>
      <c r="E2357" s="1" t="s">
        <v>2859</v>
      </c>
      <c r="F2357" s="3">
        <v>0</v>
      </c>
      <c r="G2357" s="24" t="s">
        <v>3298</v>
      </c>
      <c r="H2357" s="24" t="s">
        <v>3299</v>
      </c>
      <c r="I2357" s="24" t="s">
        <v>3265</v>
      </c>
      <c r="J2357" s="24" t="s">
        <v>2919</v>
      </c>
      <c r="K2357" s="3">
        <v>29</v>
      </c>
      <c r="L2357" s="3" t="s">
        <v>7023</v>
      </c>
      <c r="M2357" s="3" t="str">
        <f>HYPERLINK("http://ictvonline.org/taxonomyHistory.asp?taxnode_id=20152939","ICTVonline=20152939")</f>
        <v>ICTVonline=20152939</v>
      </c>
    </row>
    <row r="2358" spans="1:13" x14ac:dyDescent="0.15">
      <c r="A2358" s="1" t="s">
        <v>934</v>
      </c>
      <c r="B2358" s="1" t="s">
        <v>1119</v>
      </c>
      <c r="D2358" s="1" t="s">
        <v>2856</v>
      </c>
      <c r="E2358" s="1" t="s">
        <v>2860</v>
      </c>
      <c r="F2358" s="3">
        <v>0</v>
      </c>
      <c r="G2358" s="24" t="s">
        <v>3300</v>
      </c>
      <c r="H2358" s="24" t="s">
        <v>3301</v>
      </c>
      <c r="I2358" s="24" t="s">
        <v>3265</v>
      </c>
      <c r="J2358" s="24" t="s">
        <v>2919</v>
      </c>
      <c r="K2358" s="3">
        <v>29</v>
      </c>
      <c r="L2358" s="3" t="s">
        <v>7023</v>
      </c>
      <c r="M2358" s="3" t="str">
        <f>HYPERLINK("http://ictvonline.org/taxonomyHistory.asp?taxnode_id=20152940","ICTVonline=20152940")</f>
        <v>ICTVonline=20152940</v>
      </c>
    </row>
    <row r="2359" spans="1:13" x14ac:dyDescent="0.15">
      <c r="A2359" s="1" t="s">
        <v>934</v>
      </c>
      <c r="B2359" s="1" t="s">
        <v>1119</v>
      </c>
      <c r="D2359" s="1" t="s">
        <v>2861</v>
      </c>
      <c r="E2359" s="1" t="s">
        <v>2862</v>
      </c>
      <c r="F2359" s="3">
        <v>1</v>
      </c>
      <c r="G2359" s="24" t="s">
        <v>3302</v>
      </c>
      <c r="H2359" s="24" t="s">
        <v>7882</v>
      </c>
      <c r="I2359" s="24" t="s">
        <v>3265</v>
      </c>
      <c r="J2359" s="24" t="s">
        <v>2919</v>
      </c>
      <c r="K2359" s="3">
        <v>29</v>
      </c>
      <c r="L2359" s="3" t="s">
        <v>7023</v>
      </c>
      <c r="M2359" s="3" t="str">
        <f>HYPERLINK("http://ictvonline.org/taxonomyHistory.asp?taxnode_id=20152942","ICTVonline=20152942")</f>
        <v>ICTVonline=20152942</v>
      </c>
    </row>
    <row r="2360" spans="1:13" x14ac:dyDescent="0.15">
      <c r="A2360" s="1" t="s">
        <v>934</v>
      </c>
      <c r="B2360" s="1" t="s">
        <v>259</v>
      </c>
      <c r="D2360" s="1" t="s">
        <v>260</v>
      </c>
      <c r="E2360" s="1" t="s">
        <v>261</v>
      </c>
      <c r="F2360" s="3">
        <v>1</v>
      </c>
      <c r="G2360" s="24" t="s">
        <v>5625</v>
      </c>
      <c r="H2360" s="24" t="s">
        <v>5626</v>
      </c>
      <c r="I2360" s="24" t="s">
        <v>3265</v>
      </c>
      <c r="J2360" s="24" t="s">
        <v>2931</v>
      </c>
      <c r="K2360" s="3">
        <v>18</v>
      </c>
      <c r="L2360" s="3" t="s">
        <v>2929</v>
      </c>
      <c r="M2360" s="3" t="str">
        <f>HYPERLINK("http://ictvonline.org/taxonomyHistory.asp?taxnode_id=20152946","ICTVonline=20152946")</f>
        <v>ICTVonline=20152946</v>
      </c>
    </row>
    <row r="2361" spans="1:13" x14ac:dyDescent="0.15">
      <c r="A2361" s="1" t="s">
        <v>934</v>
      </c>
      <c r="B2361" s="1" t="s">
        <v>259</v>
      </c>
      <c r="D2361" s="1" t="s">
        <v>260</v>
      </c>
      <c r="E2361" s="1" t="s">
        <v>262</v>
      </c>
      <c r="F2361" s="3">
        <v>0</v>
      </c>
      <c r="G2361" s="24" t="s">
        <v>5627</v>
      </c>
      <c r="H2361" s="24" t="s">
        <v>5628</v>
      </c>
      <c r="I2361" s="24" t="s">
        <v>3265</v>
      </c>
      <c r="J2361" s="24" t="s">
        <v>2924</v>
      </c>
      <c r="K2361" s="3">
        <v>18</v>
      </c>
      <c r="L2361" s="3" t="s">
        <v>2929</v>
      </c>
      <c r="M2361" s="3" t="str">
        <f>HYPERLINK("http://ictvonline.org/taxonomyHistory.asp?taxnode_id=20152947","ICTVonline=20152947")</f>
        <v>ICTVonline=20152947</v>
      </c>
    </row>
    <row r="2362" spans="1:13" x14ac:dyDescent="0.15">
      <c r="A2362" s="1" t="s">
        <v>934</v>
      </c>
      <c r="B2362" s="1" t="s">
        <v>259</v>
      </c>
      <c r="D2362" s="1" t="s">
        <v>260</v>
      </c>
      <c r="E2362" s="1" t="s">
        <v>263</v>
      </c>
      <c r="F2362" s="3">
        <v>0</v>
      </c>
      <c r="G2362" s="24" t="s">
        <v>5629</v>
      </c>
      <c r="H2362" s="24" t="s">
        <v>5630</v>
      </c>
      <c r="I2362" s="24" t="s">
        <v>3265</v>
      </c>
      <c r="J2362" s="24" t="s">
        <v>2919</v>
      </c>
      <c r="K2362" s="3">
        <v>20</v>
      </c>
      <c r="L2362" s="3" t="s">
        <v>2925</v>
      </c>
      <c r="M2362" s="3" t="str">
        <f>HYPERLINK("http://ictvonline.org/taxonomyHistory.asp?taxnode_id=20152948","ICTVonline=20152948")</f>
        <v>ICTVonline=20152948</v>
      </c>
    </row>
    <row r="2363" spans="1:13" x14ac:dyDescent="0.15">
      <c r="A2363" s="1" t="s">
        <v>934</v>
      </c>
      <c r="B2363" s="1" t="s">
        <v>259</v>
      </c>
      <c r="D2363" s="1" t="s">
        <v>260</v>
      </c>
      <c r="E2363" s="1" t="s">
        <v>1792</v>
      </c>
      <c r="F2363" s="3">
        <v>0</v>
      </c>
      <c r="G2363" s="24" t="s">
        <v>5631</v>
      </c>
      <c r="H2363" s="24" t="s">
        <v>5632</v>
      </c>
      <c r="I2363" s="24" t="s">
        <v>3265</v>
      </c>
      <c r="J2363" s="24" t="s">
        <v>2919</v>
      </c>
      <c r="K2363" s="3">
        <v>20</v>
      </c>
      <c r="L2363" s="3" t="s">
        <v>2925</v>
      </c>
      <c r="M2363" s="3" t="str">
        <f>HYPERLINK("http://ictvonline.org/taxonomyHistory.asp?taxnode_id=20152949","ICTVonline=20152949")</f>
        <v>ICTVonline=20152949</v>
      </c>
    </row>
    <row r="2364" spans="1:13" x14ac:dyDescent="0.15">
      <c r="A2364" s="1" t="s">
        <v>934</v>
      </c>
      <c r="B2364" s="1" t="s">
        <v>97</v>
      </c>
      <c r="D2364" s="1" t="s">
        <v>98</v>
      </c>
      <c r="E2364" s="1" t="s">
        <v>99</v>
      </c>
      <c r="F2364" s="3">
        <v>1</v>
      </c>
      <c r="I2364" s="24" t="s">
        <v>2965</v>
      </c>
      <c r="J2364" s="24" t="s">
        <v>2921</v>
      </c>
      <c r="K2364" s="3">
        <v>26</v>
      </c>
      <c r="L2364" s="3" t="s">
        <v>7024</v>
      </c>
      <c r="M2364" s="3" t="str">
        <f>HYPERLINK("http://ictvonline.org/taxonomyHistory.asp?taxnode_id=20152953","ICTVonline=20152953")</f>
        <v>ICTVonline=20152953</v>
      </c>
    </row>
    <row r="2365" spans="1:13" x14ac:dyDescent="0.15">
      <c r="A2365" s="1" t="s">
        <v>934</v>
      </c>
      <c r="B2365" s="1" t="s">
        <v>97</v>
      </c>
      <c r="D2365" s="1" t="s">
        <v>100</v>
      </c>
      <c r="E2365" s="1" t="s">
        <v>101</v>
      </c>
      <c r="F2365" s="3">
        <v>1</v>
      </c>
      <c r="I2365" s="24" t="s">
        <v>2965</v>
      </c>
      <c r="J2365" s="24" t="s">
        <v>2921</v>
      </c>
      <c r="K2365" s="3">
        <v>26</v>
      </c>
      <c r="L2365" s="3" t="s">
        <v>7024</v>
      </c>
      <c r="M2365" s="3" t="str">
        <f>HYPERLINK("http://ictvonline.org/taxonomyHistory.asp?taxnode_id=20152955","ICTVonline=20152955")</f>
        <v>ICTVonline=20152955</v>
      </c>
    </row>
    <row r="2366" spans="1:13" x14ac:dyDescent="0.15">
      <c r="A2366" s="1" t="s">
        <v>934</v>
      </c>
      <c r="B2366" s="1" t="s">
        <v>1793</v>
      </c>
      <c r="D2366" s="1" t="s">
        <v>1794</v>
      </c>
      <c r="E2366" s="1" t="s">
        <v>5633</v>
      </c>
      <c r="F2366" s="3">
        <v>0</v>
      </c>
      <c r="I2366" s="24" t="s">
        <v>5634</v>
      </c>
      <c r="J2366" s="24" t="s">
        <v>2924</v>
      </c>
      <c r="K2366" s="3">
        <v>30</v>
      </c>
      <c r="L2366" s="3" t="s">
        <v>6745</v>
      </c>
      <c r="M2366" s="3" t="str">
        <f>HYPERLINK("http://ictvonline.org/taxonomyHistory.asp?taxnode_id=20152959","ICTVonline=20152959")</f>
        <v>ICTVonline=20152959</v>
      </c>
    </row>
    <row r="2367" spans="1:13" x14ac:dyDescent="0.15">
      <c r="A2367" s="1" t="s">
        <v>934</v>
      </c>
      <c r="B2367" s="1" t="s">
        <v>1793</v>
      </c>
      <c r="D2367" s="1" t="s">
        <v>1794</v>
      </c>
      <c r="E2367" s="1" t="s">
        <v>5635</v>
      </c>
      <c r="F2367" s="3">
        <v>0</v>
      </c>
      <c r="I2367" s="24" t="s">
        <v>5634</v>
      </c>
      <c r="J2367" s="24" t="s">
        <v>2924</v>
      </c>
      <c r="K2367" s="3">
        <v>30</v>
      </c>
      <c r="L2367" s="3" t="s">
        <v>6745</v>
      </c>
      <c r="M2367" s="3" t="str">
        <f>HYPERLINK("http://ictvonline.org/taxonomyHistory.asp?taxnode_id=20152961","ICTVonline=20152961")</f>
        <v>ICTVonline=20152961</v>
      </c>
    </row>
    <row r="2368" spans="1:13" x14ac:dyDescent="0.15">
      <c r="A2368" s="1" t="s">
        <v>934</v>
      </c>
      <c r="B2368" s="1" t="s">
        <v>1793</v>
      </c>
      <c r="D2368" s="1" t="s">
        <v>1794</v>
      </c>
      <c r="E2368" s="1" t="s">
        <v>5636</v>
      </c>
      <c r="F2368" s="3">
        <v>0</v>
      </c>
      <c r="I2368" s="24" t="s">
        <v>5634</v>
      </c>
      <c r="J2368" s="24" t="s">
        <v>2924</v>
      </c>
      <c r="K2368" s="3">
        <v>30</v>
      </c>
      <c r="L2368" s="3" t="s">
        <v>6745</v>
      </c>
      <c r="M2368" s="3" t="str">
        <f>HYPERLINK("http://ictvonline.org/taxonomyHistory.asp?taxnode_id=20152962","ICTVonline=20152962")</f>
        <v>ICTVonline=20152962</v>
      </c>
    </row>
    <row r="2369" spans="1:13" x14ac:dyDescent="0.15">
      <c r="A2369" s="1" t="s">
        <v>934</v>
      </c>
      <c r="B2369" s="1" t="s">
        <v>1793</v>
      </c>
      <c r="D2369" s="1" t="s">
        <v>1794</v>
      </c>
      <c r="E2369" s="1" t="s">
        <v>5637</v>
      </c>
      <c r="F2369" s="3">
        <v>0</v>
      </c>
      <c r="I2369" s="24" t="s">
        <v>5634</v>
      </c>
      <c r="J2369" s="24" t="s">
        <v>2924</v>
      </c>
      <c r="K2369" s="3">
        <v>30</v>
      </c>
      <c r="L2369" s="3" t="s">
        <v>6745</v>
      </c>
      <c r="M2369" s="3" t="str">
        <f>HYPERLINK("http://ictvonline.org/taxonomyHistory.asp?taxnode_id=20152963","ICTVonline=20152963")</f>
        <v>ICTVonline=20152963</v>
      </c>
    </row>
    <row r="2370" spans="1:13" x14ac:dyDescent="0.15">
      <c r="A2370" s="1" t="s">
        <v>934</v>
      </c>
      <c r="B2370" s="1" t="s">
        <v>1793</v>
      </c>
      <c r="D2370" s="1" t="s">
        <v>1794</v>
      </c>
      <c r="E2370" s="1" t="s">
        <v>5638</v>
      </c>
      <c r="F2370" s="3">
        <v>0</v>
      </c>
      <c r="I2370" s="24" t="s">
        <v>5634</v>
      </c>
      <c r="J2370" s="24" t="s">
        <v>2924</v>
      </c>
      <c r="K2370" s="3">
        <v>30</v>
      </c>
      <c r="L2370" s="3" t="s">
        <v>6745</v>
      </c>
      <c r="M2370" s="3" t="str">
        <f>HYPERLINK("http://ictvonline.org/taxonomyHistory.asp?taxnode_id=20152964","ICTVonline=20152964")</f>
        <v>ICTVonline=20152964</v>
      </c>
    </row>
    <row r="2371" spans="1:13" x14ac:dyDescent="0.15">
      <c r="A2371" s="1" t="s">
        <v>934</v>
      </c>
      <c r="B2371" s="1" t="s">
        <v>1793</v>
      </c>
      <c r="D2371" s="1" t="s">
        <v>1794</v>
      </c>
      <c r="E2371" s="1" t="s">
        <v>5639</v>
      </c>
      <c r="F2371" s="3">
        <v>0</v>
      </c>
      <c r="I2371" s="24" t="s">
        <v>5634</v>
      </c>
      <c r="J2371" s="24" t="s">
        <v>2924</v>
      </c>
      <c r="K2371" s="3">
        <v>30</v>
      </c>
      <c r="L2371" s="3" t="s">
        <v>6745</v>
      </c>
      <c r="M2371" s="3" t="str">
        <f>HYPERLINK("http://ictvonline.org/taxonomyHistory.asp?taxnode_id=20152965","ICTVonline=20152965")</f>
        <v>ICTVonline=20152965</v>
      </c>
    </row>
    <row r="2372" spans="1:13" x14ac:dyDescent="0.15">
      <c r="A2372" s="1" t="s">
        <v>934</v>
      </c>
      <c r="B2372" s="1" t="s">
        <v>1793</v>
      </c>
      <c r="D2372" s="1" t="s">
        <v>1794</v>
      </c>
      <c r="E2372" s="1" t="s">
        <v>5640</v>
      </c>
      <c r="F2372" s="3">
        <v>0</v>
      </c>
      <c r="I2372" s="24" t="s">
        <v>5634</v>
      </c>
      <c r="J2372" s="24" t="s">
        <v>2924</v>
      </c>
      <c r="K2372" s="3">
        <v>30</v>
      </c>
      <c r="L2372" s="3" t="s">
        <v>6745</v>
      </c>
      <c r="M2372" s="3" t="str">
        <f>HYPERLINK("http://ictvonline.org/taxonomyHistory.asp?taxnode_id=20152966","ICTVonline=20152966")</f>
        <v>ICTVonline=20152966</v>
      </c>
    </row>
    <row r="2373" spans="1:13" x14ac:dyDescent="0.15">
      <c r="A2373" s="1" t="s">
        <v>934</v>
      </c>
      <c r="B2373" s="1" t="s">
        <v>1793</v>
      </c>
      <c r="D2373" s="1" t="s">
        <v>1794</v>
      </c>
      <c r="E2373" s="1" t="s">
        <v>5641</v>
      </c>
      <c r="F2373" s="3">
        <v>0</v>
      </c>
      <c r="I2373" s="24" t="s">
        <v>5634</v>
      </c>
      <c r="J2373" s="24" t="s">
        <v>2924</v>
      </c>
      <c r="K2373" s="3">
        <v>30</v>
      </c>
      <c r="L2373" s="3" t="s">
        <v>6745</v>
      </c>
      <c r="M2373" s="3" t="str">
        <f>HYPERLINK("http://ictvonline.org/taxonomyHistory.asp?taxnode_id=20152967","ICTVonline=20152967")</f>
        <v>ICTVonline=20152967</v>
      </c>
    </row>
    <row r="2374" spans="1:13" x14ac:dyDescent="0.15">
      <c r="A2374" s="1" t="s">
        <v>934</v>
      </c>
      <c r="B2374" s="1" t="s">
        <v>1793</v>
      </c>
      <c r="D2374" s="1" t="s">
        <v>1794</v>
      </c>
      <c r="E2374" s="1" t="s">
        <v>5642</v>
      </c>
      <c r="F2374" s="3">
        <v>1</v>
      </c>
      <c r="I2374" s="24" t="s">
        <v>5634</v>
      </c>
      <c r="J2374" s="24" t="s">
        <v>2924</v>
      </c>
      <c r="K2374" s="3">
        <v>30</v>
      </c>
      <c r="L2374" s="3" t="s">
        <v>6745</v>
      </c>
      <c r="M2374" s="3" t="str">
        <f>HYPERLINK("http://ictvonline.org/taxonomyHistory.asp?taxnode_id=20152969","ICTVonline=20152969")</f>
        <v>ICTVonline=20152969</v>
      </c>
    </row>
    <row r="2375" spans="1:13" x14ac:dyDescent="0.15">
      <c r="A2375" s="1" t="s">
        <v>934</v>
      </c>
      <c r="B2375" s="1" t="s">
        <v>1793</v>
      </c>
      <c r="D2375" s="1" t="s">
        <v>1794</v>
      </c>
      <c r="E2375" s="1" t="s">
        <v>5643</v>
      </c>
      <c r="F2375" s="3">
        <v>0</v>
      </c>
      <c r="I2375" s="24" t="s">
        <v>5634</v>
      </c>
      <c r="J2375" s="24" t="s">
        <v>2924</v>
      </c>
      <c r="K2375" s="3">
        <v>30</v>
      </c>
      <c r="L2375" s="3" t="s">
        <v>6745</v>
      </c>
      <c r="M2375" s="3" t="str">
        <f>HYPERLINK("http://ictvonline.org/taxonomyHistory.asp?taxnode_id=20152970","ICTVonline=20152970")</f>
        <v>ICTVonline=20152970</v>
      </c>
    </row>
    <row r="2376" spans="1:13" x14ac:dyDescent="0.15">
      <c r="A2376" s="1" t="s">
        <v>934</v>
      </c>
      <c r="B2376" s="1" t="s">
        <v>1793</v>
      </c>
      <c r="D2376" s="1" t="s">
        <v>1794</v>
      </c>
      <c r="E2376" s="1" t="s">
        <v>5644</v>
      </c>
      <c r="F2376" s="3">
        <v>0</v>
      </c>
      <c r="I2376" s="24" t="s">
        <v>5634</v>
      </c>
      <c r="J2376" s="24" t="s">
        <v>2924</v>
      </c>
      <c r="K2376" s="3">
        <v>30</v>
      </c>
      <c r="L2376" s="3" t="s">
        <v>6745</v>
      </c>
      <c r="M2376" s="3" t="str">
        <f>HYPERLINK("http://ictvonline.org/taxonomyHistory.asp?taxnode_id=20152971","ICTVonline=20152971")</f>
        <v>ICTVonline=20152971</v>
      </c>
    </row>
    <row r="2377" spans="1:13" x14ac:dyDescent="0.15">
      <c r="A2377" s="1" t="s">
        <v>934</v>
      </c>
      <c r="B2377" s="1" t="s">
        <v>1793</v>
      </c>
      <c r="D2377" s="1" t="s">
        <v>1794</v>
      </c>
      <c r="E2377" s="1" t="s">
        <v>5645</v>
      </c>
      <c r="F2377" s="3">
        <v>0</v>
      </c>
      <c r="I2377" s="24" t="s">
        <v>5634</v>
      </c>
      <c r="J2377" s="24" t="s">
        <v>2924</v>
      </c>
      <c r="K2377" s="3">
        <v>30</v>
      </c>
      <c r="L2377" s="3" t="s">
        <v>6745</v>
      </c>
      <c r="M2377" s="3" t="str">
        <f>HYPERLINK("http://ictvonline.org/taxonomyHistory.asp?taxnode_id=20152972","ICTVonline=20152972")</f>
        <v>ICTVonline=20152972</v>
      </c>
    </row>
    <row r="2378" spans="1:13" x14ac:dyDescent="0.15">
      <c r="A2378" s="1" t="s">
        <v>934</v>
      </c>
      <c r="B2378" s="1" t="s">
        <v>1793</v>
      </c>
      <c r="D2378" s="1" t="s">
        <v>1794</v>
      </c>
      <c r="E2378" s="1" t="s">
        <v>5646</v>
      </c>
      <c r="F2378" s="3">
        <v>0</v>
      </c>
      <c r="I2378" s="24" t="s">
        <v>5634</v>
      </c>
      <c r="J2378" s="24" t="s">
        <v>2924</v>
      </c>
      <c r="K2378" s="3">
        <v>30</v>
      </c>
      <c r="L2378" s="3" t="s">
        <v>6745</v>
      </c>
      <c r="M2378" s="3" t="str">
        <f>HYPERLINK("http://ictvonline.org/taxonomyHistory.asp?taxnode_id=20152973","ICTVonline=20152973")</f>
        <v>ICTVonline=20152973</v>
      </c>
    </row>
    <row r="2379" spans="1:13" x14ac:dyDescent="0.15">
      <c r="A2379" s="1" t="s">
        <v>934</v>
      </c>
      <c r="B2379" s="1" t="s">
        <v>1793</v>
      </c>
      <c r="D2379" s="1" t="s">
        <v>1794</v>
      </c>
      <c r="E2379" s="1" t="s">
        <v>5647</v>
      </c>
      <c r="F2379" s="3">
        <v>0</v>
      </c>
      <c r="I2379" s="24" t="s">
        <v>5634</v>
      </c>
      <c r="J2379" s="24" t="s">
        <v>2924</v>
      </c>
      <c r="K2379" s="3">
        <v>30</v>
      </c>
      <c r="L2379" s="3" t="s">
        <v>6745</v>
      </c>
      <c r="M2379" s="3" t="str">
        <f>HYPERLINK("http://ictvonline.org/taxonomyHistory.asp?taxnode_id=20152974","ICTVonline=20152974")</f>
        <v>ICTVonline=20152974</v>
      </c>
    </row>
    <row r="2380" spans="1:13" x14ac:dyDescent="0.15">
      <c r="A2380" s="1" t="s">
        <v>934</v>
      </c>
      <c r="B2380" s="1" t="s">
        <v>1793</v>
      </c>
      <c r="D2380" s="1" t="s">
        <v>1794</v>
      </c>
      <c r="E2380" s="1" t="s">
        <v>5648</v>
      </c>
      <c r="F2380" s="3">
        <v>0</v>
      </c>
      <c r="I2380" s="24" t="s">
        <v>5634</v>
      </c>
      <c r="J2380" s="24" t="s">
        <v>2924</v>
      </c>
      <c r="K2380" s="3">
        <v>30</v>
      </c>
      <c r="L2380" s="3" t="s">
        <v>6745</v>
      </c>
      <c r="M2380" s="3" t="str">
        <f>HYPERLINK("http://ictvonline.org/taxonomyHistory.asp?taxnode_id=20152975","ICTVonline=20152975")</f>
        <v>ICTVonline=20152975</v>
      </c>
    </row>
    <row r="2381" spans="1:13" x14ac:dyDescent="0.15">
      <c r="A2381" s="1" t="s">
        <v>934</v>
      </c>
      <c r="B2381" s="1" t="s">
        <v>1793</v>
      </c>
      <c r="D2381" s="1" t="s">
        <v>1794</v>
      </c>
      <c r="E2381" s="1" t="s">
        <v>5649</v>
      </c>
      <c r="F2381" s="3">
        <v>0</v>
      </c>
      <c r="I2381" s="24" t="s">
        <v>5634</v>
      </c>
      <c r="J2381" s="24" t="s">
        <v>2924</v>
      </c>
      <c r="K2381" s="3">
        <v>30</v>
      </c>
      <c r="L2381" s="3" t="s">
        <v>6745</v>
      </c>
      <c r="M2381" s="3" t="str">
        <f>HYPERLINK("http://ictvonline.org/taxonomyHistory.asp?taxnode_id=20152976","ICTVonline=20152976")</f>
        <v>ICTVonline=20152976</v>
      </c>
    </row>
    <row r="2382" spans="1:13" x14ac:dyDescent="0.15">
      <c r="A2382" s="1" t="s">
        <v>934</v>
      </c>
      <c r="B2382" s="1" t="s">
        <v>1793</v>
      </c>
      <c r="D2382" s="1" t="s">
        <v>1794</v>
      </c>
      <c r="E2382" s="1" t="s">
        <v>5650</v>
      </c>
      <c r="F2382" s="3">
        <v>0</v>
      </c>
      <c r="I2382" s="24" t="s">
        <v>5634</v>
      </c>
      <c r="J2382" s="24" t="s">
        <v>2924</v>
      </c>
      <c r="K2382" s="3">
        <v>30</v>
      </c>
      <c r="L2382" s="3" t="s">
        <v>6745</v>
      </c>
      <c r="M2382" s="3" t="str">
        <f>HYPERLINK("http://ictvonline.org/taxonomyHistory.asp?taxnode_id=20152977","ICTVonline=20152977")</f>
        <v>ICTVonline=20152977</v>
      </c>
    </row>
    <row r="2383" spans="1:13" x14ac:dyDescent="0.15">
      <c r="A2383" s="1" t="s">
        <v>934</v>
      </c>
      <c r="B2383" s="1" t="s">
        <v>1793</v>
      </c>
      <c r="D2383" s="1" t="s">
        <v>1794</v>
      </c>
      <c r="E2383" s="1" t="s">
        <v>5651</v>
      </c>
      <c r="F2383" s="3">
        <v>0</v>
      </c>
      <c r="I2383" s="24" t="s">
        <v>5634</v>
      </c>
      <c r="J2383" s="24" t="s">
        <v>2924</v>
      </c>
      <c r="K2383" s="3">
        <v>30</v>
      </c>
      <c r="L2383" s="3" t="s">
        <v>6745</v>
      </c>
      <c r="M2383" s="3" t="str">
        <f>HYPERLINK("http://ictvonline.org/taxonomyHistory.asp?taxnode_id=20152978","ICTVonline=20152978")</f>
        <v>ICTVonline=20152978</v>
      </c>
    </row>
    <row r="2384" spans="1:13" x14ac:dyDescent="0.15">
      <c r="A2384" s="1" t="s">
        <v>934</v>
      </c>
      <c r="B2384" s="1" t="s">
        <v>1793</v>
      </c>
      <c r="D2384" s="1" t="s">
        <v>1794</v>
      </c>
      <c r="E2384" s="1" t="s">
        <v>5652</v>
      </c>
      <c r="F2384" s="3">
        <v>0</v>
      </c>
      <c r="I2384" s="24" t="s">
        <v>5634</v>
      </c>
      <c r="J2384" s="24" t="s">
        <v>2924</v>
      </c>
      <c r="K2384" s="3">
        <v>30</v>
      </c>
      <c r="L2384" s="3" t="s">
        <v>6745</v>
      </c>
      <c r="M2384" s="3" t="str">
        <f>HYPERLINK("http://ictvonline.org/taxonomyHistory.asp?taxnode_id=20152960","ICTVonline=20152960")</f>
        <v>ICTVonline=20152960</v>
      </c>
    </row>
    <row r="2385" spans="1:13" x14ac:dyDescent="0.15">
      <c r="A2385" s="1" t="s">
        <v>934</v>
      </c>
      <c r="B2385" s="1" t="s">
        <v>1793</v>
      </c>
      <c r="D2385" s="1" t="s">
        <v>1794</v>
      </c>
      <c r="E2385" s="1" t="s">
        <v>5653</v>
      </c>
      <c r="F2385" s="3">
        <v>0</v>
      </c>
      <c r="I2385" s="24" t="s">
        <v>5634</v>
      </c>
      <c r="J2385" s="24" t="s">
        <v>2924</v>
      </c>
      <c r="K2385" s="3">
        <v>30</v>
      </c>
      <c r="L2385" s="3" t="s">
        <v>6745</v>
      </c>
      <c r="M2385" s="3" t="str">
        <f>HYPERLINK("http://ictvonline.org/taxonomyHistory.asp?taxnode_id=20152968","ICTVonline=20152968")</f>
        <v>ICTVonline=20152968</v>
      </c>
    </row>
    <row r="2386" spans="1:13" x14ac:dyDescent="0.15">
      <c r="A2386" s="1" t="s">
        <v>934</v>
      </c>
      <c r="B2386" s="1" t="s">
        <v>1793</v>
      </c>
      <c r="D2386" s="1" t="s">
        <v>1794</v>
      </c>
      <c r="E2386" s="1" t="s">
        <v>5654</v>
      </c>
      <c r="F2386" s="3">
        <v>0</v>
      </c>
      <c r="I2386" s="24" t="s">
        <v>5634</v>
      </c>
      <c r="J2386" s="24" t="s">
        <v>2924</v>
      </c>
      <c r="K2386" s="3">
        <v>30</v>
      </c>
      <c r="L2386" s="3" t="s">
        <v>6745</v>
      </c>
      <c r="M2386" s="3" t="str">
        <f>HYPERLINK("http://ictvonline.org/taxonomyHistory.asp?taxnode_id=20152979","ICTVonline=20152979")</f>
        <v>ICTVonline=20152979</v>
      </c>
    </row>
    <row r="2387" spans="1:13" x14ac:dyDescent="0.15">
      <c r="A2387" s="1" t="s">
        <v>934</v>
      </c>
      <c r="B2387" s="1" t="s">
        <v>1793</v>
      </c>
      <c r="D2387" s="1" t="s">
        <v>1794</v>
      </c>
      <c r="E2387" s="1" t="s">
        <v>5655</v>
      </c>
      <c r="F2387" s="3">
        <v>0</v>
      </c>
      <c r="I2387" s="24" t="s">
        <v>5634</v>
      </c>
      <c r="J2387" s="24" t="s">
        <v>2924</v>
      </c>
      <c r="K2387" s="3">
        <v>30</v>
      </c>
      <c r="L2387" s="3" t="s">
        <v>6745</v>
      </c>
      <c r="M2387" s="3" t="str">
        <f>HYPERLINK("http://ictvonline.org/taxonomyHistory.asp?taxnode_id=20152980","ICTVonline=20152980")</f>
        <v>ICTVonline=20152980</v>
      </c>
    </row>
    <row r="2388" spans="1:13" x14ac:dyDescent="0.15">
      <c r="A2388" s="1" t="s">
        <v>934</v>
      </c>
      <c r="B2388" s="1" t="s">
        <v>1793</v>
      </c>
      <c r="D2388" s="1" t="s">
        <v>1794</v>
      </c>
      <c r="E2388" s="1" t="s">
        <v>5656</v>
      </c>
      <c r="F2388" s="3">
        <v>0</v>
      </c>
      <c r="I2388" s="24" t="s">
        <v>5634</v>
      </c>
      <c r="J2388" s="24" t="s">
        <v>2924</v>
      </c>
      <c r="K2388" s="3">
        <v>30</v>
      </c>
      <c r="L2388" s="3" t="s">
        <v>6745</v>
      </c>
      <c r="M2388" s="3" t="str">
        <f>HYPERLINK("http://ictvonline.org/taxonomyHistory.asp?taxnode_id=20152981","ICTVonline=20152981")</f>
        <v>ICTVonline=20152981</v>
      </c>
    </row>
    <row r="2389" spans="1:13" x14ac:dyDescent="0.15">
      <c r="A2389" s="1" t="s">
        <v>934</v>
      </c>
      <c r="B2389" s="1" t="s">
        <v>1793</v>
      </c>
      <c r="D2389" s="1" t="s">
        <v>1794</v>
      </c>
      <c r="E2389" s="1" t="s">
        <v>5657</v>
      </c>
      <c r="F2389" s="3">
        <v>0</v>
      </c>
      <c r="I2389" s="24" t="s">
        <v>5634</v>
      </c>
      <c r="J2389" s="24" t="s">
        <v>2924</v>
      </c>
      <c r="K2389" s="3">
        <v>30</v>
      </c>
      <c r="L2389" s="3" t="s">
        <v>6745</v>
      </c>
      <c r="M2389" s="3" t="str">
        <f>HYPERLINK("http://ictvonline.org/taxonomyHistory.asp?taxnode_id=20152982","ICTVonline=20152982")</f>
        <v>ICTVonline=20152982</v>
      </c>
    </row>
    <row r="2390" spans="1:13" x14ac:dyDescent="0.15">
      <c r="A2390" s="1" t="s">
        <v>934</v>
      </c>
      <c r="B2390" s="1" t="s">
        <v>1793</v>
      </c>
      <c r="D2390" s="1" t="s">
        <v>1794</v>
      </c>
      <c r="E2390" s="1" t="s">
        <v>5658</v>
      </c>
      <c r="F2390" s="3">
        <v>0</v>
      </c>
      <c r="I2390" s="24" t="s">
        <v>5634</v>
      </c>
      <c r="J2390" s="24" t="s">
        <v>2924</v>
      </c>
      <c r="K2390" s="3">
        <v>30</v>
      </c>
      <c r="L2390" s="3" t="s">
        <v>6745</v>
      </c>
      <c r="M2390" s="3" t="str">
        <f>HYPERLINK("http://ictvonline.org/taxonomyHistory.asp?taxnode_id=20152983","ICTVonline=20152983")</f>
        <v>ICTVonline=20152983</v>
      </c>
    </row>
    <row r="2391" spans="1:13" x14ac:dyDescent="0.15">
      <c r="A2391" s="1" t="s">
        <v>934</v>
      </c>
      <c r="B2391" s="1" t="s">
        <v>1793</v>
      </c>
      <c r="D2391" s="1" t="s">
        <v>1794</v>
      </c>
      <c r="E2391" s="1" t="s">
        <v>5659</v>
      </c>
      <c r="F2391" s="3">
        <v>0</v>
      </c>
      <c r="I2391" s="24" t="s">
        <v>5634</v>
      </c>
      <c r="J2391" s="24" t="s">
        <v>2924</v>
      </c>
      <c r="K2391" s="3">
        <v>30</v>
      </c>
      <c r="L2391" s="3" t="s">
        <v>6745</v>
      </c>
      <c r="M2391" s="3" t="str">
        <f>HYPERLINK("http://ictvonline.org/taxonomyHistory.asp?taxnode_id=20152984","ICTVonline=20152984")</f>
        <v>ICTVonline=20152984</v>
      </c>
    </row>
    <row r="2392" spans="1:13" x14ac:dyDescent="0.15">
      <c r="A2392" s="1" t="s">
        <v>934</v>
      </c>
      <c r="B2392" s="1" t="s">
        <v>1793</v>
      </c>
      <c r="D2392" s="1" t="s">
        <v>1794</v>
      </c>
      <c r="E2392" s="1" t="s">
        <v>5660</v>
      </c>
      <c r="F2392" s="3">
        <v>0</v>
      </c>
      <c r="I2392" s="24" t="s">
        <v>5634</v>
      </c>
      <c r="J2392" s="24" t="s">
        <v>2924</v>
      </c>
      <c r="K2392" s="3">
        <v>30</v>
      </c>
      <c r="L2392" s="3" t="s">
        <v>6745</v>
      </c>
      <c r="M2392" s="3" t="str">
        <f>HYPERLINK("http://ictvonline.org/taxonomyHistory.asp?taxnode_id=20152985","ICTVonline=20152985")</f>
        <v>ICTVonline=20152985</v>
      </c>
    </row>
    <row r="2393" spans="1:13" x14ac:dyDescent="0.15">
      <c r="A2393" s="1" t="s">
        <v>934</v>
      </c>
      <c r="B2393" s="1" t="s">
        <v>1793</v>
      </c>
      <c r="D2393" s="1" t="s">
        <v>1794</v>
      </c>
      <c r="E2393" s="1" t="s">
        <v>5661</v>
      </c>
      <c r="F2393" s="3">
        <v>0</v>
      </c>
      <c r="I2393" s="24" t="s">
        <v>5634</v>
      </c>
      <c r="J2393" s="24" t="s">
        <v>2924</v>
      </c>
      <c r="K2393" s="3">
        <v>30</v>
      </c>
      <c r="L2393" s="3" t="s">
        <v>6745</v>
      </c>
      <c r="M2393" s="3" t="str">
        <f>HYPERLINK("http://ictvonline.org/taxonomyHistory.asp?taxnode_id=20152986","ICTVonline=20152986")</f>
        <v>ICTVonline=20152986</v>
      </c>
    </row>
    <row r="2394" spans="1:13" x14ac:dyDescent="0.15">
      <c r="A2394" s="1" t="s">
        <v>934</v>
      </c>
      <c r="B2394" s="1" t="s">
        <v>1793</v>
      </c>
      <c r="D2394" s="1" t="s">
        <v>1794</v>
      </c>
      <c r="E2394" s="1" t="s">
        <v>5662</v>
      </c>
      <c r="F2394" s="3">
        <v>0</v>
      </c>
      <c r="I2394" s="24" t="s">
        <v>5634</v>
      </c>
      <c r="J2394" s="24" t="s">
        <v>2924</v>
      </c>
      <c r="K2394" s="3">
        <v>30</v>
      </c>
      <c r="L2394" s="3" t="s">
        <v>6745</v>
      </c>
      <c r="M2394" s="3" t="str">
        <f>HYPERLINK("http://ictvonline.org/taxonomyHistory.asp?taxnode_id=20152987","ICTVonline=20152987")</f>
        <v>ICTVonline=20152987</v>
      </c>
    </row>
    <row r="2395" spans="1:13" x14ac:dyDescent="0.15">
      <c r="A2395" s="1" t="s">
        <v>934</v>
      </c>
      <c r="B2395" s="1" t="s">
        <v>1793</v>
      </c>
      <c r="D2395" s="1" t="s">
        <v>1794</v>
      </c>
      <c r="E2395" s="1" t="s">
        <v>5663</v>
      </c>
      <c r="F2395" s="3">
        <v>0</v>
      </c>
      <c r="I2395" s="24" t="s">
        <v>5634</v>
      </c>
      <c r="J2395" s="24" t="s">
        <v>2924</v>
      </c>
      <c r="K2395" s="3">
        <v>30</v>
      </c>
      <c r="L2395" s="3" t="s">
        <v>6745</v>
      </c>
      <c r="M2395" s="3" t="str">
        <f>HYPERLINK("http://ictvonline.org/taxonomyHistory.asp?taxnode_id=20152988","ICTVonline=20152988")</f>
        <v>ICTVonline=20152988</v>
      </c>
    </row>
    <row r="2396" spans="1:13" x14ac:dyDescent="0.15">
      <c r="A2396" s="1" t="s">
        <v>934</v>
      </c>
      <c r="B2396" s="1" t="s">
        <v>1793</v>
      </c>
      <c r="D2396" s="1" t="s">
        <v>1794</v>
      </c>
      <c r="E2396" s="1" t="s">
        <v>5664</v>
      </c>
      <c r="F2396" s="3">
        <v>0</v>
      </c>
      <c r="I2396" s="24" t="s">
        <v>5634</v>
      </c>
      <c r="J2396" s="24" t="s">
        <v>2924</v>
      </c>
      <c r="K2396" s="3">
        <v>30</v>
      </c>
      <c r="L2396" s="3" t="s">
        <v>6745</v>
      </c>
      <c r="M2396" s="3" t="str">
        <f>HYPERLINK("http://ictvonline.org/taxonomyHistory.asp?taxnode_id=20152989","ICTVonline=20152989")</f>
        <v>ICTVonline=20152989</v>
      </c>
    </row>
    <row r="2397" spans="1:13" x14ac:dyDescent="0.15">
      <c r="A2397" s="1" t="s">
        <v>934</v>
      </c>
      <c r="B2397" s="1" t="s">
        <v>1793</v>
      </c>
      <c r="D2397" s="1" t="s">
        <v>1794</v>
      </c>
      <c r="E2397" s="1" t="s">
        <v>5665</v>
      </c>
      <c r="F2397" s="3">
        <v>0</v>
      </c>
      <c r="I2397" s="24" t="s">
        <v>5634</v>
      </c>
      <c r="J2397" s="24" t="s">
        <v>2924</v>
      </c>
      <c r="K2397" s="3">
        <v>30</v>
      </c>
      <c r="L2397" s="3" t="s">
        <v>6745</v>
      </c>
      <c r="M2397" s="3" t="str">
        <f>HYPERLINK("http://ictvonline.org/taxonomyHistory.asp?taxnode_id=20152990","ICTVonline=20152990")</f>
        <v>ICTVonline=20152990</v>
      </c>
    </row>
    <row r="2398" spans="1:13" x14ac:dyDescent="0.15">
      <c r="A2398" s="1" t="s">
        <v>934</v>
      </c>
      <c r="B2398" s="1" t="s">
        <v>1793</v>
      </c>
      <c r="D2398" s="1" t="s">
        <v>1794</v>
      </c>
      <c r="E2398" s="1" t="s">
        <v>5666</v>
      </c>
      <c r="F2398" s="3">
        <v>0</v>
      </c>
      <c r="I2398" s="24" t="s">
        <v>5634</v>
      </c>
      <c r="J2398" s="24" t="s">
        <v>2924</v>
      </c>
      <c r="K2398" s="3">
        <v>30</v>
      </c>
      <c r="L2398" s="3" t="s">
        <v>6745</v>
      </c>
      <c r="M2398" s="3" t="str">
        <f>HYPERLINK("http://ictvonline.org/taxonomyHistory.asp?taxnode_id=20152991","ICTVonline=20152991")</f>
        <v>ICTVonline=20152991</v>
      </c>
    </row>
    <row r="2399" spans="1:13" x14ac:dyDescent="0.15">
      <c r="A2399" s="1" t="s">
        <v>934</v>
      </c>
      <c r="B2399" s="1" t="s">
        <v>1793</v>
      </c>
      <c r="D2399" s="1" t="s">
        <v>1794</v>
      </c>
      <c r="E2399" s="1" t="s">
        <v>5667</v>
      </c>
      <c r="F2399" s="3">
        <v>0</v>
      </c>
      <c r="I2399" s="24" t="s">
        <v>5634</v>
      </c>
      <c r="J2399" s="24" t="s">
        <v>2924</v>
      </c>
      <c r="K2399" s="3">
        <v>30</v>
      </c>
      <c r="L2399" s="3" t="s">
        <v>6745</v>
      </c>
      <c r="M2399" s="3" t="str">
        <f>HYPERLINK("http://ictvonline.org/taxonomyHistory.asp?taxnode_id=20152992","ICTVonline=20152992")</f>
        <v>ICTVonline=20152992</v>
      </c>
    </row>
    <row r="2400" spans="1:13" x14ac:dyDescent="0.15">
      <c r="A2400" s="1" t="s">
        <v>934</v>
      </c>
      <c r="B2400" s="1" t="s">
        <v>1793</v>
      </c>
      <c r="D2400" s="1" t="s">
        <v>1794</v>
      </c>
      <c r="E2400" s="1" t="s">
        <v>5668</v>
      </c>
      <c r="F2400" s="3">
        <v>0</v>
      </c>
      <c r="I2400" s="24" t="s">
        <v>5634</v>
      </c>
      <c r="J2400" s="24" t="s">
        <v>2924</v>
      </c>
      <c r="K2400" s="3">
        <v>30</v>
      </c>
      <c r="L2400" s="3" t="s">
        <v>6745</v>
      </c>
      <c r="M2400" s="3" t="str">
        <f>HYPERLINK("http://ictvonline.org/taxonomyHistory.asp?taxnode_id=20152993","ICTVonline=20152993")</f>
        <v>ICTVonline=20152993</v>
      </c>
    </row>
    <row r="2401" spans="1:13" x14ac:dyDescent="0.15">
      <c r="A2401" s="1" t="s">
        <v>934</v>
      </c>
      <c r="B2401" s="1" t="s">
        <v>1793</v>
      </c>
      <c r="D2401" s="1" t="s">
        <v>1794</v>
      </c>
      <c r="E2401" s="1" t="s">
        <v>5669</v>
      </c>
      <c r="F2401" s="3">
        <v>0</v>
      </c>
      <c r="I2401" s="24" t="s">
        <v>5634</v>
      </c>
      <c r="J2401" s="24" t="s">
        <v>2924</v>
      </c>
      <c r="K2401" s="3">
        <v>30</v>
      </c>
      <c r="L2401" s="3" t="s">
        <v>6745</v>
      </c>
      <c r="M2401" s="3" t="str">
        <f>HYPERLINK("http://ictvonline.org/taxonomyHistory.asp?taxnode_id=20152994","ICTVonline=20152994")</f>
        <v>ICTVonline=20152994</v>
      </c>
    </row>
    <row r="2402" spans="1:13" x14ac:dyDescent="0.15">
      <c r="A2402" s="1" t="s">
        <v>934</v>
      </c>
      <c r="B2402" s="1" t="s">
        <v>1793</v>
      </c>
      <c r="D2402" s="1" t="s">
        <v>1046</v>
      </c>
      <c r="E2402" s="1" t="s">
        <v>5670</v>
      </c>
      <c r="F2402" s="3">
        <v>1</v>
      </c>
      <c r="I2402" s="24" t="s">
        <v>5634</v>
      </c>
      <c r="J2402" s="24" t="s">
        <v>2924</v>
      </c>
      <c r="K2402" s="3">
        <v>30</v>
      </c>
      <c r="L2402" s="3" t="s">
        <v>6745</v>
      </c>
      <c r="M2402" s="3" t="str">
        <f>HYPERLINK("http://ictvonline.org/taxonomyHistory.asp?taxnode_id=20152996","ICTVonline=20152996")</f>
        <v>ICTVonline=20152996</v>
      </c>
    </row>
    <row r="2403" spans="1:13" x14ac:dyDescent="0.15">
      <c r="A2403" s="1" t="s">
        <v>934</v>
      </c>
      <c r="B2403" s="1" t="s">
        <v>1793</v>
      </c>
      <c r="D2403" s="1" t="s">
        <v>1046</v>
      </c>
      <c r="E2403" s="1" t="s">
        <v>5671</v>
      </c>
      <c r="F2403" s="3">
        <v>0</v>
      </c>
      <c r="I2403" s="24" t="s">
        <v>5634</v>
      </c>
      <c r="J2403" s="24" t="s">
        <v>2924</v>
      </c>
      <c r="K2403" s="3">
        <v>30</v>
      </c>
      <c r="L2403" s="3" t="s">
        <v>6745</v>
      </c>
      <c r="M2403" s="3" t="str">
        <f>HYPERLINK("http://ictvonline.org/taxonomyHistory.asp?taxnode_id=20152997","ICTVonline=20152997")</f>
        <v>ICTVonline=20152997</v>
      </c>
    </row>
    <row r="2404" spans="1:13" x14ac:dyDescent="0.15">
      <c r="A2404" s="1" t="s">
        <v>934</v>
      </c>
      <c r="B2404" s="1" t="s">
        <v>1793</v>
      </c>
      <c r="D2404" s="1" t="s">
        <v>1046</v>
      </c>
      <c r="E2404" s="1" t="s">
        <v>5672</v>
      </c>
      <c r="F2404" s="3">
        <v>0</v>
      </c>
      <c r="I2404" s="24" t="s">
        <v>5634</v>
      </c>
      <c r="J2404" s="24" t="s">
        <v>2924</v>
      </c>
      <c r="K2404" s="3">
        <v>30</v>
      </c>
      <c r="L2404" s="3" t="s">
        <v>6745</v>
      </c>
      <c r="M2404" s="3" t="str">
        <f>HYPERLINK("http://ictvonline.org/taxonomyHistory.asp?taxnode_id=20152998","ICTVonline=20152998")</f>
        <v>ICTVonline=20152998</v>
      </c>
    </row>
    <row r="2405" spans="1:13" x14ac:dyDescent="0.15">
      <c r="A2405" s="1" t="s">
        <v>934</v>
      </c>
      <c r="B2405" s="1" t="s">
        <v>1793</v>
      </c>
      <c r="D2405" s="1" t="s">
        <v>1046</v>
      </c>
      <c r="E2405" s="1" t="s">
        <v>5673</v>
      </c>
      <c r="F2405" s="3">
        <v>0</v>
      </c>
      <c r="I2405" s="24" t="s">
        <v>5634</v>
      </c>
      <c r="J2405" s="24" t="s">
        <v>2924</v>
      </c>
      <c r="K2405" s="3">
        <v>30</v>
      </c>
      <c r="L2405" s="3" t="s">
        <v>6745</v>
      </c>
      <c r="M2405" s="3" t="str">
        <f>HYPERLINK("http://ictvonline.org/taxonomyHistory.asp?taxnode_id=20152999","ICTVonline=20152999")</f>
        <v>ICTVonline=20152999</v>
      </c>
    </row>
    <row r="2406" spans="1:13" x14ac:dyDescent="0.15">
      <c r="A2406" s="1" t="s">
        <v>934</v>
      </c>
      <c r="B2406" s="1" t="s">
        <v>1793</v>
      </c>
      <c r="D2406" s="1" t="s">
        <v>1046</v>
      </c>
      <c r="E2406" s="1" t="s">
        <v>5674</v>
      </c>
      <c r="F2406" s="3">
        <v>0</v>
      </c>
      <c r="I2406" s="24" t="s">
        <v>5634</v>
      </c>
      <c r="J2406" s="24" t="s">
        <v>2924</v>
      </c>
      <c r="K2406" s="3">
        <v>30</v>
      </c>
      <c r="L2406" s="3" t="s">
        <v>6745</v>
      </c>
      <c r="M2406" s="3" t="str">
        <f>HYPERLINK("http://ictvonline.org/taxonomyHistory.asp?taxnode_id=20153000","ICTVonline=20153000")</f>
        <v>ICTVonline=20153000</v>
      </c>
    </row>
    <row r="2407" spans="1:13" x14ac:dyDescent="0.15">
      <c r="A2407" s="1" t="s">
        <v>934</v>
      </c>
      <c r="B2407" s="1" t="s">
        <v>1793</v>
      </c>
      <c r="D2407" s="1" t="s">
        <v>1046</v>
      </c>
      <c r="E2407" s="1" t="s">
        <v>5675</v>
      </c>
      <c r="F2407" s="3">
        <v>0</v>
      </c>
      <c r="I2407" s="24" t="s">
        <v>5634</v>
      </c>
      <c r="J2407" s="24" t="s">
        <v>2924</v>
      </c>
      <c r="K2407" s="3">
        <v>30</v>
      </c>
      <c r="L2407" s="3" t="s">
        <v>6745</v>
      </c>
      <c r="M2407" s="3" t="str">
        <f>HYPERLINK("http://ictvonline.org/taxonomyHistory.asp?taxnode_id=20153001","ICTVonline=20153001")</f>
        <v>ICTVonline=20153001</v>
      </c>
    </row>
    <row r="2408" spans="1:13" x14ac:dyDescent="0.15">
      <c r="A2408" s="1" t="s">
        <v>934</v>
      </c>
      <c r="B2408" s="1" t="s">
        <v>1793</v>
      </c>
      <c r="D2408" s="1" t="s">
        <v>1046</v>
      </c>
      <c r="E2408" s="1" t="s">
        <v>5676</v>
      </c>
      <c r="F2408" s="3">
        <v>0</v>
      </c>
      <c r="I2408" s="24" t="s">
        <v>5634</v>
      </c>
      <c r="J2408" s="24" t="s">
        <v>2924</v>
      </c>
      <c r="K2408" s="3">
        <v>30</v>
      </c>
      <c r="L2408" s="3" t="s">
        <v>6745</v>
      </c>
      <c r="M2408" s="3" t="str">
        <f>HYPERLINK("http://ictvonline.org/taxonomyHistory.asp?taxnode_id=20153002","ICTVonline=20153002")</f>
        <v>ICTVonline=20153002</v>
      </c>
    </row>
    <row r="2409" spans="1:13" x14ac:dyDescent="0.15">
      <c r="A2409" s="1" t="s">
        <v>934</v>
      </c>
      <c r="B2409" s="1" t="s">
        <v>1503</v>
      </c>
      <c r="D2409" s="1" t="s">
        <v>1504</v>
      </c>
      <c r="E2409" s="1" t="s">
        <v>1505</v>
      </c>
      <c r="F2409" s="3">
        <v>1</v>
      </c>
      <c r="I2409" s="24" t="s">
        <v>2965</v>
      </c>
      <c r="J2409" s="24" t="s">
        <v>2924</v>
      </c>
      <c r="K2409" s="3">
        <v>18</v>
      </c>
      <c r="L2409" s="3" t="s">
        <v>2929</v>
      </c>
      <c r="M2409" s="3" t="str">
        <f>HYPERLINK("http://ictvonline.org/taxonomyHistory.asp?taxnode_id=20153006","ICTVonline=20153006")</f>
        <v>ICTVonline=20153006</v>
      </c>
    </row>
    <row r="2410" spans="1:13" x14ac:dyDescent="0.15">
      <c r="A2410" s="1" t="s">
        <v>934</v>
      </c>
      <c r="B2410" s="1" t="s">
        <v>1503</v>
      </c>
      <c r="D2410" s="1" t="s">
        <v>1062</v>
      </c>
      <c r="E2410" s="1" t="s">
        <v>1063</v>
      </c>
      <c r="F2410" s="3">
        <v>0</v>
      </c>
      <c r="I2410" s="24" t="s">
        <v>2965</v>
      </c>
      <c r="J2410" s="24" t="s">
        <v>2924</v>
      </c>
      <c r="K2410" s="3">
        <v>18</v>
      </c>
      <c r="L2410" s="3" t="s">
        <v>2929</v>
      </c>
      <c r="M2410" s="3" t="str">
        <f>HYPERLINK("http://ictvonline.org/taxonomyHistory.asp?taxnode_id=20153008","ICTVonline=20153008")</f>
        <v>ICTVonline=20153008</v>
      </c>
    </row>
    <row r="2411" spans="1:13" x14ac:dyDescent="0.15">
      <c r="A2411" s="1" t="s">
        <v>934</v>
      </c>
      <c r="B2411" s="1" t="s">
        <v>1503</v>
      </c>
      <c r="D2411" s="1" t="s">
        <v>1062</v>
      </c>
      <c r="E2411" s="1" t="s">
        <v>1054</v>
      </c>
      <c r="F2411" s="3">
        <v>1</v>
      </c>
      <c r="I2411" s="24" t="s">
        <v>2965</v>
      </c>
      <c r="J2411" s="24" t="s">
        <v>2924</v>
      </c>
      <c r="K2411" s="3">
        <v>18</v>
      </c>
      <c r="L2411" s="3" t="s">
        <v>2929</v>
      </c>
      <c r="M2411" s="3" t="str">
        <f>HYPERLINK("http://ictvonline.org/taxonomyHistory.asp?taxnode_id=20153009","ICTVonline=20153009")</f>
        <v>ICTVonline=20153009</v>
      </c>
    </row>
    <row r="2412" spans="1:13" x14ac:dyDescent="0.15">
      <c r="A2412" s="1" t="s">
        <v>934</v>
      </c>
      <c r="B2412" s="1" t="s">
        <v>1503</v>
      </c>
      <c r="D2412" s="1" t="s">
        <v>1055</v>
      </c>
      <c r="E2412" s="1" t="s">
        <v>1056</v>
      </c>
      <c r="F2412" s="3">
        <v>1</v>
      </c>
      <c r="I2412" s="24" t="s">
        <v>2965</v>
      </c>
      <c r="J2412" s="24" t="s">
        <v>2931</v>
      </c>
      <c r="K2412" s="3">
        <v>18</v>
      </c>
      <c r="L2412" s="3" t="s">
        <v>2929</v>
      </c>
      <c r="M2412" s="3" t="str">
        <f>HYPERLINK("http://ictvonline.org/taxonomyHistory.asp?taxnode_id=20153011","ICTVonline=20153011")</f>
        <v>ICTVonline=20153011</v>
      </c>
    </row>
    <row r="2413" spans="1:13" x14ac:dyDescent="0.15">
      <c r="A2413" s="1" t="s">
        <v>934</v>
      </c>
      <c r="B2413" s="1" t="s">
        <v>1503</v>
      </c>
      <c r="D2413" s="1" t="s">
        <v>1057</v>
      </c>
      <c r="E2413" s="1" t="s">
        <v>1058</v>
      </c>
      <c r="F2413" s="3">
        <v>1</v>
      </c>
      <c r="I2413" s="24" t="s">
        <v>2965</v>
      </c>
      <c r="J2413" s="24" t="s">
        <v>2921</v>
      </c>
      <c r="K2413" s="3">
        <v>22</v>
      </c>
      <c r="L2413" s="3" t="s">
        <v>7025</v>
      </c>
      <c r="M2413" s="3" t="str">
        <f>HYPERLINK("http://ictvonline.org/taxonomyHistory.asp?taxnode_id=20153013","ICTVonline=20153013")</f>
        <v>ICTVonline=20153013</v>
      </c>
    </row>
    <row r="2414" spans="1:13" x14ac:dyDescent="0.15">
      <c r="A2414" s="1" t="s">
        <v>934</v>
      </c>
      <c r="B2414" s="1" t="s">
        <v>1503</v>
      </c>
      <c r="D2414" s="1" t="s">
        <v>1059</v>
      </c>
      <c r="E2414" s="1" t="s">
        <v>1060</v>
      </c>
      <c r="F2414" s="3">
        <v>0</v>
      </c>
      <c r="I2414" s="24" t="s">
        <v>2965</v>
      </c>
      <c r="J2414" s="24" t="s">
        <v>2919</v>
      </c>
      <c r="K2414" s="3">
        <v>22</v>
      </c>
      <c r="L2414" s="3" t="s">
        <v>7026</v>
      </c>
      <c r="M2414" s="3" t="str">
        <f>HYPERLINK("http://ictvonline.org/taxonomyHistory.asp?taxnode_id=20153015","ICTVonline=20153015")</f>
        <v>ICTVonline=20153015</v>
      </c>
    </row>
    <row r="2415" spans="1:13" x14ac:dyDescent="0.15">
      <c r="A2415" s="1" t="s">
        <v>934</v>
      </c>
      <c r="B2415" s="1" t="s">
        <v>1503</v>
      </c>
      <c r="D2415" s="1" t="s">
        <v>1059</v>
      </c>
      <c r="E2415" s="1" t="s">
        <v>1061</v>
      </c>
      <c r="F2415" s="3">
        <v>0</v>
      </c>
      <c r="I2415" s="24" t="s">
        <v>2965</v>
      </c>
      <c r="J2415" s="24" t="s">
        <v>2919</v>
      </c>
      <c r="K2415" s="3">
        <v>22</v>
      </c>
      <c r="L2415" s="3" t="s">
        <v>7026</v>
      </c>
      <c r="M2415" s="3" t="str">
        <f>HYPERLINK("http://ictvonline.org/taxonomyHistory.asp?taxnode_id=20153016","ICTVonline=20153016")</f>
        <v>ICTVonline=20153016</v>
      </c>
    </row>
    <row r="2416" spans="1:13" x14ac:dyDescent="0.15">
      <c r="A2416" s="1" t="s">
        <v>934</v>
      </c>
      <c r="B2416" s="1" t="s">
        <v>1503</v>
      </c>
      <c r="D2416" s="1" t="s">
        <v>1059</v>
      </c>
      <c r="E2416" s="1" t="s">
        <v>1143</v>
      </c>
      <c r="F2416" s="3">
        <v>0</v>
      </c>
      <c r="I2416" s="24" t="s">
        <v>2965</v>
      </c>
      <c r="J2416" s="24" t="s">
        <v>2919</v>
      </c>
      <c r="K2416" s="3">
        <v>22</v>
      </c>
      <c r="L2416" s="3" t="s">
        <v>7026</v>
      </c>
      <c r="M2416" s="3" t="str">
        <f>HYPERLINK("http://ictvonline.org/taxonomyHistory.asp?taxnode_id=20153017","ICTVonline=20153017")</f>
        <v>ICTVonline=20153017</v>
      </c>
    </row>
    <row r="2417" spans="1:13" x14ac:dyDescent="0.15">
      <c r="A2417" s="1" t="s">
        <v>934</v>
      </c>
      <c r="B2417" s="1" t="s">
        <v>1503</v>
      </c>
      <c r="D2417" s="1" t="s">
        <v>1059</v>
      </c>
      <c r="E2417" s="1" t="s">
        <v>1144</v>
      </c>
      <c r="F2417" s="3">
        <v>0</v>
      </c>
      <c r="I2417" s="24" t="s">
        <v>2965</v>
      </c>
      <c r="J2417" s="24" t="s">
        <v>2919</v>
      </c>
      <c r="K2417" s="3">
        <v>22</v>
      </c>
      <c r="L2417" s="3" t="s">
        <v>7026</v>
      </c>
      <c r="M2417" s="3" t="str">
        <f>HYPERLINK("http://ictvonline.org/taxonomyHistory.asp?taxnode_id=20153018","ICTVonline=20153018")</f>
        <v>ICTVonline=20153018</v>
      </c>
    </row>
    <row r="2418" spans="1:13" x14ac:dyDescent="0.15">
      <c r="A2418" s="1" t="s">
        <v>934</v>
      </c>
      <c r="B2418" s="1" t="s">
        <v>1503</v>
      </c>
      <c r="D2418" s="1" t="s">
        <v>1059</v>
      </c>
      <c r="E2418" s="1" t="s">
        <v>1145</v>
      </c>
      <c r="F2418" s="3">
        <v>1</v>
      </c>
      <c r="I2418" s="24" t="s">
        <v>2965</v>
      </c>
      <c r="J2418" s="24" t="s">
        <v>2921</v>
      </c>
      <c r="K2418" s="3">
        <v>7</v>
      </c>
      <c r="L2418" s="3" t="s">
        <v>2946</v>
      </c>
      <c r="M2418" s="3" t="str">
        <f>HYPERLINK("http://ictvonline.org/taxonomyHistory.asp?taxnode_id=20153019","ICTVonline=20153019")</f>
        <v>ICTVonline=20153019</v>
      </c>
    </row>
    <row r="2419" spans="1:13" x14ac:dyDescent="0.15">
      <c r="A2419" s="1" t="s">
        <v>934</v>
      </c>
      <c r="B2419" s="1" t="s">
        <v>1503</v>
      </c>
      <c r="D2419" s="1" t="s">
        <v>1059</v>
      </c>
      <c r="E2419" s="1" t="s">
        <v>1146</v>
      </c>
      <c r="F2419" s="3">
        <v>0</v>
      </c>
      <c r="I2419" s="24" t="s">
        <v>2965</v>
      </c>
      <c r="J2419" s="24" t="s">
        <v>2919</v>
      </c>
      <c r="K2419" s="3">
        <v>22</v>
      </c>
      <c r="L2419" s="3" t="s">
        <v>7026</v>
      </c>
      <c r="M2419" s="3" t="str">
        <f>HYPERLINK("http://ictvonline.org/taxonomyHistory.asp?taxnode_id=20153020","ICTVonline=20153020")</f>
        <v>ICTVonline=20153020</v>
      </c>
    </row>
    <row r="2420" spans="1:13" x14ac:dyDescent="0.15">
      <c r="A2420" s="1" t="s">
        <v>934</v>
      </c>
      <c r="B2420" s="1" t="s">
        <v>5677</v>
      </c>
      <c r="D2420" s="1" t="s">
        <v>5678</v>
      </c>
      <c r="E2420" s="1" t="s">
        <v>5679</v>
      </c>
      <c r="F2420" s="3">
        <v>1</v>
      </c>
      <c r="G2420" s="24" t="s">
        <v>5680</v>
      </c>
      <c r="H2420" s="24" t="s">
        <v>5681</v>
      </c>
      <c r="I2420" s="24" t="s">
        <v>2965</v>
      </c>
      <c r="J2420" s="24" t="s">
        <v>2919</v>
      </c>
      <c r="K2420" s="3">
        <v>30</v>
      </c>
      <c r="L2420" s="3" t="s">
        <v>7027</v>
      </c>
      <c r="M2420" s="3" t="str">
        <f>HYPERLINK("http://ictvonline.org/taxonomyHistory.asp?taxnode_id=20154637","ICTVonline=20154637")</f>
        <v>ICTVonline=20154637</v>
      </c>
    </row>
    <row r="2421" spans="1:13" x14ac:dyDescent="0.15">
      <c r="A2421" s="1" t="s">
        <v>934</v>
      </c>
      <c r="B2421" s="1" t="s">
        <v>5677</v>
      </c>
      <c r="D2421" s="1" t="s">
        <v>5682</v>
      </c>
      <c r="E2421" s="1" t="s">
        <v>5683</v>
      </c>
      <c r="F2421" s="3">
        <v>1</v>
      </c>
      <c r="G2421" s="24" t="s">
        <v>5684</v>
      </c>
      <c r="H2421" s="24" t="s">
        <v>5685</v>
      </c>
      <c r="I2421" s="24" t="s">
        <v>2965</v>
      </c>
      <c r="J2421" s="24" t="s">
        <v>2919</v>
      </c>
      <c r="K2421" s="3">
        <v>30</v>
      </c>
      <c r="L2421" s="3" t="s">
        <v>7027</v>
      </c>
      <c r="M2421" s="3" t="str">
        <f>HYPERLINK("http://ictvonline.org/taxonomyHistory.asp?taxnode_id=20154634","ICTVonline=20154634")</f>
        <v>ICTVonline=20154634</v>
      </c>
    </row>
    <row r="2422" spans="1:13" x14ac:dyDescent="0.15">
      <c r="A2422" s="1" t="s">
        <v>934</v>
      </c>
      <c r="B2422" s="1" t="s">
        <v>5677</v>
      </c>
      <c r="D2422" s="1" t="s">
        <v>5682</v>
      </c>
      <c r="E2422" s="1" t="s">
        <v>5686</v>
      </c>
      <c r="F2422" s="3">
        <v>0</v>
      </c>
      <c r="G2422" s="24" t="s">
        <v>5687</v>
      </c>
      <c r="H2422" s="24" t="s">
        <v>5688</v>
      </c>
      <c r="I2422" s="24" t="s">
        <v>2965</v>
      </c>
      <c r="J2422" s="24" t="s">
        <v>2919</v>
      </c>
      <c r="K2422" s="3">
        <v>30</v>
      </c>
      <c r="L2422" s="3" t="s">
        <v>7027</v>
      </c>
      <c r="M2422" s="3" t="str">
        <f>HYPERLINK("http://ictvonline.org/taxonomyHistory.asp?taxnode_id=20154635","ICTVonline=20154635")</f>
        <v>ICTVonline=20154635</v>
      </c>
    </row>
    <row r="2423" spans="1:13" x14ac:dyDescent="0.15">
      <c r="A2423" s="1" t="s">
        <v>934</v>
      </c>
      <c r="B2423" s="1" t="s">
        <v>1147</v>
      </c>
      <c r="D2423" s="1" t="s">
        <v>1148</v>
      </c>
      <c r="E2423" s="1" t="s">
        <v>5689</v>
      </c>
      <c r="F2423" s="3">
        <v>0</v>
      </c>
      <c r="I2423" s="24" t="s">
        <v>3265</v>
      </c>
      <c r="J2423" s="24" t="s">
        <v>2924</v>
      </c>
      <c r="K2423" s="3">
        <v>30</v>
      </c>
      <c r="L2423" s="3" t="s">
        <v>6745</v>
      </c>
      <c r="M2423" s="3" t="str">
        <f>HYPERLINK("http://ictvonline.org/taxonomyHistory.asp?taxnode_id=20153024","ICTVonline=20153024")</f>
        <v>ICTVonline=20153024</v>
      </c>
    </row>
    <row r="2424" spans="1:13" x14ac:dyDescent="0.15">
      <c r="A2424" s="1" t="s">
        <v>934</v>
      </c>
      <c r="B2424" s="1" t="s">
        <v>1147</v>
      </c>
      <c r="D2424" s="1" t="s">
        <v>1148</v>
      </c>
      <c r="E2424" s="1" t="s">
        <v>5690</v>
      </c>
      <c r="F2424" s="3">
        <v>1</v>
      </c>
      <c r="I2424" s="24" t="s">
        <v>3265</v>
      </c>
      <c r="J2424" s="24" t="s">
        <v>2924</v>
      </c>
      <c r="K2424" s="3">
        <v>30</v>
      </c>
      <c r="L2424" s="3" t="s">
        <v>6745</v>
      </c>
      <c r="M2424" s="3" t="str">
        <f>HYPERLINK("http://ictvonline.org/taxonomyHistory.asp?taxnode_id=20153025","ICTVonline=20153025")</f>
        <v>ICTVonline=20153025</v>
      </c>
    </row>
    <row r="2425" spans="1:13" x14ac:dyDescent="0.15">
      <c r="A2425" s="1" t="s">
        <v>934</v>
      </c>
      <c r="B2425" s="1" t="s">
        <v>1147</v>
      </c>
      <c r="D2425" s="1" t="s">
        <v>1734</v>
      </c>
      <c r="E2425" s="1" t="s">
        <v>5691</v>
      </c>
      <c r="F2425" s="3">
        <v>0</v>
      </c>
      <c r="I2425" s="24" t="s">
        <v>3265</v>
      </c>
      <c r="J2425" s="24" t="s">
        <v>2924</v>
      </c>
      <c r="K2425" s="3">
        <v>30</v>
      </c>
      <c r="L2425" s="3" t="s">
        <v>6745</v>
      </c>
      <c r="M2425" s="3" t="str">
        <f>HYPERLINK("http://ictvonline.org/taxonomyHistory.asp?taxnode_id=20153027","ICTVonline=20153027")</f>
        <v>ICTVonline=20153027</v>
      </c>
    </row>
    <row r="2426" spans="1:13" x14ac:dyDescent="0.15">
      <c r="A2426" s="1" t="s">
        <v>934</v>
      </c>
      <c r="B2426" s="1" t="s">
        <v>1147</v>
      </c>
      <c r="D2426" s="1" t="s">
        <v>1734</v>
      </c>
      <c r="E2426" s="1" t="s">
        <v>5692</v>
      </c>
      <c r="F2426" s="3">
        <v>1</v>
      </c>
      <c r="I2426" s="24" t="s">
        <v>3265</v>
      </c>
      <c r="J2426" s="24" t="s">
        <v>2924</v>
      </c>
      <c r="K2426" s="3">
        <v>30</v>
      </c>
      <c r="L2426" s="3" t="s">
        <v>6745</v>
      </c>
      <c r="M2426" s="3" t="str">
        <f>HYPERLINK("http://ictvonline.org/taxonomyHistory.asp?taxnode_id=20153028","ICTVonline=20153028")</f>
        <v>ICTVonline=20153028</v>
      </c>
    </row>
    <row r="2427" spans="1:13" x14ac:dyDescent="0.15">
      <c r="A2427" s="1" t="s">
        <v>934</v>
      </c>
      <c r="B2427" s="1" t="s">
        <v>2102</v>
      </c>
      <c r="D2427" s="1" t="s">
        <v>1167</v>
      </c>
      <c r="E2427" s="1" t="s">
        <v>2628</v>
      </c>
      <c r="F2427" s="3">
        <v>1</v>
      </c>
      <c r="G2427" s="24" t="s">
        <v>7883</v>
      </c>
      <c r="H2427" s="24" t="s">
        <v>7884</v>
      </c>
      <c r="I2427" s="24" t="s">
        <v>3265</v>
      </c>
      <c r="J2427" s="24" t="s">
        <v>2920</v>
      </c>
      <c r="K2427" s="3">
        <v>29</v>
      </c>
      <c r="L2427" s="3" t="s">
        <v>7128</v>
      </c>
      <c r="M2427" s="3" t="str">
        <f>HYPERLINK("http://ictvonline.org/taxonomyHistory.asp?taxnode_id=20153032","ICTVonline=20153032")</f>
        <v>ICTVonline=20153032</v>
      </c>
    </row>
    <row r="2428" spans="1:13" x14ac:dyDescent="0.15">
      <c r="A2428" s="1" t="s">
        <v>934</v>
      </c>
      <c r="B2428" s="1" t="s">
        <v>2102</v>
      </c>
      <c r="D2428" s="1" t="s">
        <v>1168</v>
      </c>
      <c r="E2428" s="1" t="s">
        <v>2629</v>
      </c>
      <c r="F2428" s="3">
        <v>0</v>
      </c>
      <c r="G2428" s="24" t="s">
        <v>5693</v>
      </c>
      <c r="H2428" s="24" t="s">
        <v>5694</v>
      </c>
      <c r="I2428" s="24" t="s">
        <v>3265</v>
      </c>
      <c r="J2428" s="24" t="s">
        <v>2919</v>
      </c>
      <c r="K2428" s="3">
        <v>28</v>
      </c>
      <c r="L2428" s="3" t="s">
        <v>7028</v>
      </c>
      <c r="M2428" s="3" t="str">
        <f>HYPERLINK("http://ictvonline.org/taxonomyHistory.asp?taxnode_id=20153034","ICTVonline=20153034")</f>
        <v>ICTVonline=20153034</v>
      </c>
    </row>
    <row r="2429" spans="1:13" x14ac:dyDescent="0.15">
      <c r="A2429" s="1" t="s">
        <v>934</v>
      </c>
      <c r="B2429" s="1" t="s">
        <v>2102</v>
      </c>
      <c r="D2429" s="1" t="s">
        <v>1168</v>
      </c>
      <c r="E2429" s="1" t="s">
        <v>2630</v>
      </c>
      <c r="F2429" s="3">
        <v>0</v>
      </c>
      <c r="I2429" s="24" t="s">
        <v>3265</v>
      </c>
      <c r="J2429" s="24" t="s">
        <v>2919</v>
      </c>
      <c r="K2429" s="3">
        <v>28</v>
      </c>
      <c r="L2429" s="3" t="s">
        <v>7028</v>
      </c>
      <c r="M2429" s="3" t="str">
        <f>HYPERLINK("http://ictvonline.org/taxonomyHistory.asp?taxnode_id=20153035","ICTVonline=20153035")</f>
        <v>ICTVonline=20153035</v>
      </c>
    </row>
    <row r="2430" spans="1:13" x14ac:dyDescent="0.15">
      <c r="A2430" s="1" t="s">
        <v>934</v>
      </c>
      <c r="B2430" s="1" t="s">
        <v>2102</v>
      </c>
      <c r="D2430" s="1" t="s">
        <v>1168</v>
      </c>
      <c r="E2430" s="1" t="s">
        <v>1606</v>
      </c>
      <c r="F2430" s="3">
        <v>0</v>
      </c>
      <c r="G2430" s="24" t="s">
        <v>7885</v>
      </c>
      <c r="H2430" s="24" t="s">
        <v>7886</v>
      </c>
      <c r="I2430" s="24" t="s">
        <v>3265</v>
      </c>
      <c r="J2430" s="24" t="s">
        <v>2923</v>
      </c>
      <c r="K2430" s="3">
        <v>28</v>
      </c>
      <c r="L2430" s="3" t="s">
        <v>7034</v>
      </c>
      <c r="M2430" s="3" t="str">
        <f>HYPERLINK("http://ictvonline.org/taxonomyHistory.asp?taxnode_id=20153036","ICTVonline=20153036")</f>
        <v>ICTVonline=20153036</v>
      </c>
    </row>
    <row r="2431" spans="1:13" x14ac:dyDescent="0.15">
      <c r="A2431" s="1" t="s">
        <v>934</v>
      </c>
      <c r="B2431" s="1" t="s">
        <v>2102</v>
      </c>
      <c r="D2431" s="1" t="s">
        <v>1168</v>
      </c>
      <c r="E2431" s="1" t="s">
        <v>1607</v>
      </c>
      <c r="F2431" s="3">
        <v>0</v>
      </c>
      <c r="G2431" s="24" t="s">
        <v>5695</v>
      </c>
      <c r="H2431" s="24" t="s">
        <v>5696</v>
      </c>
      <c r="I2431" s="24" t="s">
        <v>3265</v>
      </c>
      <c r="J2431" s="24" t="s">
        <v>2919</v>
      </c>
      <c r="K2431" s="3">
        <v>21</v>
      </c>
      <c r="L2431" s="3" t="s">
        <v>7029</v>
      </c>
      <c r="M2431" s="3" t="str">
        <f>HYPERLINK("http://ictvonline.org/taxonomyHistory.asp?taxnode_id=20153037","ICTVonline=20153037")</f>
        <v>ICTVonline=20153037</v>
      </c>
    </row>
    <row r="2432" spans="1:13" x14ac:dyDescent="0.15">
      <c r="A2432" s="1" t="s">
        <v>934</v>
      </c>
      <c r="B2432" s="1" t="s">
        <v>2102</v>
      </c>
      <c r="D2432" s="1" t="s">
        <v>1168</v>
      </c>
      <c r="E2432" s="1" t="s">
        <v>1608</v>
      </c>
      <c r="F2432" s="3">
        <v>1</v>
      </c>
      <c r="G2432" s="24" t="s">
        <v>7885</v>
      </c>
      <c r="H2432" s="24" t="s">
        <v>4881</v>
      </c>
      <c r="I2432" s="24" t="s">
        <v>3265</v>
      </c>
      <c r="J2432" s="24" t="s">
        <v>2923</v>
      </c>
      <c r="K2432" s="3">
        <v>28</v>
      </c>
      <c r="L2432" s="3" t="s">
        <v>7034</v>
      </c>
      <c r="M2432" s="3" t="str">
        <f>HYPERLINK("http://ictvonline.org/taxonomyHistory.asp?taxnode_id=20153038","ICTVonline=20153038")</f>
        <v>ICTVonline=20153038</v>
      </c>
    </row>
    <row r="2433" spans="1:13" x14ac:dyDescent="0.15">
      <c r="A2433" s="1" t="s">
        <v>934</v>
      </c>
      <c r="B2433" s="1" t="s">
        <v>2102</v>
      </c>
      <c r="D2433" s="1" t="s">
        <v>1168</v>
      </c>
      <c r="E2433" s="1" t="s">
        <v>1739</v>
      </c>
      <c r="F2433" s="3">
        <v>0</v>
      </c>
      <c r="G2433" s="24" t="s">
        <v>5697</v>
      </c>
      <c r="H2433" s="24" t="s">
        <v>5698</v>
      </c>
      <c r="I2433" s="24" t="s">
        <v>3265</v>
      </c>
      <c r="J2433" s="24" t="s">
        <v>2920</v>
      </c>
      <c r="K2433" s="3">
        <v>22</v>
      </c>
      <c r="L2433" s="3" t="s">
        <v>7030</v>
      </c>
      <c r="M2433" s="3" t="str">
        <f>HYPERLINK("http://ictvonline.org/taxonomyHistory.asp?taxnode_id=20153039","ICTVonline=20153039")</f>
        <v>ICTVonline=20153039</v>
      </c>
    </row>
    <row r="2434" spans="1:13" x14ac:dyDescent="0.15">
      <c r="A2434" s="1" t="s">
        <v>934</v>
      </c>
      <c r="B2434" s="1" t="s">
        <v>2102</v>
      </c>
      <c r="D2434" s="1" t="s">
        <v>1168</v>
      </c>
      <c r="E2434" s="1" t="s">
        <v>564</v>
      </c>
      <c r="F2434" s="3">
        <v>0</v>
      </c>
      <c r="G2434" s="24" t="s">
        <v>5699</v>
      </c>
      <c r="H2434" s="24" t="s">
        <v>5496</v>
      </c>
      <c r="I2434" s="24" t="s">
        <v>3265</v>
      </c>
      <c r="J2434" s="24" t="s">
        <v>2919</v>
      </c>
      <c r="K2434" s="3">
        <v>25</v>
      </c>
      <c r="L2434" s="3" t="s">
        <v>7031</v>
      </c>
      <c r="M2434" s="3" t="str">
        <f>HYPERLINK("http://ictvonline.org/taxonomyHistory.asp?taxnode_id=20153040","ICTVonline=20153040")</f>
        <v>ICTVonline=20153040</v>
      </c>
    </row>
    <row r="2435" spans="1:13" x14ac:dyDescent="0.15">
      <c r="A2435" s="1" t="s">
        <v>934</v>
      </c>
      <c r="B2435" s="1" t="s">
        <v>2102</v>
      </c>
      <c r="D2435" s="1" t="s">
        <v>1168</v>
      </c>
      <c r="E2435" s="1" t="s">
        <v>1170</v>
      </c>
      <c r="F2435" s="3">
        <v>0</v>
      </c>
      <c r="G2435" s="24" t="s">
        <v>5700</v>
      </c>
      <c r="H2435" s="24" t="s">
        <v>5701</v>
      </c>
      <c r="I2435" s="24" t="s">
        <v>3265</v>
      </c>
      <c r="J2435" s="24" t="s">
        <v>2920</v>
      </c>
      <c r="K2435" s="3">
        <v>22</v>
      </c>
      <c r="L2435" s="3" t="s">
        <v>7030</v>
      </c>
      <c r="M2435" s="3" t="str">
        <f>HYPERLINK("http://ictvonline.org/taxonomyHistory.asp?taxnode_id=20153041","ICTVonline=20153041")</f>
        <v>ICTVonline=20153041</v>
      </c>
    </row>
    <row r="2436" spans="1:13" x14ac:dyDescent="0.15">
      <c r="A2436" s="1" t="s">
        <v>934</v>
      </c>
      <c r="B2436" s="1" t="s">
        <v>2102</v>
      </c>
      <c r="D2436" s="1" t="s">
        <v>1741</v>
      </c>
      <c r="E2436" s="1" t="s">
        <v>1742</v>
      </c>
      <c r="F2436" s="3">
        <v>0</v>
      </c>
      <c r="G2436" s="24" t="s">
        <v>5702</v>
      </c>
      <c r="H2436" s="24" t="s">
        <v>5703</v>
      </c>
      <c r="I2436" s="24" t="s">
        <v>3265</v>
      </c>
      <c r="J2436" s="24" t="s">
        <v>2919</v>
      </c>
      <c r="K2436" s="3">
        <v>20</v>
      </c>
      <c r="L2436" s="3" t="s">
        <v>2925</v>
      </c>
      <c r="M2436" s="3" t="str">
        <f>HYPERLINK("http://ictvonline.org/taxonomyHistory.asp?taxnode_id=20153043","ICTVonline=20153043")</f>
        <v>ICTVonline=20153043</v>
      </c>
    </row>
    <row r="2437" spans="1:13" x14ac:dyDescent="0.15">
      <c r="A2437" s="1" t="s">
        <v>934</v>
      </c>
      <c r="B2437" s="1" t="s">
        <v>2102</v>
      </c>
      <c r="D2437" s="1" t="s">
        <v>1741</v>
      </c>
      <c r="E2437" s="1" t="s">
        <v>2107</v>
      </c>
      <c r="F2437" s="3">
        <v>0</v>
      </c>
      <c r="G2437" s="24" t="s">
        <v>5704</v>
      </c>
      <c r="H2437" s="24" t="s">
        <v>5705</v>
      </c>
      <c r="I2437" s="24" t="s">
        <v>3265</v>
      </c>
      <c r="J2437" s="24" t="s">
        <v>2919</v>
      </c>
      <c r="K2437" s="3">
        <v>17</v>
      </c>
      <c r="L2437" s="3" t="s">
        <v>2928</v>
      </c>
      <c r="M2437" s="3" t="str">
        <f>HYPERLINK("http://ictvonline.org/taxonomyHistory.asp?taxnode_id=20153044","ICTVonline=20153044")</f>
        <v>ICTVonline=20153044</v>
      </c>
    </row>
    <row r="2438" spans="1:13" x14ac:dyDescent="0.15">
      <c r="A2438" s="1" t="s">
        <v>934</v>
      </c>
      <c r="B2438" s="1" t="s">
        <v>2102</v>
      </c>
      <c r="D2438" s="1" t="s">
        <v>1741</v>
      </c>
      <c r="E2438" s="1" t="s">
        <v>1743</v>
      </c>
      <c r="F2438" s="3">
        <v>0</v>
      </c>
      <c r="G2438" s="24" t="s">
        <v>5706</v>
      </c>
      <c r="H2438" s="24" t="s">
        <v>4744</v>
      </c>
      <c r="I2438" s="24" t="s">
        <v>3265</v>
      </c>
      <c r="J2438" s="24" t="s">
        <v>2920</v>
      </c>
      <c r="K2438" s="3">
        <v>17</v>
      </c>
      <c r="L2438" s="3" t="s">
        <v>2928</v>
      </c>
      <c r="M2438" s="3" t="str">
        <f>HYPERLINK("http://ictvonline.org/taxonomyHistory.asp?taxnode_id=20153045","ICTVonline=20153045")</f>
        <v>ICTVonline=20153045</v>
      </c>
    </row>
    <row r="2439" spans="1:13" x14ac:dyDescent="0.15">
      <c r="A2439" s="1" t="s">
        <v>934</v>
      </c>
      <c r="B2439" s="1" t="s">
        <v>2102</v>
      </c>
      <c r="D2439" s="1" t="s">
        <v>1741</v>
      </c>
      <c r="E2439" s="1" t="s">
        <v>1744</v>
      </c>
      <c r="F2439" s="3">
        <v>0</v>
      </c>
      <c r="G2439" s="24" t="s">
        <v>5707</v>
      </c>
      <c r="H2439" s="24" t="s">
        <v>5708</v>
      </c>
      <c r="I2439" s="24" t="s">
        <v>3265</v>
      </c>
      <c r="J2439" s="24" t="s">
        <v>2920</v>
      </c>
      <c r="K2439" s="3">
        <v>24</v>
      </c>
      <c r="L2439" s="3" t="s">
        <v>7032</v>
      </c>
      <c r="M2439" s="3" t="str">
        <f>HYPERLINK("http://ictvonline.org/taxonomyHistory.asp?taxnode_id=20153046","ICTVonline=20153046")</f>
        <v>ICTVonline=20153046</v>
      </c>
    </row>
    <row r="2440" spans="1:13" x14ac:dyDescent="0.15">
      <c r="A2440" s="1" t="s">
        <v>934</v>
      </c>
      <c r="B2440" s="1" t="s">
        <v>2102</v>
      </c>
      <c r="D2440" s="1" t="s">
        <v>1741</v>
      </c>
      <c r="E2440" s="1" t="s">
        <v>1609</v>
      </c>
      <c r="F2440" s="3">
        <v>0</v>
      </c>
      <c r="G2440" s="24" t="s">
        <v>5709</v>
      </c>
      <c r="H2440" s="24" t="s">
        <v>5710</v>
      </c>
      <c r="I2440" s="24" t="s">
        <v>3265</v>
      </c>
      <c r="J2440" s="24" t="s">
        <v>2919</v>
      </c>
      <c r="K2440" s="3">
        <v>20</v>
      </c>
      <c r="L2440" s="3" t="s">
        <v>2925</v>
      </c>
      <c r="M2440" s="3" t="str">
        <f>HYPERLINK("http://ictvonline.org/taxonomyHistory.asp?taxnode_id=20153047","ICTVonline=20153047")</f>
        <v>ICTVonline=20153047</v>
      </c>
    </row>
    <row r="2441" spans="1:13" x14ac:dyDescent="0.15">
      <c r="A2441" s="1" t="s">
        <v>934</v>
      </c>
      <c r="B2441" s="1" t="s">
        <v>2102</v>
      </c>
      <c r="D2441" s="1" t="s">
        <v>1741</v>
      </c>
      <c r="E2441" s="1" t="s">
        <v>1610</v>
      </c>
      <c r="F2441" s="3">
        <v>0</v>
      </c>
      <c r="G2441" s="24" t="s">
        <v>7885</v>
      </c>
      <c r="H2441" s="24" t="s">
        <v>5716</v>
      </c>
      <c r="I2441" s="24" t="s">
        <v>3265</v>
      </c>
      <c r="J2441" s="24" t="s">
        <v>2923</v>
      </c>
      <c r="K2441" s="3">
        <v>28</v>
      </c>
      <c r="L2441" s="3" t="s">
        <v>7034</v>
      </c>
      <c r="M2441" s="3" t="str">
        <f>HYPERLINK("http://ictvonline.org/taxonomyHistory.asp?taxnode_id=20153048","ICTVonline=20153048")</f>
        <v>ICTVonline=20153048</v>
      </c>
    </row>
    <row r="2442" spans="1:13" x14ac:dyDescent="0.15">
      <c r="A2442" s="1" t="s">
        <v>934</v>
      </c>
      <c r="B2442" s="1" t="s">
        <v>2102</v>
      </c>
      <c r="D2442" s="1" t="s">
        <v>1741</v>
      </c>
      <c r="E2442" s="1" t="s">
        <v>565</v>
      </c>
      <c r="F2442" s="3">
        <v>0</v>
      </c>
      <c r="G2442" s="24" t="s">
        <v>5711</v>
      </c>
      <c r="H2442" s="24" t="s">
        <v>5712</v>
      </c>
      <c r="I2442" s="24" t="s">
        <v>3265</v>
      </c>
      <c r="J2442" s="24" t="s">
        <v>2919</v>
      </c>
      <c r="K2442" s="3">
        <v>25</v>
      </c>
      <c r="L2442" s="3" t="s">
        <v>7031</v>
      </c>
      <c r="M2442" s="3" t="str">
        <f>HYPERLINK("http://ictvonline.org/taxonomyHistory.asp?taxnode_id=20153049","ICTVonline=20153049")</f>
        <v>ICTVonline=20153049</v>
      </c>
    </row>
    <row r="2443" spans="1:13" x14ac:dyDescent="0.15">
      <c r="A2443" s="1" t="s">
        <v>934</v>
      </c>
      <c r="B2443" s="1" t="s">
        <v>2102</v>
      </c>
      <c r="D2443" s="1" t="s">
        <v>1741</v>
      </c>
      <c r="E2443" s="1" t="s">
        <v>2631</v>
      </c>
      <c r="F2443" s="3">
        <v>0</v>
      </c>
      <c r="G2443" s="24" t="s">
        <v>5713</v>
      </c>
      <c r="H2443" s="24" t="s">
        <v>5714</v>
      </c>
      <c r="I2443" s="24" t="s">
        <v>3265</v>
      </c>
      <c r="J2443" s="24" t="s">
        <v>2919</v>
      </c>
      <c r="K2443" s="3">
        <v>28</v>
      </c>
      <c r="L2443" s="3" t="s">
        <v>7033</v>
      </c>
      <c r="M2443" s="3" t="str">
        <f>HYPERLINK("http://ictvonline.org/taxonomyHistory.asp?taxnode_id=20153050","ICTVonline=20153050")</f>
        <v>ICTVonline=20153050</v>
      </c>
    </row>
    <row r="2444" spans="1:13" x14ac:dyDescent="0.15">
      <c r="A2444" s="1" t="s">
        <v>934</v>
      </c>
      <c r="B2444" s="1" t="s">
        <v>2102</v>
      </c>
      <c r="D2444" s="1" t="s">
        <v>1741</v>
      </c>
      <c r="E2444" s="1" t="s">
        <v>1745</v>
      </c>
      <c r="F2444" s="3">
        <v>0</v>
      </c>
      <c r="G2444" s="24" t="s">
        <v>5715</v>
      </c>
      <c r="H2444" s="24" t="s">
        <v>5716</v>
      </c>
      <c r="I2444" s="24" t="s">
        <v>3265</v>
      </c>
      <c r="J2444" s="24" t="s">
        <v>2919</v>
      </c>
      <c r="K2444" s="3">
        <v>17</v>
      </c>
      <c r="L2444" s="3" t="s">
        <v>2928</v>
      </c>
      <c r="M2444" s="3" t="str">
        <f>HYPERLINK("http://ictvonline.org/taxonomyHistory.asp?taxnode_id=20153051","ICTVonline=20153051")</f>
        <v>ICTVonline=20153051</v>
      </c>
    </row>
    <row r="2445" spans="1:13" x14ac:dyDescent="0.15">
      <c r="A2445" s="1" t="s">
        <v>934</v>
      </c>
      <c r="B2445" s="1" t="s">
        <v>2102</v>
      </c>
      <c r="D2445" s="1" t="s">
        <v>1741</v>
      </c>
      <c r="E2445" s="1" t="s">
        <v>2632</v>
      </c>
      <c r="F2445" s="3">
        <v>0</v>
      </c>
      <c r="G2445" s="24" t="s">
        <v>7885</v>
      </c>
      <c r="H2445" s="24" t="s">
        <v>8005</v>
      </c>
      <c r="I2445" s="24" t="s">
        <v>3265</v>
      </c>
      <c r="J2445" s="24" t="s">
        <v>2923</v>
      </c>
      <c r="K2445" s="3">
        <v>28</v>
      </c>
      <c r="L2445" s="3" t="s">
        <v>7034</v>
      </c>
      <c r="M2445" s="3" t="str">
        <f>HYPERLINK("http://ictvonline.org/taxonomyHistory.asp?taxnode_id=20153052","ICTVonline=20153052")</f>
        <v>ICTVonline=20153052</v>
      </c>
    </row>
    <row r="2446" spans="1:13" x14ac:dyDescent="0.15">
      <c r="A2446" s="1" t="s">
        <v>934</v>
      </c>
      <c r="B2446" s="1" t="s">
        <v>2102</v>
      </c>
      <c r="D2446" s="1" t="s">
        <v>1741</v>
      </c>
      <c r="E2446" s="1" t="s">
        <v>566</v>
      </c>
      <c r="F2446" s="3">
        <v>0</v>
      </c>
      <c r="G2446" s="24" t="s">
        <v>5717</v>
      </c>
      <c r="H2446" s="24" t="s">
        <v>5718</v>
      </c>
      <c r="I2446" s="24" t="s">
        <v>3265</v>
      </c>
      <c r="J2446" s="24" t="s">
        <v>2919</v>
      </c>
      <c r="K2446" s="3">
        <v>25</v>
      </c>
      <c r="L2446" s="3" t="s">
        <v>7031</v>
      </c>
      <c r="M2446" s="3" t="str">
        <f>HYPERLINK("http://ictvonline.org/taxonomyHistory.asp?taxnode_id=20153053","ICTVonline=20153053")</f>
        <v>ICTVonline=20153053</v>
      </c>
    </row>
    <row r="2447" spans="1:13" x14ac:dyDescent="0.15">
      <c r="A2447" s="1" t="s">
        <v>934</v>
      </c>
      <c r="B2447" s="1" t="s">
        <v>2102</v>
      </c>
      <c r="D2447" s="1" t="s">
        <v>1741</v>
      </c>
      <c r="E2447" s="1" t="s">
        <v>2633</v>
      </c>
      <c r="F2447" s="3">
        <v>0</v>
      </c>
      <c r="G2447" s="24" t="s">
        <v>5719</v>
      </c>
      <c r="H2447" s="24" t="s">
        <v>4710</v>
      </c>
      <c r="I2447" s="24" t="s">
        <v>3265</v>
      </c>
      <c r="J2447" s="24" t="s">
        <v>2919</v>
      </c>
      <c r="K2447" s="3">
        <v>28</v>
      </c>
      <c r="L2447" s="3" t="s">
        <v>7033</v>
      </c>
      <c r="M2447" s="3" t="str">
        <f>HYPERLINK("http://ictvonline.org/taxonomyHistory.asp?taxnode_id=20153054","ICTVonline=20153054")</f>
        <v>ICTVonline=20153054</v>
      </c>
    </row>
    <row r="2448" spans="1:13" x14ac:dyDescent="0.15">
      <c r="A2448" s="1" t="s">
        <v>934</v>
      </c>
      <c r="B2448" s="1" t="s">
        <v>2102</v>
      </c>
      <c r="D2448" s="1" t="s">
        <v>1741</v>
      </c>
      <c r="E2448" s="1" t="s">
        <v>1746</v>
      </c>
      <c r="F2448" s="3">
        <v>1</v>
      </c>
      <c r="G2448" s="24" t="s">
        <v>5720</v>
      </c>
      <c r="H2448" s="24" t="s">
        <v>6713</v>
      </c>
      <c r="I2448" s="24" t="s">
        <v>3265</v>
      </c>
      <c r="J2448" s="24" t="s">
        <v>2939</v>
      </c>
      <c r="K2448" s="3">
        <v>18</v>
      </c>
      <c r="L2448" s="3" t="s">
        <v>2929</v>
      </c>
      <c r="M2448" s="3" t="str">
        <f>HYPERLINK("http://ictvonline.org/taxonomyHistory.asp?taxnode_id=20153055","ICTVonline=20153055")</f>
        <v>ICTVonline=20153055</v>
      </c>
    </row>
    <row r="2449" spans="1:13" x14ac:dyDescent="0.15">
      <c r="A2449" s="1" t="s">
        <v>934</v>
      </c>
      <c r="B2449" s="1" t="s">
        <v>2102</v>
      </c>
      <c r="D2449" s="1" t="s">
        <v>1741</v>
      </c>
      <c r="E2449" s="1" t="s">
        <v>2634</v>
      </c>
      <c r="F2449" s="3">
        <v>0</v>
      </c>
      <c r="G2449" s="24" t="s">
        <v>5721</v>
      </c>
      <c r="H2449" s="24" t="s">
        <v>5722</v>
      </c>
      <c r="I2449" s="24" t="s">
        <v>3265</v>
      </c>
      <c r="J2449" s="24" t="s">
        <v>2919</v>
      </c>
      <c r="K2449" s="3">
        <v>28</v>
      </c>
      <c r="L2449" s="3" t="s">
        <v>7033</v>
      </c>
      <c r="M2449" s="3" t="str">
        <f>HYPERLINK("http://ictvonline.org/taxonomyHistory.asp?taxnode_id=20153056","ICTVonline=20153056")</f>
        <v>ICTVonline=20153056</v>
      </c>
    </row>
    <row r="2450" spans="1:13" x14ac:dyDescent="0.15">
      <c r="A2450" s="1" t="s">
        <v>934</v>
      </c>
      <c r="B2450" s="1" t="s">
        <v>2102</v>
      </c>
      <c r="D2450" s="1" t="s">
        <v>1741</v>
      </c>
      <c r="E2450" s="1" t="s">
        <v>1747</v>
      </c>
      <c r="F2450" s="3">
        <v>0</v>
      </c>
      <c r="G2450" s="24" t="s">
        <v>5723</v>
      </c>
      <c r="H2450" s="24" t="s">
        <v>5724</v>
      </c>
      <c r="I2450" s="24" t="s">
        <v>3265</v>
      </c>
      <c r="J2450" s="24" t="s">
        <v>2920</v>
      </c>
      <c r="K2450" s="3">
        <v>22</v>
      </c>
      <c r="L2450" s="3" t="s">
        <v>7035</v>
      </c>
      <c r="M2450" s="3" t="str">
        <f>HYPERLINK("http://ictvonline.org/taxonomyHistory.asp?taxnode_id=20153057","ICTVonline=20153057")</f>
        <v>ICTVonline=20153057</v>
      </c>
    </row>
    <row r="2451" spans="1:13" x14ac:dyDescent="0.15">
      <c r="A2451" s="1" t="s">
        <v>934</v>
      </c>
      <c r="B2451" s="1" t="s">
        <v>2102</v>
      </c>
      <c r="D2451" s="1" t="s">
        <v>1741</v>
      </c>
      <c r="E2451" s="1" t="s">
        <v>1754</v>
      </c>
      <c r="F2451" s="3">
        <v>0</v>
      </c>
      <c r="G2451" s="24" t="s">
        <v>5725</v>
      </c>
      <c r="H2451" s="24" t="s">
        <v>5726</v>
      </c>
      <c r="I2451" s="24" t="s">
        <v>3265</v>
      </c>
      <c r="J2451" s="24" t="s">
        <v>2920</v>
      </c>
      <c r="K2451" s="3">
        <v>25</v>
      </c>
      <c r="L2451" s="3" t="s">
        <v>7031</v>
      </c>
      <c r="M2451" s="3" t="str">
        <f>HYPERLINK("http://ictvonline.org/taxonomyHistory.asp?taxnode_id=20153058","ICTVonline=20153058")</f>
        <v>ICTVonline=20153058</v>
      </c>
    </row>
    <row r="2452" spans="1:13" x14ac:dyDescent="0.15">
      <c r="A2452" s="1" t="s">
        <v>934</v>
      </c>
      <c r="B2452" s="1" t="s">
        <v>2102</v>
      </c>
      <c r="D2452" s="1" t="s">
        <v>1741</v>
      </c>
      <c r="E2452" s="1" t="s">
        <v>1748</v>
      </c>
      <c r="F2452" s="3">
        <v>0</v>
      </c>
      <c r="G2452" s="24" t="s">
        <v>5727</v>
      </c>
      <c r="H2452" s="24" t="s">
        <v>5728</v>
      </c>
      <c r="I2452" s="24" t="s">
        <v>3265</v>
      </c>
      <c r="J2452" s="24" t="s">
        <v>2919</v>
      </c>
      <c r="K2452" s="3">
        <v>21</v>
      </c>
      <c r="L2452" s="3" t="s">
        <v>7029</v>
      </c>
      <c r="M2452" s="3" t="str">
        <f>HYPERLINK("http://ictvonline.org/taxonomyHistory.asp?taxnode_id=20153059","ICTVonline=20153059")</f>
        <v>ICTVonline=20153059</v>
      </c>
    </row>
    <row r="2453" spans="1:13" x14ac:dyDescent="0.15">
      <c r="A2453" s="1" t="s">
        <v>934</v>
      </c>
      <c r="B2453" s="1" t="s">
        <v>2102</v>
      </c>
      <c r="D2453" s="1" t="s">
        <v>934</v>
      </c>
      <c r="E2453" s="1" t="s">
        <v>1611</v>
      </c>
      <c r="F2453" s="3">
        <v>0</v>
      </c>
      <c r="I2453" s="24" t="s">
        <v>3265</v>
      </c>
      <c r="J2453" s="24" t="s">
        <v>2919</v>
      </c>
      <c r="K2453" s="3">
        <v>18</v>
      </c>
      <c r="L2453" s="3" t="s">
        <v>2929</v>
      </c>
      <c r="M2453" s="3" t="str">
        <f>HYPERLINK("http://ictvonline.org/taxonomyHistory.asp?taxnode_id=20153061","ICTVonline=20153061")</f>
        <v>ICTVonline=20153061</v>
      </c>
    </row>
    <row r="2454" spans="1:13" x14ac:dyDescent="0.15">
      <c r="A2454" s="1" t="s">
        <v>934</v>
      </c>
      <c r="B2454" s="1" t="s">
        <v>2102</v>
      </c>
      <c r="D2454" s="1" t="s">
        <v>934</v>
      </c>
      <c r="E2454" s="1" t="s">
        <v>1612</v>
      </c>
      <c r="F2454" s="3">
        <v>0</v>
      </c>
      <c r="G2454" s="24" t="s">
        <v>7885</v>
      </c>
      <c r="H2454" s="24" t="s">
        <v>8005</v>
      </c>
      <c r="I2454" s="24" t="s">
        <v>3265</v>
      </c>
      <c r="J2454" s="24" t="s">
        <v>2923</v>
      </c>
      <c r="K2454" s="3">
        <v>28</v>
      </c>
      <c r="L2454" s="3" t="s">
        <v>7034</v>
      </c>
      <c r="M2454" s="3" t="str">
        <f>HYPERLINK("http://ictvonline.org/taxonomyHistory.asp?taxnode_id=20153062","ICTVonline=20153062")</f>
        <v>ICTVonline=20153062</v>
      </c>
    </row>
    <row r="2455" spans="1:13" x14ac:dyDescent="0.15">
      <c r="A2455" s="1" t="s">
        <v>934</v>
      </c>
      <c r="B2455" s="1" t="s">
        <v>2102</v>
      </c>
      <c r="D2455" s="1" t="s">
        <v>934</v>
      </c>
      <c r="E2455" s="1" t="s">
        <v>1171</v>
      </c>
      <c r="F2455" s="3">
        <v>0</v>
      </c>
      <c r="I2455" s="24" t="s">
        <v>3265</v>
      </c>
      <c r="J2455" s="24" t="s">
        <v>2924</v>
      </c>
      <c r="K2455" s="3">
        <v>18</v>
      </c>
      <c r="L2455" s="3" t="s">
        <v>2929</v>
      </c>
      <c r="M2455" s="3" t="str">
        <f>HYPERLINK("http://ictvonline.org/taxonomyHistory.asp?taxnode_id=20153063","ICTVonline=20153063")</f>
        <v>ICTVonline=20153063</v>
      </c>
    </row>
    <row r="2456" spans="1:13" x14ac:dyDescent="0.15">
      <c r="A2456" s="1" t="s">
        <v>934</v>
      </c>
      <c r="B2456" s="1" t="s">
        <v>2102</v>
      </c>
      <c r="D2456" s="1" t="s">
        <v>934</v>
      </c>
      <c r="E2456" s="1" t="s">
        <v>2109</v>
      </c>
      <c r="F2456" s="3">
        <v>0</v>
      </c>
      <c r="I2456" s="24" t="s">
        <v>3265</v>
      </c>
      <c r="J2456" s="24" t="s">
        <v>2920</v>
      </c>
      <c r="K2456" s="3">
        <v>17</v>
      </c>
      <c r="L2456" s="3" t="s">
        <v>2928</v>
      </c>
      <c r="M2456" s="3" t="str">
        <f>HYPERLINK("http://ictvonline.org/taxonomyHistory.asp?taxnode_id=20153064","ICTVonline=20153064")</f>
        <v>ICTVonline=20153064</v>
      </c>
    </row>
    <row r="2457" spans="1:13" x14ac:dyDescent="0.15">
      <c r="A2457" s="1" t="s">
        <v>934</v>
      </c>
      <c r="B2457" s="1" t="s">
        <v>2102</v>
      </c>
      <c r="D2457" s="1" t="s">
        <v>934</v>
      </c>
      <c r="E2457" s="1" t="s">
        <v>2110</v>
      </c>
      <c r="F2457" s="3">
        <v>0</v>
      </c>
      <c r="I2457" s="24" t="s">
        <v>3265</v>
      </c>
      <c r="J2457" s="24" t="s">
        <v>2920</v>
      </c>
      <c r="K2457" s="3">
        <v>17</v>
      </c>
      <c r="L2457" s="3" t="s">
        <v>2928</v>
      </c>
      <c r="M2457" s="3" t="str">
        <f>HYPERLINK("http://ictvonline.org/taxonomyHistory.asp?taxnode_id=20153065","ICTVonline=20153065")</f>
        <v>ICTVonline=20153065</v>
      </c>
    </row>
    <row r="2458" spans="1:13" x14ac:dyDescent="0.15">
      <c r="A2458" s="1" t="s">
        <v>934</v>
      </c>
      <c r="B2458" s="1" t="s">
        <v>2102</v>
      </c>
      <c r="D2458" s="1" t="s">
        <v>934</v>
      </c>
      <c r="E2458" s="1" t="s">
        <v>2111</v>
      </c>
      <c r="F2458" s="3">
        <v>0</v>
      </c>
      <c r="I2458" s="24" t="s">
        <v>3265</v>
      </c>
      <c r="J2458" s="24" t="s">
        <v>2919</v>
      </c>
      <c r="K2458" s="3">
        <v>17</v>
      </c>
      <c r="L2458" s="3" t="s">
        <v>2928</v>
      </c>
      <c r="M2458" s="3" t="str">
        <f>HYPERLINK("http://ictvonline.org/taxonomyHistory.asp?taxnode_id=20153066","ICTVonline=20153066")</f>
        <v>ICTVonline=20153066</v>
      </c>
    </row>
    <row r="2459" spans="1:13" x14ac:dyDescent="0.15">
      <c r="A2459" s="1" t="s">
        <v>934</v>
      </c>
      <c r="B2459" s="1" t="s">
        <v>2102</v>
      </c>
      <c r="D2459" s="1" t="s">
        <v>934</v>
      </c>
      <c r="E2459" s="1" t="s">
        <v>2112</v>
      </c>
      <c r="F2459" s="3">
        <v>0</v>
      </c>
      <c r="I2459" s="24" t="s">
        <v>3265</v>
      </c>
      <c r="J2459" s="24" t="s">
        <v>2920</v>
      </c>
      <c r="K2459" s="3">
        <v>18</v>
      </c>
      <c r="L2459" s="3" t="s">
        <v>2929</v>
      </c>
      <c r="M2459" s="3" t="str">
        <f>HYPERLINK("http://ictvonline.org/taxonomyHistory.asp?taxnode_id=20153067","ICTVonline=20153067")</f>
        <v>ICTVonline=20153067</v>
      </c>
    </row>
    <row r="2460" spans="1:13" x14ac:dyDescent="0.15">
      <c r="A2460" s="1" t="s">
        <v>934</v>
      </c>
      <c r="B2460" s="1" t="s">
        <v>2635</v>
      </c>
      <c r="D2460" s="1" t="s">
        <v>2636</v>
      </c>
      <c r="E2460" s="1" t="s">
        <v>2637</v>
      </c>
      <c r="F2460" s="3">
        <v>1</v>
      </c>
      <c r="I2460" s="24" t="s">
        <v>2965</v>
      </c>
      <c r="J2460" s="24" t="s">
        <v>2919</v>
      </c>
      <c r="K2460" s="3">
        <v>28</v>
      </c>
      <c r="L2460" s="3" t="s">
        <v>7036</v>
      </c>
      <c r="M2460" s="3" t="str">
        <f>HYPERLINK("http://ictvonline.org/taxonomyHistory.asp?taxnode_id=20153071","ICTVonline=20153071")</f>
        <v>ICTVonline=20153071</v>
      </c>
    </row>
    <row r="2461" spans="1:13" x14ac:dyDescent="0.15">
      <c r="A2461" s="1" t="s">
        <v>934</v>
      </c>
      <c r="B2461" s="1" t="s">
        <v>2635</v>
      </c>
      <c r="D2461" s="1" t="s">
        <v>2636</v>
      </c>
      <c r="E2461" s="1" t="s">
        <v>2638</v>
      </c>
      <c r="F2461" s="3">
        <v>0</v>
      </c>
      <c r="I2461" s="24" t="s">
        <v>2965</v>
      </c>
      <c r="J2461" s="24" t="s">
        <v>2919</v>
      </c>
      <c r="K2461" s="3">
        <v>28</v>
      </c>
      <c r="L2461" s="3" t="s">
        <v>7036</v>
      </c>
      <c r="M2461" s="3" t="str">
        <f>HYPERLINK("http://ictvonline.org/taxonomyHistory.asp?taxnode_id=20153072","ICTVonline=20153072")</f>
        <v>ICTVonline=20153072</v>
      </c>
    </row>
    <row r="2462" spans="1:13" x14ac:dyDescent="0.15">
      <c r="A2462" s="1" t="s">
        <v>934</v>
      </c>
      <c r="B2462" s="1" t="s">
        <v>2635</v>
      </c>
      <c r="D2462" s="1" t="s">
        <v>934</v>
      </c>
      <c r="E2462" s="1" t="s">
        <v>2639</v>
      </c>
      <c r="F2462" s="3">
        <v>0</v>
      </c>
      <c r="I2462" s="24" t="s">
        <v>2965</v>
      </c>
      <c r="J2462" s="24" t="s">
        <v>2919</v>
      </c>
      <c r="K2462" s="3">
        <v>28</v>
      </c>
      <c r="L2462" s="3" t="s">
        <v>7036</v>
      </c>
      <c r="M2462" s="3" t="str">
        <f>HYPERLINK("http://ictvonline.org/taxonomyHistory.asp?taxnode_id=20153074","ICTVonline=20153074")</f>
        <v>ICTVonline=20153074</v>
      </c>
    </row>
    <row r="2463" spans="1:13" x14ac:dyDescent="0.15">
      <c r="A2463" s="1" t="s">
        <v>934</v>
      </c>
      <c r="B2463" s="1" t="s">
        <v>2635</v>
      </c>
      <c r="D2463" s="1" t="s">
        <v>934</v>
      </c>
      <c r="E2463" s="1" t="s">
        <v>2640</v>
      </c>
      <c r="F2463" s="3">
        <v>0</v>
      </c>
      <c r="I2463" s="24" t="s">
        <v>2965</v>
      </c>
      <c r="J2463" s="24" t="s">
        <v>2919</v>
      </c>
      <c r="K2463" s="3">
        <v>28</v>
      </c>
      <c r="L2463" s="3" t="s">
        <v>7036</v>
      </c>
      <c r="M2463" s="3" t="str">
        <f>HYPERLINK("http://ictvonline.org/taxonomyHistory.asp?taxnode_id=20153075","ICTVonline=20153075")</f>
        <v>ICTVonline=20153075</v>
      </c>
    </row>
    <row r="2464" spans="1:13" x14ac:dyDescent="0.15">
      <c r="A2464" s="1" t="s">
        <v>934</v>
      </c>
      <c r="B2464" s="1" t="s">
        <v>102</v>
      </c>
      <c r="D2464" s="1" t="s">
        <v>103</v>
      </c>
      <c r="E2464" s="1" t="s">
        <v>104</v>
      </c>
      <c r="F2464" s="3">
        <v>1</v>
      </c>
      <c r="G2464" s="24" t="s">
        <v>7887</v>
      </c>
      <c r="H2464" s="24" t="s">
        <v>5729</v>
      </c>
      <c r="I2464" s="24" t="s">
        <v>3286</v>
      </c>
      <c r="J2464" s="24" t="s">
        <v>2921</v>
      </c>
      <c r="K2464" s="3">
        <v>26</v>
      </c>
      <c r="L2464" s="3" t="s">
        <v>7037</v>
      </c>
      <c r="M2464" s="3" t="str">
        <f>HYPERLINK("http://ictvonline.org/taxonomyHistory.asp?taxnode_id=20153079","ICTVonline=20153079")</f>
        <v>ICTVonline=20153079</v>
      </c>
    </row>
    <row r="2465" spans="1:13" x14ac:dyDescent="0.15">
      <c r="A2465" s="1" t="s">
        <v>934</v>
      </c>
      <c r="B2465" s="1" t="s">
        <v>1755</v>
      </c>
      <c r="D2465" s="1" t="s">
        <v>1086</v>
      </c>
      <c r="E2465" s="1" t="s">
        <v>1087</v>
      </c>
      <c r="F2465" s="3">
        <v>0</v>
      </c>
      <c r="I2465" s="24" t="s">
        <v>3288</v>
      </c>
      <c r="J2465" s="24" t="s">
        <v>2919</v>
      </c>
      <c r="K2465" s="3">
        <v>23</v>
      </c>
      <c r="L2465" s="3" t="s">
        <v>2933</v>
      </c>
      <c r="M2465" s="3" t="str">
        <f>HYPERLINK("http://ictvonline.org/taxonomyHistory.asp?taxnode_id=20153083","ICTVonline=20153083")</f>
        <v>ICTVonline=20153083</v>
      </c>
    </row>
    <row r="2466" spans="1:13" x14ac:dyDescent="0.15">
      <c r="A2466" s="1" t="s">
        <v>934</v>
      </c>
      <c r="B2466" s="1" t="s">
        <v>1755</v>
      </c>
      <c r="D2466" s="1" t="s">
        <v>1086</v>
      </c>
      <c r="E2466" s="1" t="s">
        <v>1088</v>
      </c>
      <c r="F2466" s="3">
        <v>0</v>
      </c>
      <c r="I2466" s="24" t="s">
        <v>3288</v>
      </c>
      <c r="J2466" s="24" t="s">
        <v>2919</v>
      </c>
      <c r="K2466" s="3">
        <v>18</v>
      </c>
      <c r="L2466" s="3" t="s">
        <v>2929</v>
      </c>
      <c r="M2466" s="3" t="str">
        <f>HYPERLINK("http://ictvonline.org/taxonomyHistory.asp?taxnode_id=20153084","ICTVonline=20153084")</f>
        <v>ICTVonline=20153084</v>
      </c>
    </row>
    <row r="2467" spans="1:13" x14ac:dyDescent="0.15">
      <c r="A2467" s="1" t="s">
        <v>934</v>
      </c>
      <c r="B2467" s="1" t="s">
        <v>1755</v>
      </c>
      <c r="D2467" s="1" t="s">
        <v>1086</v>
      </c>
      <c r="E2467" s="1" t="s">
        <v>7038</v>
      </c>
      <c r="F2467" s="3">
        <v>0</v>
      </c>
      <c r="I2467" s="24" t="s">
        <v>3288</v>
      </c>
      <c r="J2467" s="24" t="s">
        <v>2919</v>
      </c>
      <c r="K2467" s="3">
        <v>18</v>
      </c>
      <c r="L2467" s="3" t="s">
        <v>2929</v>
      </c>
      <c r="M2467" s="3" t="str">
        <f>HYPERLINK("http://ictvonline.org/taxonomyHistory.asp?taxnode_id=20153085","ICTVonline=20153085")</f>
        <v>ICTVonline=20153085</v>
      </c>
    </row>
    <row r="2468" spans="1:13" x14ac:dyDescent="0.15">
      <c r="A2468" s="1" t="s">
        <v>934</v>
      </c>
      <c r="B2468" s="1" t="s">
        <v>1755</v>
      </c>
      <c r="D2468" s="1" t="s">
        <v>1086</v>
      </c>
      <c r="E2468" s="1" t="s">
        <v>1089</v>
      </c>
      <c r="F2468" s="3">
        <v>0</v>
      </c>
      <c r="I2468" s="24" t="s">
        <v>3288</v>
      </c>
      <c r="J2468" s="24" t="s">
        <v>2919</v>
      </c>
      <c r="K2468" s="3">
        <v>18</v>
      </c>
      <c r="L2468" s="3" t="s">
        <v>2929</v>
      </c>
      <c r="M2468" s="3" t="str">
        <f>HYPERLINK("http://ictvonline.org/taxonomyHistory.asp?taxnode_id=20153086","ICTVonline=20153086")</f>
        <v>ICTVonline=20153086</v>
      </c>
    </row>
    <row r="2469" spans="1:13" x14ac:dyDescent="0.15">
      <c r="A2469" s="1" t="s">
        <v>934</v>
      </c>
      <c r="B2469" s="1" t="s">
        <v>1755</v>
      </c>
      <c r="D2469" s="1" t="s">
        <v>1086</v>
      </c>
      <c r="E2469" s="1" t="s">
        <v>695</v>
      </c>
      <c r="F2469" s="3">
        <v>1</v>
      </c>
      <c r="I2469" s="24" t="s">
        <v>3288</v>
      </c>
      <c r="J2469" s="24" t="s">
        <v>2921</v>
      </c>
      <c r="K2469" s="3">
        <v>17</v>
      </c>
      <c r="L2469" s="3" t="s">
        <v>2928</v>
      </c>
      <c r="M2469" s="3" t="str">
        <f>HYPERLINK("http://ictvonline.org/taxonomyHistory.asp?taxnode_id=20153087","ICTVonline=20153087")</f>
        <v>ICTVonline=20153087</v>
      </c>
    </row>
    <row r="2470" spans="1:13" x14ac:dyDescent="0.15">
      <c r="A2470" s="1" t="s">
        <v>934</v>
      </c>
      <c r="B2470" s="1" t="s">
        <v>1755</v>
      </c>
      <c r="D2470" s="1" t="s">
        <v>1086</v>
      </c>
      <c r="E2470" s="1" t="s">
        <v>696</v>
      </c>
      <c r="F2470" s="3">
        <v>0</v>
      </c>
      <c r="I2470" s="24" t="s">
        <v>3288</v>
      </c>
      <c r="J2470" s="24" t="s">
        <v>2919</v>
      </c>
      <c r="K2470" s="3">
        <v>23</v>
      </c>
      <c r="L2470" s="3" t="s">
        <v>2933</v>
      </c>
      <c r="M2470" s="3" t="str">
        <f>HYPERLINK("http://ictvonline.org/taxonomyHistory.asp?taxnode_id=20153088","ICTVonline=20153088")</f>
        <v>ICTVonline=20153088</v>
      </c>
    </row>
    <row r="2471" spans="1:13" x14ac:dyDescent="0.15">
      <c r="A2471" s="1" t="s">
        <v>934</v>
      </c>
      <c r="B2471" s="1" t="s">
        <v>1755</v>
      </c>
      <c r="D2471" s="1" t="s">
        <v>1086</v>
      </c>
      <c r="E2471" s="1" t="s">
        <v>697</v>
      </c>
      <c r="F2471" s="3">
        <v>0</v>
      </c>
      <c r="I2471" s="24" t="s">
        <v>3288</v>
      </c>
      <c r="J2471" s="24" t="s">
        <v>2919</v>
      </c>
      <c r="K2471" s="3">
        <v>23</v>
      </c>
      <c r="L2471" s="3" t="s">
        <v>2933</v>
      </c>
      <c r="M2471" s="3" t="str">
        <f>HYPERLINK("http://ictvonline.org/taxonomyHistory.asp?taxnode_id=20153089","ICTVonline=20153089")</f>
        <v>ICTVonline=20153089</v>
      </c>
    </row>
    <row r="2472" spans="1:13" x14ac:dyDescent="0.15">
      <c r="A2472" s="1" t="s">
        <v>934</v>
      </c>
      <c r="B2472" s="1" t="s">
        <v>1755</v>
      </c>
      <c r="D2472" s="1" t="s">
        <v>1086</v>
      </c>
      <c r="E2472" s="1" t="s">
        <v>698</v>
      </c>
      <c r="F2472" s="3">
        <v>0</v>
      </c>
      <c r="I2472" s="24" t="s">
        <v>3288</v>
      </c>
      <c r="J2472" s="24" t="s">
        <v>2919</v>
      </c>
      <c r="K2472" s="3">
        <v>23</v>
      </c>
      <c r="L2472" s="3" t="s">
        <v>2933</v>
      </c>
      <c r="M2472" s="3" t="str">
        <f>HYPERLINK("http://ictvonline.org/taxonomyHistory.asp?taxnode_id=20153090","ICTVonline=20153090")</f>
        <v>ICTVonline=20153090</v>
      </c>
    </row>
    <row r="2473" spans="1:13" x14ac:dyDescent="0.15">
      <c r="A2473" s="1" t="s">
        <v>934</v>
      </c>
      <c r="B2473" s="1" t="s">
        <v>1755</v>
      </c>
      <c r="D2473" s="1" t="s">
        <v>1086</v>
      </c>
      <c r="E2473" s="1" t="s">
        <v>699</v>
      </c>
      <c r="F2473" s="3">
        <v>0</v>
      </c>
      <c r="I2473" s="24" t="s">
        <v>3288</v>
      </c>
      <c r="J2473" s="24" t="s">
        <v>2919</v>
      </c>
      <c r="K2473" s="3">
        <v>23</v>
      </c>
      <c r="L2473" s="3" t="s">
        <v>2933</v>
      </c>
      <c r="M2473" s="3" t="str">
        <f>HYPERLINK("http://ictvonline.org/taxonomyHistory.asp?taxnode_id=20153091","ICTVonline=20153091")</f>
        <v>ICTVonline=20153091</v>
      </c>
    </row>
    <row r="2474" spans="1:13" x14ac:dyDescent="0.15">
      <c r="A2474" s="1" t="s">
        <v>934</v>
      </c>
      <c r="B2474" s="1" t="s">
        <v>1755</v>
      </c>
      <c r="D2474" s="1" t="s">
        <v>1086</v>
      </c>
      <c r="E2474" s="1" t="s">
        <v>1091</v>
      </c>
      <c r="F2474" s="3">
        <v>0</v>
      </c>
      <c r="I2474" s="24" t="s">
        <v>3288</v>
      </c>
      <c r="J2474" s="24" t="s">
        <v>2919</v>
      </c>
      <c r="K2474" s="3">
        <v>18</v>
      </c>
      <c r="L2474" s="3" t="s">
        <v>2929</v>
      </c>
      <c r="M2474" s="3" t="str">
        <f>HYPERLINK("http://ictvonline.org/taxonomyHistory.asp?taxnode_id=20153092","ICTVonline=20153092")</f>
        <v>ICTVonline=20153092</v>
      </c>
    </row>
    <row r="2475" spans="1:13" x14ac:dyDescent="0.15">
      <c r="A2475" s="1" t="s">
        <v>934</v>
      </c>
      <c r="B2475" s="1" t="s">
        <v>1755</v>
      </c>
      <c r="D2475" s="1" t="s">
        <v>1092</v>
      </c>
      <c r="E2475" s="1" t="s">
        <v>1093</v>
      </c>
      <c r="F2475" s="3">
        <v>0</v>
      </c>
      <c r="I2475" s="24" t="s">
        <v>3288</v>
      </c>
      <c r="J2475" s="24" t="s">
        <v>2919</v>
      </c>
      <c r="K2475" s="3">
        <v>23</v>
      </c>
      <c r="L2475" s="3" t="s">
        <v>2933</v>
      </c>
      <c r="M2475" s="3" t="str">
        <f>HYPERLINK("http://ictvonline.org/taxonomyHistory.asp?taxnode_id=20153094","ICTVonline=20153094")</f>
        <v>ICTVonline=20153094</v>
      </c>
    </row>
    <row r="2476" spans="1:13" x14ac:dyDescent="0.15">
      <c r="A2476" s="1" t="s">
        <v>934</v>
      </c>
      <c r="B2476" s="1" t="s">
        <v>1755</v>
      </c>
      <c r="D2476" s="1" t="s">
        <v>1092</v>
      </c>
      <c r="E2476" s="1" t="s">
        <v>1094</v>
      </c>
      <c r="F2476" s="3">
        <v>0</v>
      </c>
      <c r="I2476" s="24" t="s">
        <v>3288</v>
      </c>
      <c r="J2476" s="24" t="s">
        <v>2919</v>
      </c>
      <c r="K2476" s="3">
        <v>23</v>
      </c>
      <c r="L2476" s="3" t="s">
        <v>2933</v>
      </c>
      <c r="M2476" s="3" t="str">
        <f>HYPERLINK("http://ictvonline.org/taxonomyHistory.asp?taxnode_id=20153095","ICTVonline=20153095")</f>
        <v>ICTVonline=20153095</v>
      </c>
    </row>
    <row r="2477" spans="1:13" x14ac:dyDescent="0.15">
      <c r="A2477" s="1" t="s">
        <v>934</v>
      </c>
      <c r="B2477" s="1" t="s">
        <v>1755</v>
      </c>
      <c r="D2477" s="1" t="s">
        <v>1092</v>
      </c>
      <c r="E2477" s="1" t="s">
        <v>1095</v>
      </c>
      <c r="F2477" s="3">
        <v>0</v>
      </c>
      <c r="I2477" s="24" t="s">
        <v>3288</v>
      </c>
      <c r="J2477" s="24" t="s">
        <v>2919</v>
      </c>
      <c r="K2477" s="3">
        <v>18</v>
      </c>
      <c r="L2477" s="3" t="s">
        <v>2929</v>
      </c>
      <c r="M2477" s="3" t="str">
        <f>HYPERLINK("http://ictvonline.org/taxonomyHistory.asp?taxnode_id=20153096","ICTVonline=20153096")</f>
        <v>ICTVonline=20153096</v>
      </c>
    </row>
    <row r="2478" spans="1:13" x14ac:dyDescent="0.15">
      <c r="A2478" s="1" t="s">
        <v>934</v>
      </c>
      <c r="B2478" s="1" t="s">
        <v>1755</v>
      </c>
      <c r="D2478" s="1" t="s">
        <v>1092</v>
      </c>
      <c r="E2478" s="1" t="s">
        <v>1096</v>
      </c>
      <c r="F2478" s="3">
        <v>0</v>
      </c>
      <c r="I2478" s="24" t="s">
        <v>3288</v>
      </c>
      <c r="J2478" s="24" t="s">
        <v>2920</v>
      </c>
      <c r="K2478" s="3">
        <v>23</v>
      </c>
      <c r="L2478" s="3" t="s">
        <v>2933</v>
      </c>
      <c r="M2478" s="3" t="str">
        <f>HYPERLINK("http://ictvonline.org/taxonomyHistory.asp?taxnode_id=20153097","ICTVonline=20153097")</f>
        <v>ICTVonline=20153097</v>
      </c>
    </row>
    <row r="2479" spans="1:13" x14ac:dyDescent="0.15">
      <c r="A2479" s="1" t="s">
        <v>934</v>
      </c>
      <c r="B2479" s="1" t="s">
        <v>1755</v>
      </c>
      <c r="D2479" s="1" t="s">
        <v>1092</v>
      </c>
      <c r="E2479" s="1" t="s">
        <v>1097</v>
      </c>
      <c r="F2479" s="3">
        <v>0</v>
      </c>
      <c r="G2479" s="24" t="s">
        <v>5730</v>
      </c>
      <c r="H2479" s="24" t="s">
        <v>5731</v>
      </c>
      <c r="I2479" s="24" t="s">
        <v>3288</v>
      </c>
      <c r="J2479" s="24" t="s">
        <v>2919</v>
      </c>
      <c r="K2479" s="3">
        <v>18</v>
      </c>
      <c r="L2479" s="3" t="s">
        <v>2929</v>
      </c>
      <c r="M2479" s="3" t="str">
        <f>HYPERLINK("http://ictvonline.org/taxonomyHistory.asp?taxnode_id=20153098","ICTVonline=20153098")</f>
        <v>ICTVonline=20153098</v>
      </c>
    </row>
    <row r="2480" spans="1:13" x14ac:dyDescent="0.15">
      <c r="A2480" s="1" t="s">
        <v>934</v>
      </c>
      <c r="B2480" s="1" t="s">
        <v>1755</v>
      </c>
      <c r="D2480" s="1" t="s">
        <v>1092</v>
      </c>
      <c r="E2480" s="1" t="s">
        <v>1098</v>
      </c>
      <c r="F2480" s="3">
        <v>0</v>
      </c>
      <c r="I2480" s="24" t="s">
        <v>3288</v>
      </c>
      <c r="J2480" s="24" t="s">
        <v>2919</v>
      </c>
      <c r="K2480" s="3">
        <v>23</v>
      </c>
      <c r="L2480" s="3" t="s">
        <v>2933</v>
      </c>
      <c r="M2480" s="3" t="str">
        <f>HYPERLINK("http://ictvonline.org/taxonomyHistory.asp?taxnode_id=20153099","ICTVonline=20153099")</f>
        <v>ICTVonline=20153099</v>
      </c>
    </row>
    <row r="2481" spans="1:13" x14ac:dyDescent="0.15">
      <c r="A2481" s="1" t="s">
        <v>934</v>
      </c>
      <c r="B2481" s="1" t="s">
        <v>1755</v>
      </c>
      <c r="D2481" s="1" t="s">
        <v>1092</v>
      </c>
      <c r="E2481" s="1" t="s">
        <v>1190</v>
      </c>
      <c r="F2481" s="3">
        <v>0</v>
      </c>
      <c r="I2481" s="24" t="s">
        <v>3288</v>
      </c>
      <c r="J2481" s="24" t="s">
        <v>2919</v>
      </c>
      <c r="K2481" s="3">
        <v>23</v>
      </c>
      <c r="L2481" s="3" t="s">
        <v>2933</v>
      </c>
      <c r="M2481" s="3" t="str">
        <f>HYPERLINK("http://ictvonline.org/taxonomyHistory.asp?taxnode_id=20153100","ICTVonline=20153100")</f>
        <v>ICTVonline=20153100</v>
      </c>
    </row>
    <row r="2482" spans="1:13" x14ac:dyDescent="0.15">
      <c r="A2482" s="1" t="s">
        <v>934</v>
      </c>
      <c r="B2482" s="1" t="s">
        <v>1755</v>
      </c>
      <c r="D2482" s="1" t="s">
        <v>1092</v>
      </c>
      <c r="E2482" s="1" t="s">
        <v>1191</v>
      </c>
      <c r="F2482" s="3">
        <v>0</v>
      </c>
      <c r="I2482" s="24" t="s">
        <v>3288</v>
      </c>
      <c r="J2482" s="24" t="s">
        <v>2919</v>
      </c>
      <c r="K2482" s="3">
        <v>18</v>
      </c>
      <c r="L2482" s="3" t="s">
        <v>2929</v>
      </c>
      <c r="M2482" s="3" t="str">
        <f>HYPERLINK("http://ictvonline.org/taxonomyHistory.asp?taxnode_id=20153101","ICTVonline=20153101")</f>
        <v>ICTVonline=20153101</v>
      </c>
    </row>
    <row r="2483" spans="1:13" x14ac:dyDescent="0.15">
      <c r="A2483" s="1" t="s">
        <v>934</v>
      </c>
      <c r="B2483" s="1" t="s">
        <v>1755</v>
      </c>
      <c r="D2483" s="1" t="s">
        <v>1092</v>
      </c>
      <c r="E2483" s="1" t="s">
        <v>1192</v>
      </c>
      <c r="F2483" s="3">
        <v>0</v>
      </c>
      <c r="I2483" s="24" t="s">
        <v>3288</v>
      </c>
      <c r="J2483" s="24" t="s">
        <v>2919</v>
      </c>
      <c r="K2483" s="3">
        <v>23</v>
      </c>
      <c r="L2483" s="3" t="s">
        <v>2933</v>
      </c>
      <c r="M2483" s="3" t="str">
        <f>HYPERLINK("http://ictvonline.org/taxonomyHistory.asp?taxnode_id=20153102","ICTVonline=20153102")</f>
        <v>ICTVonline=20153102</v>
      </c>
    </row>
    <row r="2484" spans="1:13" x14ac:dyDescent="0.15">
      <c r="A2484" s="1" t="s">
        <v>934</v>
      </c>
      <c r="B2484" s="1" t="s">
        <v>1755</v>
      </c>
      <c r="D2484" s="1" t="s">
        <v>1092</v>
      </c>
      <c r="E2484" s="1" t="s">
        <v>1193</v>
      </c>
      <c r="F2484" s="3">
        <v>0</v>
      </c>
      <c r="I2484" s="24" t="s">
        <v>3288</v>
      </c>
      <c r="J2484" s="24" t="s">
        <v>2919</v>
      </c>
      <c r="K2484" s="3">
        <v>18</v>
      </c>
      <c r="L2484" s="3" t="s">
        <v>2929</v>
      </c>
      <c r="M2484" s="3" t="str">
        <f>HYPERLINK("http://ictvonline.org/taxonomyHistory.asp?taxnode_id=20153103","ICTVonline=20153103")</f>
        <v>ICTVonline=20153103</v>
      </c>
    </row>
    <row r="2485" spans="1:13" x14ac:dyDescent="0.15">
      <c r="A2485" s="1" t="s">
        <v>934</v>
      </c>
      <c r="B2485" s="1" t="s">
        <v>1755</v>
      </c>
      <c r="D2485" s="1" t="s">
        <v>1092</v>
      </c>
      <c r="E2485" s="1" t="s">
        <v>1194</v>
      </c>
      <c r="F2485" s="3">
        <v>0</v>
      </c>
      <c r="I2485" s="24" t="s">
        <v>3288</v>
      </c>
      <c r="J2485" s="24" t="s">
        <v>2919</v>
      </c>
      <c r="K2485" s="3">
        <v>23</v>
      </c>
      <c r="L2485" s="3" t="s">
        <v>2933</v>
      </c>
      <c r="M2485" s="3" t="str">
        <f>HYPERLINK("http://ictvonline.org/taxonomyHistory.asp?taxnode_id=20153104","ICTVonline=20153104")</f>
        <v>ICTVonline=20153104</v>
      </c>
    </row>
    <row r="2486" spans="1:13" x14ac:dyDescent="0.15">
      <c r="A2486" s="1" t="s">
        <v>934</v>
      </c>
      <c r="B2486" s="1" t="s">
        <v>1755</v>
      </c>
      <c r="D2486" s="1" t="s">
        <v>1092</v>
      </c>
      <c r="E2486" s="1" t="s">
        <v>1195</v>
      </c>
      <c r="F2486" s="3">
        <v>0</v>
      </c>
      <c r="I2486" s="24" t="s">
        <v>3288</v>
      </c>
      <c r="J2486" s="24" t="s">
        <v>2919</v>
      </c>
      <c r="K2486" s="3">
        <v>18</v>
      </c>
      <c r="L2486" s="3" t="s">
        <v>2929</v>
      </c>
      <c r="M2486" s="3" t="str">
        <f>HYPERLINK("http://ictvonline.org/taxonomyHistory.asp?taxnode_id=20153105","ICTVonline=20153105")</f>
        <v>ICTVonline=20153105</v>
      </c>
    </row>
    <row r="2487" spans="1:13" x14ac:dyDescent="0.15">
      <c r="A2487" s="1" t="s">
        <v>934</v>
      </c>
      <c r="B2487" s="1" t="s">
        <v>1755</v>
      </c>
      <c r="D2487" s="1" t="s">
        <v>1092</v>
      </c>
      <c r="E2487" s="1" t="s">
        <v>1787</v>
      </c>
      <c r="F2487" s="3">
        <v>0</v>
      </c>
      <c r="I2487" s="24" t="s">
        <v>3288</v>
      </c>
      <c r="J2487" s="24" t="s">
        <v>2919</v>
      </c>
      <c r="K2487" s="3">
        <v>18</v>
      </c>
      <c r="L2487" s="3" t="s">
        <v>2929</v>
      </c>
      <c r="M2487" s="3" t="str">
        <f>HYPERLINK("http://ictvonline.org/taxonomyHistory.asp?taxnode_id=20153106","ICTVonline=20153106")</f>
        <v>ICTVonline=20153106</v>
      </c>
    </row>
    <row r="2488" spans="1:13" x14ac:dyDescent="0.15">
      <c r="A2488" s="1" t="s">
        <v>934</v>
      </c>
      <c r="B2488" s="1" t="s">
        <v>1755</v>
      </c>
      <c r="D2488" s="1" t="s">
        <v>1092</v>
      </c>
      <c r="E2488" s="1" t="s">
        <v>1788</v>
      </c>
      <c r="F2488" s="3">
        <v>0</v>
      </c>
      <c r="I2488" s="24" t="s">
        <v>3288</v>
      </c>
      <c r="J2488" s="24" t="s">
        <v>2919</v>
      </c>
      <c r="K2488" s="3">
        <v>23</v>
      </c>
      <c r="L2488" s="3" t="s">
        <v>2933</v>
      </c>
      <c r="M2488" s="3" t="str">
        <f>HYPERLINK("http://ictvonline.org/taxonomyHistory.asp?taxnode_id=20153107","ICTVonline=20153107")</f>
        <v>ICTVonline=20153107</v>
      </c>
    </row>
    <row r="2489" spans="1:13" x14ac:dyDescent="0.15">
      <c r="A2489" s="1" t="s">
        <v>934</v>
      </c>
      <c r="B2489" s="1" t="s">
        <v>1755</v>
      </c>
      <c r="D2489" s="1" t="s">
        <v>1092</v>
      </c>
      <c r="E2489" s="1" t="s">
        <v>1789</v>
      </c>
      <c r="F2489" s="3">
        <v>0</v>
      </c>
      <c r="G2489" s="24" t="s">
        <v>5732</v>
      </c>
      <c r="H2489" s="24" t="s">
        <v>5733</v>
      </c>
      <c r="I2489" s="24" t="s">
        <v>3288</v>
      </c>
      <c r="J2489" s="24" t="s">
        <v>2919</v>
      </c>
      <c r="K2489" s="3">
        <v>18</v>
      </c>
      <c r="L2489" s="3" t="s">
        <v>2929</v>
      </c>
      <c r="M2489" s="3" t="str">
        <f>HYPERLINK("http://ictvonline.org/taxonomyHistory.asp?taxnode_id=20153108","ICTVonline=20153108")</f>
        <v>ICTVonline=20153108</v>
      </c>
    </row>
    <row r="2490" spans="1:13" x14ac:dyDescent="0.15">
      <c r="A2490" s="1" t="s">
        <v>934</v>
      </c>
      <c r="B2490" s="1" t="s">
        <v>1755</v>
      </c>
      <c r="D2490" s="1" t="s">
        <v>1092</v>
      </c>
      <c r="E2490" s="1" t="s">
        <v>1790</v>
      </c>
      <c r="F2490" s="3">
        <v>1</v>
      </c>
      <c r="G2490" s="24" t="s">
        <v>5734</v>
      </c>
      <c r="H2490" s="24" t="s">
        <v>5735</v>
      </c>
      <c r="I2490" s="24" t="s">
        <v>3288</v>
      </c>
      <c r="J2490" s="24" t="s">
        <v>2921</v>
      </c>
      <c r="K2490" s="3">
        <v>17</v>
      </c>
      <c r="L2490" s="3" t="s">
        <v>2928</v>
      </c>
      <c r="M2490" s="3" t="str">
        <f>HYPERLINK("http://ictvonline.org/taxonomyHistory.asp?taxnode_id=20153109","ICTVonline=20153109")</f>
        <v>ICTVonline=20153109</v>
      </c>
    </row>
    <row r="2491" spans="1:13" x14ac:dyDescent="0.15">
      <c r="A2491" s="1" t="s">
        <v>934</v>
      </c>
      <c r="B2491" s="1" t="s">
        <v>1755</v>
      </c>
      <c r="D2491" s="1" t="s">
        <v>1092</v>
      </c>
      <c r="E2491" s="1" t="s">
        <v>1791</v>
      </c>
      <c r="F2491" s="3">
        <v>0</v>
      </c>
      <c r="G2491" s="24" t="s">
        <v>5736</v>
      </c>
      <c r="H2491" s="24" t="s">
        <v>5737</v>
      </c>
      <c r="I2491" s="24" t="s">
        <v>3288</v>
      </c>
      <c r="J2491" s="24" t="s">
        <v>2919</v>
      </c>
      <c r="K2491" s="3">
        <v>18</v>
      </c>
      <c r="L2491" s="3" t="s">
        <v>2929</v>
      </c>
      <c r="M2491" s="3" t="str">
        <f>HYPERLINK("http://ictvonline.org/taxonomyHistory.asp?taxnode_id=20153110","ICTVonline=20153110")</f>
        <v>ICTVonline=20153110</v>
      </c>
    </row>
    <row r="2492" spans="1:13" x14ac:dyDescent="0.15">
      <c r="A2492" s="1" t="s">
        <v>934</v>
      </c>
      <c r="B2492" s="1" t="s">
        <v>1755</v>
      </c>
      <c r="D2492" s="1" t="s">
        <v>1092</v>
      </c>
      <c r="E2492" s="1" t="s">
        <v>1783</v>
      </c>
      <c r="F2492" s="3">
        <v>0</v>
      </c>
      <c r="G2492" s="24" t="s">
        <v>5738</v>
      </c>
      <c r="H2492" s="24" t="s">
        <v>5739</v>
      </c>
      <c r="I2492" s="24" t="s">
        <v>3288</v>
      </c>
      <c r="J2492" s="24" t="s">
        <v>2919</v>
      </c>
      <c r="K2492" s="3">
        <v>18</v>
      </c>
      <c r="L2492" s="3" t="s">
        <v>2929</v>
      </c>
      <c r="M2492" s="3" t="str">
        <f>HYPERLINK("http://ictvonline.org/taxonomyHistory.asp?taxnode_id=20153111","ICTVonline=20153111")</f>
        <v>ICTVonline=20153111</v>
      </c>
    </row>
    <row r="2493" spans="1:13" x14ac:dyDescent="0.15">
      <c r="A2493" s="1" t="s">
        <v>934</v>
      </c>
      <c r="B2493" s="1" t="s">
        <v>1755</v>
      </c>
      <c r="D2493" s="1" t="s">
        <v>1092</v>
      </c>
      <c r="E2493" s="1" t="s">
        <v>1784</v>
      </c>
      <c r="F2493" s="3">
        <v>0</v>
      </c>
      <c r="I2493" s="24" t="s">
        <v>3288</v>
      </c>
      <c r="J2493" s="24" t="s">
        <v>2919</v>
      </c>
      <c r="K2493" s="3">
        <v>23</v>
      </c>
      <c r="L2493" s="3" t="s">
        <v>2933</v>
      </c>
      <c r="M2493" s="3" t="str">
        <f>HYPERLINK("http://ictvonline.org/taxonomyHistory.asp?taxnode_id=20153112","ICTVonline=20153112")</f>
        <v>ICTVonline=20153112</v>
      </c>
    </row>
    <row r="2494" spans="1:13" x14ac:dyDescent="0.15">
      <c r="A2494" s="1" t="s">
        <v>934</v>
      </c>
      <c r="B2494" s="1" t="s">
        <v>1755</v>
      </c>
      <c r="D2494" s="1" t="s">
        <v>1092</v>
      </c>
      <c r="E2494" s="1" t="s">
        <v>1785</v>
      </c>
      <c r="F2494" s="3">
        <v>0</v>
      </c>
      <c r="I2494" s="24" t="s">
        <v>3288</v>
      </c>
      <c r="J2494" s="24" t="s">
        <v>2919</v>
      </c>
      <c r="K2494" s="3">
        <v>18</v>
      </c>
      <c r="L2494" s="3" t="s">
        <v>2929</v>
      </c>
      <c r="M2494" s="3" t="str">
        <f>HYPERLINK("http://ictvonline.org/taxonomyHistory.asp?taxnode_id=20153113","ICTVonline=20153113")</f>
        <v>ICTVonline=20153113</v>
      </c>
    </row>
    <row r="2495" spans="1:13" x14ac:dyDescent="0.15">
      <c r="A2495" s="1" t="s">
        <v>934</v>
      </c>
      <c r="B2495" s="1" t="s">
        <v>1755</v>
      </c>
      <c r="D2495" s="1" t="s">
        <v>1092</v>
      </c>
      <c r="E2495" s="1" t="s">
        <v>1786</v>
      </c>
      <c r="F2495" s="3">
        <v>0</v>
      </c>
      <c r="I2495" s="24" t="s">
        <v>3288</v>
      </c>
      <c r="J2495" s="24" t="s">
        <v>2919</v>
      </c>
      <c r="K2495" s="3">
        <v>18</v>
      </c>
      <c r="L2495" s="3" t="s">
        <v>2929</v>
      </c>
      <c r="M2495" s="3" t="str">
        <f>HYPERLINK("http://ictvonline.org/taxonomyHistory.asp?taxnode_id=20153114","ICTVonline=20153114")</f>
        <v>ICTVonline=20153114</v>
      </c>
    </row>
    <row r="2496" spans="1:13" x14ac:dyDescent="0.15">
      <c r="A2496" s="1" t="s">
        <v>934</v>
      </c>
      <c r="B2496" s="1" t="s">
        <v>1755</v>
      </c>
      <c r="D2496" s="1" t="s">
        <v>2149</v>
      </c>
      <c r="E2496" s="1" t="s">
        <v>2150</v>
      </c>
      <c r="F2496" s="3">
        <v>0</v>
      </c>
      <c r="I2496" s="24" t="s">
        <v>3288</v>
      </c>
      <c r="J2496" s="24" t="s">
        <v>2919</v>
      </c>
      <c r="K2496" s="3">
        <v>22</v>
      </c>
      <c r="L2496" s="3" t="s">
        <v>7039</v>
      </c>
      <c r="M2496" s="3" t="str">
        <f>HYPERLINK("http://ictvonline.org/taxonomyHistory.asp?taxnode_id=20153116","ICTVonline=20153116")</f>
        <v>ICTVonline=20153116</v>
      </c>
    </row>
    <row r="2497" spans="1:13" x14ac:dyDescent="0.15">
      <c r="A2497" s="1" t="s">
        <v>934</v>
      </c>
      <c r="B2497" s="1" t="s">
        <v>1755</v>
      </c>
      <c r="D2497" s="1" t="s">
        <v>2149</v>
      </c>
      <c r="E2497" s="1" t="s">
        <v>2151</v>
      </c>
      <c r="F2497" s="3">
        <v>1</v>
      </c>
      <c r="I2497" s="24" t="s">
        <v>3288</v>
      </c>
      <c r="J2497" s="24" t="s">
        <v>2921</v>
      </c>
      <c r="K2497" s="3">
        <v>22</v>
      </c>
      <c r="L2497" s="3" t="s">
        <v>7039</v>
      </c>
      <c r="M2497" s="3" t="str">
        <f>HYPERLINK("http://ictvonline.org/taxonomyHistory.asp?taxnode_id=20153117","ICTVonline=20153117")</f>
        <v>ICTVonline=20153117</v>
      </c>
    </row>
    <row r="2498" spans="1:13" x14ac:dyDescent="0.15">
      <c r="A2498" s="1" t="s">
        <v>934</v>
      </c>
      <c r="B2498" s="1" t="s">
        <v>1755</v>
      </c>
      <c r="D2498" s="1" t="s">
        <v>2149</v>
      </c>
      <c r="E2498" s="1" t="s">
        <v>2152</v>
      </c>
      <c r="F2498" s="3">
        <v>0</v>
      </c>
      <c r="I2498" s="24" t="s">
        <v>3288</v>
      </c>
      <c r="J2498" s="24" t="s">
        <v>2919</v>
      </c>
      <c r="K2498" s="3">
        <v>22</v>
      </c>
      <c r="L2498" s="3" t="s">
        <v>7039</v>
      </c>
      <c r="M2498" s="3" t="str">
        <f>HYPERLINK("http://ictvonline.org/taxonomyHistory.asp?taxnode_id=20153118","ICTVonline=20153118")</f>
        <v>ICTVonline=20153118</v>
      </c>
    </row>
    <row r="2499" spans="1:13" x14ac:dyDescent="0.15">
      <c r="A2499" s="1" t="s">
        <v>934</v>
      </c>
      <c r="B2499" s="1" t="s">
        <v>1755</v>
      </c>
      <c r="D2499" s="1" t="s">
        <v>2149</v>
      </c>
      <c r="E2499" s="1" t="s">
        <v>1199</v>
      </c>
      <c r="F2499" s="3">
        <v>0</v>
      </c>
      <c r="I2499" s="24" t="s">
        <v>3288</v>
      </c>
      <c r="J2499" s="24" t="s">
        <v>2919</v>
      </c>
      <c r="K2499" s="3">
        <v>22</v>
      </c>
      <c r="L2499" s="3" t="s">
        <v>7039</v>
      </c>
      <c r="M2499" s="3" t="str">
        <f>HYPERLINK("http://ictvonline.org/taxonomyHistory.asp?taxnode_id=20153119","ICTVonline=20153119")</f>
        <v>ICTVonline=20153119</v>
      </c>
    </row>
    <row r="2500" spans="1:13" x14ac:dyDescent="0.15">
      <c r="A2500" s="1" t="s">
        <v>934</v>
      </c>
      <c r="B2500" s="1" t="s">
        <v>1755</v>
      </c>
      <c r="D2500" s="1" t="s">
        <v>2149</v>
      </c>
      <c r="E2500" s="1" t="s">
        <v>1200</v>
      </c>
      <c r="F2500" s="3">
        <v>0</v>
      </c>
      <c r="I2500" s="24" t="s">
        <v>3288</v>
      </c>
      <c r="J2500" s="24" t="s">
        <v>2919</v>
      </c>
      <c r="K2500" s="3">
        <v>22</v>
      </c>
      <c r="L2500" s="3" t="s">
        <v>7039</v>
      </c>
      <c r="M2500" s="3" t="str">
        <f>HYPERLINK("http://ictvonline.org/taxonomyHistory.asp?taxnode_id=20153120","ICTVonline=20153120")</f>
        <v>ICTVonline=20153120</v>
      </c>
    </row>
    <row r="2501" spans="1:13" x14ac:dyDescent="0.15">
      <c r="A2501" s="1" t="s">
        <v>934</v>
      </c>
      <c r="B2501" s="1" t="s">
        <v>1755</v>
      </c>
      <c r="D2501" s="1" t="s">
        <v>2149</v>
      </c>
      <c r="E2501" s="1" t="s">
        <v>1201</v>
      </c>
      <c r="F2501" s="3">
        <v>0</v>
      </c>
      <c r="I2501" s="24" t="s">
        <v>3288</v>
      </c>
      <c r="J2501" s="24" t="s">
        <v>2919</v>
      </c>
      <c r="K2501" s="3">
        <v>22</v>
      </c>
      <c r="L2501" s="3" t="s">
        <v>7039</v>
      </c>
      <c r="M2501" s="3" t="str">
        <f>HYPERLINK("http://ictvonline.org/taxonomyHistory.asp?taxnode_id=20153121","ICTVonline=20153121")</f>
        <v>ICTVonline=20153121</v>
      </c>
    </row>
    <row r="2502" spans="1:13" x14ac:dyDescent="0.15">
      <c r="A2502" s="1" t="s">
        <v>934</v>
      </c>
      <c r="B2502" s="1" t="s">
        <v>1755</v>
      </c>
      <c r="D2502" s="1" t="s">
        <v>2149</v>
      </c>
      <c r="E2502" s="1" t="s">
        <v>1795</v>
      </c>
      <c r="F2502" s="3">
        <v>0</v>
      </c>
      <c r="I2502" s="24" t="s">
        <v>3288</v>
      </c>
      <c r="J2502" s="24" t="s">
        <v>2919</v>
      </c>
      <c r="K2502" s="3">
        <v>22</v>
      </c>
      <c r="L2502" s="3" t="s">
        <v>7039</v>
      </c>
      <c r="M2502" s="3" t="str">
        <f>HYPERLINK("http://ictvonline.org/taxonomyHistory.asp?taxnode_id=20153122","ICTVonline=20153122")</f>
        <v>ICTVonline=20153122</v>
      </c>
    </row>
    <row r="2503" spans="1:13" x14ac:dyDescent="0.15">
      <c r="A2503" s="1" t="s">
        <v>934</v>
      </c>
      <c r="B2503" s="1" t="s">
        <v>1755</v>
      </c>
      <c r="D2503" s="1" t="s">
        <v>2149</v>
      </c>
      <c r="E2503" s="1" t="s">
        <v>1796</v>
      </c>
      <c r="F2503" s="3">
        <v>0</v>
      </c>
      <c r="I2503" s="24" t="s">
        <v>3288</v>
      </c>
      <c r="J2503" s="24" t="s">
        <v>2919</v>
      </c>
      <c r="K2503" s="3">
        <v>22</v>
      </c>
      <c r="L2503" s="3" t="s">
        <v>7039</v>
      </c>
      <c r="M2503" s="3" t="str">
        <f>HYPERLINK("http://ictvonline.org/taxonomyHistory.asp?taxnode_id=20153123","ICTVonline=20153123")</f>
        <v>ICTVonline=20153123</v>
      </c>
    </row>
    <row r="2504" spans="1:13" x14ac:dyDescent="0.15">
      <c r="A2504" s="1" t="s">
        <v>934</v>
      </c>
      <c r="B2504" s="1" t="s">
        <v>1797</v>
      </c>
      <c r="C2504" s="1" t="s">
        <v>5740</v>
      </c>
      <c r="D2504" s="1" t="s">
        <v>5741</v>
      </c>
      <c r="E2504" s="1" t="s">
        <v>5742</v>
      </c>
      <c r="F2504" s="3">
        <v>1</v>
      </c>
      <c r="I2504" s="24" t="s">
        <v>5634</v>
      </c>
      <c r="J2504" s="24" t="s">
        <v>2923</v>
      </c>
      <c r="K2504" s="3">
        <v>30</v>
      </c>
      <c r="L2504" s="3" t="s">
        <v>7040</v>
      </c>
      <c r="M2504" s="3" t="str">
        <f>HYPERLINK("http://ictvonline.org/taxonomyHistory.asp?taxnode_id=20153138","ICTVonline=20153138")</f>
        <v>ICTVonline=20153138</v>
      </c>
    </row>
    <row r="2505" spans="1:13" x14ac:dyDescent="0.15">
      <c r="A2505" s="1" t="s">
        <v>934</v>
      </c>
      <c r="B2505" s="1" t="s">
        <v>1797</v>
      </c>
      <c r="C2505" s="1" t="s">
        <v>5740</v>
      </c>
      <c r="D2505" s="1" t="s">
        <v>5741</v>
      </c>
      <c r="E2505" s="1" t="s">
        <v>5743</v>
      </c>
      <c r="F2505" s="3">
        <v>0</v>
      </c>
      <c r="G2505" s="24" t="s">
        <v>7637</v>
      </c>
      <c r="H2505" s="24" t="s">
        <v>5744</v>
      </c>
      <c r="I2505" s="24" t="s">
        <v>5634</v>
      </c>
      <c r="J2505" s="24" t="s">
        <v>2919</v>
      </c>
      <c r="K2505" s="3">
        <v>30</v>
      </c>
      <c r="L2505" s="3" t="s">
        <v>7040</v>
      </c>
      <c r="M2505" s="3" t="str">
        <f>HYPERLINK("http://ictvonline.org/taxonomyHistory.asp?taxnode_id=20153148","ICTVonline=20153148")</f>
        <v>ICTVonline=20153148</v>
      </c>
    </row>
    <row r="2506" spans="1:13" x14ac:dyDescent="0.15">
      <c r="A2506" s="1" t="s">
        <v>934</v>
      </c>
      <c r="B2506" s="1" t="s">
        <v>1797</v>
      </c>
      <c r="C2506" s="1" t="s">
        <v>5740</v>
      </c>
      <c r="D2506" s="1" t="s">
        <v>5741</v>
      </c>
      <c r="E2506" s="1" t="s">
        <v>5745</v>
      </c>
      <c r="F2506" s="3">
        <v>0</v>
      </c>
      <c r="G2506" s="24" t="s">
        <v>7638</v>
      </c>
      <c r="H2506" s="24" t="s">
        <v>5746</v>
      </c>
      <c r="I2506" s="24" t="s">
        <v>5634</v>
      </c>
      <c r="J2506" s="24" t="s">
        <v>2919</v>
      </c>
      <c r="K2506" s="3">
        <v>30</v>
      </c>
      <c r="L2506" s="3" t="s">
        <v>7040</v>
      </c>
      <c r="M2506" s="3" t="str">
        <f>HYPERLINK("http://ictvonline.org/taxonomyHistory.asp?taxnode_id=20153151","ICTVonline=20153151")</f>
        <v>ICTVonline=20153151</v>
      </c>
    </row>
    <row r="2507" spans="1:13" x14ac:dyDescent="0.15">
      <c r="A2507" s="1" t="s">
        <v>934</v>
      </c>
      <c r="B2507" s="1" t="s">
        <v>1797</v>
      </c>
      <c r="C2507" s="1" t="s">
        <v>5740</v>
      </c>
      <c r="D2507" s="1" t="s">
        <v>5741</v>
      </c>
      <c r="E2507" s="1" t="s">
        <v>5747</v>
      </c>
      <c r="F2507" s="3">
        <v>0</v>
      </c>
      <c r="G2507" s="24" t="s">
        <v>7639</v>
      </c>
      <c r="H2507" s="24" t="s">
        <v>5748</v>
      </c>
      <c r="I2507" s="24" t="s">
        <v>5634</v>
      </c>
      <c r="J2507" s="24" t="s">
        <v>2919</v>
      </c>
      <c r="K2507" s="3">
        <v>30</v>
      </c>
      <c r="L2507" s="3" t="s">
        <v>7040</v>
      </c>
      <c r="M2507" s="3" t="str">
        <f>HYPERLINK("http://ictvonline.org/taxonomyHistory.asp?taxnode_id=20153152","ICTVonline=20153152")</f>
        <v>ICTVonline=20153152</v>
      </c>
    </row>
    <row r="2508" spans="1:13" x14ac:dyDescent="0.15">
      <c r="A2508" s="1" t="s">
        <v>934</v>
      </c>
      <c r="B2508" s="1" t="s">
        <v>1797</v>
      </c>
      <c r="C2508" s="1" t="s">
        <v>5740</v>
      </c>
      <c r="D2508" s="1" t="s">
        <v>5741</v>
      </c>
      <c r="E2508" s="1" t="s">
        <v>5749</v>
      </c>
      <c r="F2508" s="3">
        <v>0</v>
      </c>
      <c r="G2508" s="24" t="s">
        <v>7640</v>
      </c>
      <c r="H2508" s="24" t="s">
        <v>5750</v>
      </c>
      <c r="I2508" s="24" t="s">
        <v>5634</v>
      </c>
      <c r="J2508" s="24" t="s">
        <v>2919</v>
      </c>
      <c r="K2508" s="3">
        <v>30</v>
      </c>
      <c r="L2508" s="3" t="s">
        <v>7040</v>
      </c>
      <c r="M2508" s="3" t="str">
        <f>HYPERLINK("http://ictvonline.org/taxonomyHistory.asp?taxnode_id=20153149","ICTVonline=20153149")</f>
        <v>ICTVonline=20153149</v>
      </c>
    </row>
    <row r="2509" spans="1:13" x14ac:dyDescent="0.15">
      <c r="A2509" s="1" t="s">
        <v>934</v>
      </c>
      <c r="B2509" s="1" t="s">
        <v>1797</v>
      </c>
      <c r="C2509" s="1" t="s">
        <v>5740</v>
      </c>
      <c r="D2509" s="1" t="s">
        <v>5741</v>
      </c>
      <c r="E2509" s="1" t="s">
        <v>5751</v>
      </c>
      <c r="F2509" s="3">
        <v>0</v>
      </c>
      <c r="G2509" s="24" t="s">
        <v>7641</v>
      </c>
      <c r="H2509" s="24" t="s">
        <v>5752</v>
      </c>
      <c r="I2509" s="24" t="s">
        <v>5634</v>
      </c>
      <c r="J2509" s="24" t="s">
        <v>2919</v>
      </c>
      <c r="K2509" s="3">
        <v>30</v>
      </c>
      <c r="L2509" s="3" t="s">
        <v>7040</v>
      </c>
      <c r="M2509" s="3" t="str">
        <f>HYPERLINK("http://ictvonline.org/taxonomyHistory.asp?taxnode_id=20153150","ICTVonline=20153150")</f>
        <v>ICTVonline=20153150</v>
      </c>
    </row>
    <row r="2510" spans="1:13" x14ac:dyDescent="0.15">
      <c r="A2510" s="1" t="s">
        <v>934</v>
      </c>
      <c r="B2510" s="1" t="s">
        <v>1797</v>
      </c>
      <c r="C2510" s="1" t="s">
        <v>5740</v>
      </c>
      <c r="D2510" s="1" t="s">
        <v>5741</v>
      </c>
      <c r="E2510" s="1" t="s">
        <v>5753</v>
      </c>
      <c r="F2510" s="3">
        <v>0</v>
      </c>
      <c r="G2510" s="24" t="s">
        <v>7642</v>
      </c>
      <c r="H2510" s="24" t="s">
        <v>5754</v>
      </c>
      <c r="I2510" s="24" t="s">
        <v>5634</v>
      </c>
      <c r="J2510" s="24" t="s">
        <v>2919</v>
      </c>
      <c r="K2510" s="3">
        <v>30</v>
      </c>
      <c r="L2510" s="3" t="s">
        <v>7040</v>
      </c>
      <c r="M2510" s="3" t="str">
        <f>HYPERLINK("http://ictvonline.org/taxonomyHistory.asp?taxnode_id=20153147","ICTVonline=20153147")</f>
        <v>ICTVonline=20153147</v>
      </c>
    </row>
    <row r="2511" spans="1:13" x14ac:dyDescent="0.15">
      <c r="A2511" s="1" t="s">
        <v>934</v>
      </c>
      <c r="B2511" s="1" t="s">
        <v>1797</v>
      </c>
      <c r="C2511" s="1" t="s">
        <v>5740</v>
      </c>
      <c r="D2511" s="1" t="s">
        <v>5741</v>
      </c>
      <c r="E2511" s="1" t="s">
        <v>5755</v>
      </c>
      <c r="F2511" s="3">
        <v>0</v>
      </c>
      <c r="I2511" s="24" t="s">
        <v>5634</v>
      </c>
      <c r="J2511" s="24" t="s">
        <v>2923</v>
      </c>
      <c r="K2511" s="3">
        <v>30</v>
      </c>
      <c r="L2511" s="3" t="s">
        <v>7040</v>
      </c>
      <c r="M2511" s="3" t="str">
        <f>HYPERLINK("http://ictvonline.org/taxonomyHistory.asp?taxnode_id=20153140","ICTVonline=20153140")</f>
        <v>ICTVonline=20153140</v>
      </c>
    </row>
    <row r="2512" spans="1:13" x14ac:dyDescent="0.15">
      <c r="A2512" s="1" t="s">
        <v>934</v>
      </c>
      <c r="B2512" s="1" t="s">
        <v>1797</v>
      </c>
      <c r="C2512" s="1" t="s">
        <v>5740</v>
      </c>
      <c r="D2512" s="1" t="s">
        <v>5741</v>
      </c>
      <c r="E2512" s="1" t="s">
        <v>5756</v>
      </c>
      <c r="F2512" s="3">
        <v>0</v>
      </c>
      <c r="I2512" s="24" t="s">
        <v>5634</v>
      </c>
      <c r="J2512" s="24" t="s">
        <v>2923</v>
      </c>
      <c r="K2512" s="3">
        <v>30</v>
      </c>
      <c r="L2512" s="3" t="s">
        <v>7040</v>
      </c>
      <c r="M2512" s="3" t="str">
        <f>HYPERLINK("http://ictvonline.org/taxonomyHistory.asp?taxnode_id=20153142","ICTVonline=20153142")</f>
        <v>ICTVonline=20153142</v>
      </c>
    </row>
    <row r="2513" spans="1:13" x14ac:dyDescent="0.15">
      <c r="A2513" s="1" t="s">
        <v>934</v>
      </c>
      <c r="B2513" s="1" t="s">
        <v>1797</v>
      </c>
      <c r="C2513" s="1" t="s">
        <v>5740</v>
      </c>
      <c r="D2513" s="1" t="s">
        <v>5741</v>
      </c>
      <c r="E2513" s="1" t="s">
        <v>5757</v>
      </c>
      <c r="F2513" s="3">
        <v>0</v>
      </c>
      <c r="G2513" s="24" t="s">
        <v>7643</v>
      </c>
      <c r="H2513" s="24" t="s">
        <v>5758</v>
      </c>
      <c r="I2513" s="24" t="s">
        <v>5634</v>
      </c>
      <c r="J2513" s="24" t="s">
        <v>2919</v>
      </c>
      <c r="K2513" s="3">
        <v>30</v>
      </c>
      <c r="L2513" s="3" t="s">
        <v>7040</v>
      </c>
      <c r="M2513" s="3" t="str">
        <f>HYPERLINK("http://ictvonline.org/taxonomyHistory.asp?taxnode_id=20153146","ICTVonline=20153146")</f>
        <v>ICTVonline=20153146</v>
      </c>
    </row>
    <row r="2514" spans="1:13" x14ac:dyDescent="0.15">
      <c r="A2514" s="1" t="s">
        <v>934</v>
      </c>
      <c r="B2514" s="1" t="s">
        <v>1797</v>
      </c>
      <c r="C2514" s="1" t="s">
        <v>5740</v>
      </c>
      <c r="D2514" s="1" t="s">
        <v>5759</v>
      </c>
      <c r="E2514" s="1" t="s">
        <v>5760</v>
      </c>
      <c r="F2514" s="3">
        <v>1</v>
      </c>
      <c r="I2514" s="24" t="s">
        <v>5634</v>
      </c>
      <c r="J2514" s="24" t="s">
        <v>2923</v>
      </c>
      <c r="K2514" s="3">
        <v>30</v>
      </c>
      <c r="L2514" s="3" t="s">
        <v>7040</v>
      </c>
      <c r="M2514" s="3" t="str">
        <f>HYPERLINK("http://ictvonline.org/taxonomyHistory.asp?taxnode_id=20153139","ICTVonline=20153139")</f>
        <v>ICTVonline=20153139</v>
      </c>
    </row>
    <row r="2515" spans="1:13" x14ac:dyDescent="0.15">
      <c r="A2515" s="1" t="s">
        <v>934</v>
      </c>
      <c r="B2515" s="1" t="s">
        <v>1797</v>
      </c>
      <c r="C2515" s="1" t="s">
        <v>5740</v>
      </c>
      <c r="D2515" s="1" t="s">
        <v>5759</v>
      </c>
      <c r="E2515" s="1" t="s">
        <v>5761</v>
      </c>
      <c r="F2515" s="3">
        <v>0</v>
      </c>
      <c r="G2515" s="24" t="s">
        <v>7644</v>
      </c>
      <c r="H2515" s="24" t="s">
        <v>5762</v>
      </c>
      <c r="I2515" s="24" t="s">
        <v>5634</v>
      </c>
      <c r="J2515" s="24" t="s">
        <v>2919</v>
      </c>
      <c r="K2515" s="3">
        <v>30</v>
      </c>
      <c r="L2515" s="3" t="s">
        <v>7040</v>
      </c>
      <c r="M2515" s="3" t="str">
        <f>HYPERLINK("http://ictvonline.org/taxonomyHistory.asp?taxnode_id=20153154","ICTVonline=20153154")</f>
        <v>ICTVonline=20153154</v>
      </c>
    </row>
    <row r="2516" spans="1:13" x14ac:dyDescent="0.15">
      <c r="A2516" s="1" t="s">
        <v>934</v>
      </c>
      <c r="B2516" s="1" t="s">
        <v>1797</v>
      </c>
      <c r="C2516" s="1" t="s">
        <v>5740</v>
      </c>
      <c r="D2516" s="1" t="s">
        <v>5759</v>
      </c>
      <c r="E2516" s="1" t="s">
        <v>5763</v>
      </c>
      <c r="F2516" s="3">
        <v>0</v>
      </c>
      <c r="G2516" s="24" t="s">
        <v>7645</v>
      </c>
      <c r="H2516" s="24" t="s">
        <v>5764</v>
      </c>
      <c r="I2516" s="24" t="s">
        <v>5634</v>
      </c>
      <c r="J2516" s="24" t="s">
        <v>2919</v>
      </c>
      <c r="K2516" s="3">
        <v>30</v>
      </c>
      <c r="L2516" s="3" t="s">
        <v>7040</v>
      </c>
      <c r="M2516" s="3" t="str">
        <f>HYPERLINK("http://ictvonline.org/taxonomyHistory.asp?taxnode_id=20153155","ICTVonline=20153155")</f>
        <v>ICTVonline=20153155</v>
      </c>
    </row>
    <row r="2517" spans="1:13" x14ac:dyDescent="0.15">
      <c r="A2517" s="1" t="s">
        <v>934</v>
      </c>
      <c r="B2517" s="1" t="s">
        <v>1797</v>
      </c>
      <c r="C2517" s="1" t="s">
        <v>5740</v>
      </c>
      <c r="D2517" s="1" t="s">
        <v>5765</v>
      </c>
      <c r="E2517" s="1" t="s">
        <v>5766</v>
      </c>
      <c r="F2517" s="3">
        <v>1</v>
      </c>
      <c r="I2517" s="24" t="s">
        <v>5634</v>
      </c>
      <c r="J2517" s="24" t="s">
        <v>2923</v>
      </c>
      <c r="K2517" s="3">
        <v>30</v>
      </c>
      <c r="L2517" s="3" t="s">
        <v>7040</v>
      </c>
      <c r="M2517" s="3" t="str">
        <f>HYPERLINK("http://ictvonline.org/taxonomyHistory.asp?taxnode_id=20153141","ICTVonline=20153141")</f>
        <v>ICTVonline=20153141</v>
      </c>
    </row>
    <row r="2518" spans="1:13" x14ac:dyDescent="0.15">
      <c r="A2518" s="1" t="s">
        <v>934</v>
      </c>
      <c r="B2518" s="1" t="s">
        <v>1797</v>
      </c>
      <c r="C2518" s="1" t="s">
        <v>1198</v>
      </c>
      <c r="D2518" s="1" t="s">
        <v>2071</v>
      </c>
      <c r="E2518" s="1" t="s">
        <v>5767</v>
      </c>
      <c r="F2518" s="3">
        <v>1</v>
      </c>
      <c r="I2518" s="24" t="s">
        <v>5634</v>
      </c>
      <c r="J2518" s="24" t="s">
        <v>2924</v>
      </c>
      <c r="K2518" s="3">
        <v>30</v>
      </c>
      <c r="L2518" s="3" t="s">
        <v>6745</v>
      </c>
      <c r="M2518" s="3" t="str">
        <f>HYPERLINK("http://ictvonline.org/taxonomyHistory.asp?taxnode_id=20153127","ICTVonline=20153127")</f>
        <v>ICTVonline=20153127</v>
      </c>
    </row>
    <row r="2519" spans="1:13" x14ac:dyDescent="0.15">
      <c r="A2519" s="1" t="s">
        <v>934</v>
      </c>
      <c r="B2519" s="1" t="s">
        <v>1797</v>
      </c>
      <c r="C2519" s="1" t="s">
        <v>1198</v>
      </c>
      <c r="D2519" s="1" t="s">
        <v>2071</v>
      </c>
      <c r="E2519" s="1" t="s">
        <v>5768</v>
      </c>
      <c r="F2519" s="3">
        <v>0</v>
      </c>
      <c r="I2519" s="24" t="s">
        <v>5634</v>
      </c>
      <c r="J2519" s="24" t="s">
        <v>2924</v>
      </c>
      <c r="K2519" s="3">
        <v>30</v>
      </c>
      <c r="L2519" s="3" t="s">
        <v>6745</v>
      </c>
      <c r="M2519" s="3" t="str">
        <f>HYPERLINK("http://ictvonline.org/taxonomyHistory.asp?taxnode_id=20153128","ICTVonline=20153128")</f>
        <v>ICTVonline=20153128</v>
      </c>
    </row>
    <row r="2520" spans="1:13" x14ac:dyDescent="0.15">
      <c r="A2520" s="1" t="s">
        <v>934</v>
      </c>
      <c r="B2520" s="1" t="s">
        <v>1797</v>
      </c>
      <c r="C2520" s="1" t="s">
        <v>1198</v>
      </c>
      <c r="D2520" s="1" t="s">
        <v>2072</v>
      </c>
      <c r="E2520" s="1" t="s">
        <v>5769</v>
      </c>
      <c r="F2520" s="3">
        <v>1</v>
      </c>
      <c r="I2520" s="24" t="s">
        <v>5634</v>
      </c>
      <c r="J2520" s="24" t="s">
        <v>2924</v>
      </c>
      <c r="K2520" s="3">
        <v>30</v>
      </c>
      <c r="L2520" s="3" t="s">
        <v>6745</v>
      </c>
      <c r="M2520" s="3" t="str">
        <f>HYPERLINK("http://ictvonline.org/taxonomyHistory.asp?taxnode_id=20153130","ICTVonline=20153130")</f>
        <v>ICTVonline=20153130</v>
      </c>
    </row>
    <row r="2521" spans="1:13" x14ac:dyDescent="0.15">
      <c r="A2521" s="1" t="s">
        <v>934</v>
      </c>
      <c r="B2521" s="1" t="s">
        <v>1797</v>
      </c>
      <c r="C2521" s="1" t="s">
        <v>1198</v>
      </c>
      <c r="D2521" s="1" t="s">
        <v>2072</v>
      </c>
      <c r="E2521" s="1" t="s">
        <v>5770</v>
      </c>
      <c r="F2521" s="3">
        <v>0</v>
      </c>
      <c r="I2521" s="24" t="s">
        <v>5634</v>
      </c>
      <c r="J2521" s="24" t="s">
        <v>2924</v>
      </c>
      <c r="K2521" s="3">
        <v>30</v>
      </c>
      <c r="L2521" s="3" t="s">
        <v>6745</v>
      </c>
      <c r="M2521" s="3" t="str">
        <f>HYPERLINK("http://ictvonline.org/taxonomyHistory.asp?taxnode_id=20153131","ICTVonline=20153131")</f>
        <v>ICTVonline=20153131</v>
      </c>
    </row>
    <row r="2522" spans="1:13" x14ac:dyDescent="0.15">
      <c r="A2522" s="1" t="s">
        <v>934</v>
      </c>
      <c r="B2522" s="1" t="s">
        <v>1797</v>
      </c>
      <c r="C2522" s="1" t="s">
        <v>1198</v>
      </c>
      <c r="D2522" s="1" t="s">
        <v>2072</v>
      </c>
      <c r="E2522" s="1" t="s">
        <v>5771</v>
      </c>
      <c r="F2522" s="3">
        <v>0</v>
      </c>
      <c r="I2522" s="24" t="s">
        <v>5634</v>
      </c>
      <c r="J2522" s="24" t="s">
        <v>2924</v>
      </c>
      <c r="K2522" s="3">
        <v>30</v>
      </c>
      <c r="L2522" s="3" t="s">
        <v>6745</v>
      </c>
      <c r="M2522" s="3" t="str">
        <f>HYPERLINK("http://ictvonline.org/taxonomyHistory.asp?taxnode_id=20153132","ICTVonline=20153132")</f>
        <v>ICTVonline=20153132</v>
      </c>
    </row>
    <row r="2523" spans="1:13" x14ac:dyDescent="0.15">
      <c r="A2523" s="1" t="s">
        <v>934</v>
      </c>
      <c r="B2523" s="1" t="s">
        <v>1797</v>
      </c>
      <c r="C2523" s="1" t="s">
        <v>1198</v>
      </c>
      <c r="D2523" s="1" t="s">
        <v>2072</v>
      </c>
      <c r="E2523" s="1" t="s">
        <v>5772</v>
      </c>
      <c r="F2523" s="3">
        <v>0</v>
      </c>
      <c r="I2523" s="24" t="s">
        <v>5634</v>
      </c>
      <c r="J2523" s="24" t="s">
        <v>2924</v>
      </c>
      <c r="K2523" s="3">
        <v>30</v>
      </c>
      <c r="L2523" s="3" t="s">
        <v>6745</v>
      </c>
      <c r="M2523" s="3" t="str">
        <f>HYPERLINK("http://ictvonline.org/taxonomyHistory.asp?taxnode_id=20153133","ICTVonline=20153133")</f>
        <v>ICTVonline=20153133</v>
      </c>
    </row>
    <row r="2524" spans="1:13" x14ac:dyDescent="0.15">
      <c r="A2524" s="1" t="s">
        <v>934</v>
      </c>
      <c r="B2524" s="1" t="s">
        <v>1797</v>
      </c>
      <c r="C2524" s="1" t="s">
        <v>1198</v>
      </c>
      <c r="D2524" s="1" t="s">
        <v>2161</v>
      </c>
      <c r="E2524" s="1" t="s">
        <v>5773</v>
      </c>
      <c r="F2524" s="3">
        <v>1</v>
      </c>
      <c r="I2524" s="24" t="s">
        <v>5634</v>
      </c>
      <c r="J2524" s="24" t="s">
        <v>2924</v>
      </c>
      <c r="K2524" s="3">
        <v>30</v>
      </c>
      <c r="L2524" s="3" t="s">
        <v>6745</v>
      </c>
      <c r="M2524" s="3" t="str">
        <f>HYPERLINK("http://ictvonline.org/taxonomyHistory.asp?taxnode_id=20153135","ICTVonline=20153135")</f>
        <v>ICTVonline=20153135</v>
      </c>
    </row>
    <row r="2525" spans="1:13" x14ac:dyDescent="0.15">
      <c r="A2525" s="1" t="s">
        <v>934</v>
      </c>
      <c r="B2525" s="1" t="s">
        <v>2162</v>
      </c>
      <c r="D2525" s="1" t="s">
        <v>2417</v>
      </c>
      <c r="E2525" s="1" t="s">
        <v>2418</v>
      </c>
      <c r="F2525" s="3">
        <v>1</v>
      </c>
      <c r="I2525" s="24" t="s">
        <v>2965</v>
      </c>
      <c r="J2525" s="24" t="s">
        <v>2921</v>
      </c>
      <c r="K2525" s="3">
        <v>27</v>
      </c>
      <c r="L2525" s="3" t="s">
        <v>7041</v>
      </c>
      <c r="M2525" s="3" t="str">
        <f>HYPERLINK("http://ictvonline.org/taxonomyHistory.asp?taxnode_id=20153159","ICTVonline=20153159")</f>
        <v>ICTVonline=20153159</v>
      </c>
    </row>
    <row r="2526" spans="1:13" x14ac:dyDescent="0.15">
      <c r="A2526" s="1" t="s">
        <v>934</v>
      </c>
      <c r="B2526" s="1" t="s">
        <v>2162</v>
      </c>
      <c r="D2526" s="1" t="s">
        <v>2163</v>
      </c>
      <c r="E2526" s="1" t="s">
        <v>2164</v>
      </c>
      <c r="F2526" s="3">
        <v>1</v>
      </c>
      <c r="I2526" s="24" t="s">
        <v>2965</v>
      </c>
      <c r="J2526" s="24" t="s">
        <v>2920</v>
      </c>
      <c r="K2526" s="3">
        <v>24</v>
      </c>
      <c r="L2526" s="3" t="s">
        <v>7042</v>
      </c>
      <c r="M2526" s="3" t="str">
        <f>HYPERLINK("http://ictvonline.org/taxonomyHistory.asp?taxnode_id=20153161","ICTVonline=20153161")</f>
        <v>ICTVonline=20153161</v>
      </c>
    </row>
    <row r="2527" spans="1:13" x14ac:dyDescent="0.15">
      <c r="A2527" s="1" t="s">
        <v>934</v>
      </c>
      <c r="B2527" s="1" t="s">
        <v>2165</v>
      </c>
      <c r="D2527" s="1" t="s">
        <v>2166</v>
      </c>
      <c r="E2527" s="1" t="s">
        <v>562</v>
      </c>
      <c r="F2527" s="3">
        <v>0</v>
      </c>
      <c r="G2527" s="24" t="s">
        <v>7888</v>
      </c>
      <c r="H2527" s="24" t="s">
        <v>5774</v>
      </c>
      <c r="I2527" s="24" t="s">
        <v>5634</v>
      </c>
      <c r="J2527" s="24" t="s">
        <v>2919</v>
      </c>
      <c r="K2527" s="3">
        <v>25</v>
      </c>
      <c r="L2527" s="3" t="s">
        <v>7043</v>
      </c>
      <c r="M2527" s="3" t="str">
        <f>HYPERLINK("http://ictvonline.org/taxonomyHistory.asp?taxnode_id=20153165","ICTVonline=20153165")</f>
        <v>ICTVonline=20153165</v>
      </c>
    </row>
    <row r="2528" spans="1:13" x14ac:dyDescent="0.15">
      <c r="A2528" s="1" t="s">
        <v>934</v>
      </c>
      <c r="B2528" s="1" t="s">
        <v>2165</v>
      </c>
      <c r="D2528" s="1" t="s">
        <v>2166</v>
      </c>
      <c r="E2528" s="1" t="s">
        <v>2167</v>
      </c>
      <c r="F2528" s="3">
        <v>1</v>
      </c>
      <c r="G2528" s="24" t="s">
        <v>7889</v>
      </c>
      <c r="H2528" s="24" t="s">
        <v>4881</v>
      </c>
      <c r="I2528" s="24" t="s">
        <v>5634</v>
      </c>
      <c r="J2528" s="24" t="s">
        <v>2922</v>
      </c>
      <c r="K2528" s="3">
        <v>20</v>
      </c>
      <c r="L2528" s="3" t="s">
        <v>2925</v>
      </c>
      <c r="M2528" s="3" t="str">
        <f>HYPERLINK("http://ictvonline.org/taxonomyHistory.asp?taxnode_id=20153166","ICTVonline=20153166")</f>
        <v>ICTVonline=20153166</v>
      </c>
    </row>
    <row r="2529" spans="1:13" x14ac:dyDescent="0.15">
      <c r="A2529" s="1" t="s">
        <v>934</v>
      </c>
      <c r="B2529" s="1" t="s">
        <v>2165</v>
      </c>
      <c r="D2529" s="1" t="s">
        <v>2166</v>
      </c>
      <c r="E2529" s="1" t="s">
        <v>563</v>
      </c>
      <c r="F2529" s="3">
        <v>0</v>
      </c>
      <c r="G2529" s="24" t="s">
        <v>7890</v>
      </c>
      <c r="H2529" s="24" t="s">
        <v>5775</v>
      </c>
      <c r="I2529" s="24" t="s">
        <v>5634</v>
      </c>
      <c r="J2529" s="24" t="s">
        <v>2919</v>
      </c>
      <c r="K2529" s="3">
        <v>25</v>
      </c>
      <c r="L2529" s="3" t="s">
        <v>7044</v>
      </c>
      <c r="M2529" s="3" t="str">
        <f>HYPERLINK("http://ictvonline.org/taxonomyHistory.asp?taxnode_id=20153167","ICTVonline=20153167")</f>
        <v>ICTVonline=20153167</v>
      </c>
    </row>
    <row r="2530" spans="1:13" x14ac:dyDescent="0.15">
      <c r="A2530" s="1" t="s">
        <v>934</v>
      </c>
      <c r="B2530" s="1" t="s">
        <v>2165</v>
      </c>
      <c r="D2530" s="1" t="s">
        <v>2168</v>
      </c>
      <c r="E2530" s="1" t="s">
        <v>5776</v>
      </c>
      <c r="F2530" s="3">
        <v>0</v>
      </c>
      <c r="G2530" s="24" t="s">
        <v>7646</v>
      </c>
      <c r="H2530" s="24" t="s">
        <v>5777</v>
      </c>
      <c r="I2530" s="24" t="s">
        <v>5634</v>
      </c>
      <c r="J2530" s="24" t="s">
        <v>2919</v>
      </c>
      <c r="K2530" s="3">
        <v>30</v>
      </c>
      <c r="L2530" s="3" t="s">
        <v>7045</v>
      </c>
      <c r="M2530" s="3" t="str">
        <f>HYPERLINK("http://ictvonline.org/taxonomyHistory.asp?taxnode_id=20153175","ICTVonline=20153175")</f>
        <v>ICTVonline=20153175</v>
      </c>
    </row>
    <row r="2531" spans="1:13" x14ac:dyDescent="0.15">
      <c r="A2531" s="1" t="s">
        <v>934</v>
      </c>
      <c r="B2531" s="1" t="s">
        <v>2165</v>
      </c>
      <c r="D2531" s="1" t="s">
        <v>2168</v>
      </c>
      <c r="E2531" s="1" t="s">
        <v>105</v>
      </c>
      <c r="F2531" s="3">
        <v>0</v>
      </c>
      <c r="G2531" s="24" t="s">
        <v>7891</v>
      </c>
      <c r="H2531" s="24" t="s">
        <v>5778</v>
      </c>
      <c r="I2531" s="24" t="s">
        <v>5634</v>
      </c>
      <c r="J2531" s="24" t="s">
        <v>2919</v>
      </c>
      <c r="K2531" s="3">
        <v>26</v>
      </c>
      <c r="L2531" s="3" t="s">
        <v>7046</v>
      </c>
      <c r="M2531" s="3" t="str">
        <f>HYPERLINK("http://ictvonline.org/taxonomyHistory.asp?taxnode_id=20153169","ICTVonline=20153169")</f>
        <v>ICTVonline=20153169</v>
      </c>
    </row>
    <row r="2532" spans="1:13" x14ac:dyDescent="0.15">
      <c r="A2532" s="1" t="s">
        <v>934</v>
      </c>
      <c r="B2532" s="1" t="s">
        <v>2165</v>
      </c>
      <c r="D2532" s="1" t="s">
        <v>2168</v>
      </c>
      <c r="E2532" s="1" t="s">
        <v>1717</v>
      </c>
      <c r="F2532" s="3">
        <v>0</v>
      </c>
      <c r="G2532" s="24" t="s">
        <v>7892</v>
      </c>
      <c r="H2532" s="24" t="s">
        <v>5779</v>
      </c>
      <c r="I2532" s="24" t="s">
        <v>5634</v>
      </c>
      <c r="J2532" s="24" t="s">
        <v>2920</v>
      </c>
      <c r="K2532" s="3">
        <v>20</v>
      </c>
      <c r="L2532" s="3" t="s">
        <v>2925</v>
      </c>
      <c r="M2532" s="3" t="str">
        <f>HYPERLINK("http://ictvonline.org/taxonomyHistory.asp?taxnode_id=20153170","ICTVonline=20153170")</f>
        <v>ICTVonline=20153170</v>
      </c>
    </row>
    <row r="2533" spans="1:13" x14ac:dyDescent="0.15">
      <c r="A2533" s="1" t="s">
        <v>934</v>
      </c>
      <c r="B2533" s="1" t="s">
        <v>2165</v>
      </c>
      <c r="D2533" s="1" t="s">
        <v>2168</v>
      </c>
      <c r="E2533" s="1" t="s">
        <v>2419</v>
      </c>
      <c r="F2533" s="3">
        <v>0</v>
      </c>
      <c r="G2533" s="24" t="s">
        <v>7893</v>
      </c>
      <c r="H2533" s="24" t="s">
        <v>5780</v>
      </c>
      <c r="I2533" s="24" t="s">
        <v>5634</v>
      </c>
      <c r="J2533" s="24" t="s">
        <v>2919</v>
      </c>
      <c r="K2533" s="3">
        <v>27</v>
      </c>
      <c r="L2533" s="3" t="s">
        <v>7047</v>
      </c>
      <c r="M2533" s="3" t="str">
        <f>HYPERLINK("http://ictvonline.org/taxonomyHistory.asp?taxnode_id=20153171","ICTVonline=20153171")</f>
        <v>ICTVonline=20153171</v>
      </c>
    </row>
    <row r="2534" spans="1:13" x14ac:dyDescent="0.15">
      <c r="A2534" s="1" t="s">
        <v>934</v>
      </c>
      <c r="B2534" s="1" t="s">
        <v>2165</v>
      </c>
      <c r="D2534" s="1" t="s">
        <v>2168</v>
      </c>
      <c r="E2534" s="1" t="s">
        <v>1125</v>
      </c>
      <c r="F2534" s="3">
        <v>0</v>
      </c>
      <c r="G2534" s="24" t="s">
        <v>7894</v>
      </c>
      <c r="H2534" s="24" t="s">
        <v>5781</v>
      </c>
      <c r="I2534" s="24" t="s">
        <v>5634</v>
      </c>
      <c r="J2534" s="24" t="s">
        <v>2920</v>
      </c>
      <c r="K2534" s="3">
        <v>20</v>
      </c>
      <c r="L2534" s="3" t="s">
        <v>2925</v>
      </c>
      <c r="M2534" s="3" t="str">
        <f>HYPERLINK("http://ictvonline.org/taxonomyHistory.asp?taxnode_id=20153172","ICTVonline=20153172")</f>
        <v>ICTVonline=20153172</v>
      </c>
    </row>
    <row r="2535" spans="1:13" x14ac:dyDescent="0.15">
      <c r="A2535" s="1" t="s">
        <v>934</v>
      </c>
      <c r="B2535" s="1" t="s">
        <v>2165</v>
      </c>
      <c r="D2535" s="1" t="s">
        <v>2168</v>
      </c>
      <c r="E2535" s="1" t="s">
        <v>106</v>
      </c>
      <c r="F2535" s="3">
        <v>0</v>
      </c>
      <c r="G2535" s="24" t="s">
        <v>7895</v>
      </c>
      <c r="H2535" s="24" t="s">
        <v>5782</v>
      </c>
      <c r="I2535" s="24" t="s">
        <v>5634</v>
      </c>
      <c r="J2535" s="24" t="s">
        <v>2919</v>
      </c>
      <c r="K2535" s="3">
        <v>26</v>
      </c>
      <c r="L2535" s="3" t="s">
        <v>7046</v>
      </c>
      <c r="M2535" s="3" t="str">
        <f>HYPERLINK("http://ictvonline.org/taxonomyHistory.asp?taxnode_id=20153173","ICTVonline=20153173")</f>
        <v>ICTVonline=20153173</v>
      </c>
    </row>
    <row r="2536" spans="1:13" x14ac:dyDescent="0.15">
      <c r="A2536" s="1" t="s">
        <v>934</v>
      </c>
      <c r="B2536" s="1" t="s">
        <v>2165</v>
      </c>
      <c r="D2536" s="1" t="s">
        <v>2168</v>
      </c>
      <c r="E2536" s="1" t="s">
        <v>5783</v>
      </c>
      <c r="F2536" s="3">
        <v>0</v>
      </c>
      <c r="G2536" s="24" t="s">
        <v>7647</v>
      </c>
      <c r="H2536" s="24" t="s">
        <v>5784</v>
      </c>
      <c r="I2536" s="24" t="s">
        <v>5634</v>
      </c>
      <c r="J2536" s="24" t="s">
        <v>2919</v>
      </c>
      <c r="K2536" s="3">
        <v>30</v>
      </c>
      <c r="L2536" s="3" t="s">
        <v>7045</v>
      </c>
      <c r="M2536" s="3" t="str">
        <f>HYPERLINK("http://ictvonline.org/taxonomyHistory.asp?taxnode_id=20153176","ICTVonline=20153176")</f>
        <v>ICTVonline=20153176</v>
      </c>
    </row>
    <row r="2537" spans="1:13" x14ac:dyDescent="0.15">
      <c r="A2537" s="1" t="s">
        <v>934</v>
      </c>
      <c r="B2537" s="1" t="s">
        <v>2165</v>
      </c>
      <c r="D2537" s="1" t="s">
        <v>2168</v>
      </c>
      <c r="E2537" s="1" t="s">
        <v>1126</v>
      </c>
      <c r="F2537" s="3">
        <v>1</v>
      </c>
      <c r="G2537" s="24" t="s">
        <v>7896</v>
      </c>
      <c r="H2537" s="24" t="s">
        <v>5785</v>
      </c>
      <c r="I2537" s="24" t="s">
        <v>5634</v>
      </c>
      <c r="J2537" s="24" t="s">
        <v>2920</v>
      </c>
      <c r="K2537" s="3">
        <v>20</v>
      </c>
      <c r="L2537" s="3" t="s">
        <v>2925</v>
      </c>
      <c r="M2537" s="3" t="str">
        <f>HYPERLINK("http://ictvonline.org/taxonomyHistory.asp?taxnode_id=20153174","ICTVonline=20153174")</f>
        <v>ICTVonline=20153174</v>
      </c>
    </row>
    <row r="2538" spans="1:13" x14ac:dyDescent="0.15">
      <c r="A2538" s="1" t="s">
        <v>934</v>
      </c>
      <c r="B2538" s="1" t="s">
        <v>2165</v>
      </c>
      <c r="D2538" s="1" t="s">
        <v>934</v>
      </c>
      <c r="E2538" s="1" t="s">
        <v>1127</v>
      </c>
      <c r="F2538" s="3">
        <v>0</v>
      </c>
      <c r="I2538" s="24" t="s">
        <v>5634</v>
      </c>
      <c r="J2538" s="24" t="s">
        <v>2919</v>
      </c>
      <c r="K2538" s="3">
        <v>23</v>
      </c>
      <c r="L2538" s="3" t="s">
        <v>2933</v>
      </c>
      <c r="M2538" s="3" t="str">
        <f>HYPERLINK("http://ictvonline.org/taxonomyHistory.asp?taxnode_id=20153178","ICTVonline=20153178")</f>
        <v>ICTVonline=20153178</v>
      </c>
    </row>
    <row r="2539" spans="1:13" x14ac:dyDescent="0.15">
      <c r="A2539" s="1" t="s">
        <v>934</v>
      </c>
      <c r="B2539" s="1" t="s">
        <v>1128</v>
      </c>
      <c r="D2539" s="1" t="s">
        <v>1129</v>
      </c>
      <c r="E2539" s="1" t="s">
        <v>1047</v>
      </c>
      <c r="F2539" s="3">
        <v>1</v>
      </c>
      <c r="G2539" s="24" t="s">
        <v>5786</v>
      </c>
      <c r="H2539" s="24" t="s">
        <v>5787</v>
      </c>
      <c r="I2539" s="24" t="s">
        <v>3265</v>
      </c>
      <c r="J2539" s="24" t="s">
        <v>2924</v>
      </c>
      <c r="K2539" s="3">
        <v>21</v>
      </c>
      <c r="L2539" s="3" t="s">
        <v>7048</v>
      </c>
      <c r="M2539" s="3" t="str">
        <f>HYPERLINK("http://ictvonline.org/taxonomyHistory.asp?taxnode_id=20153182","ICTVonline=20153182")</f>
        <v>ICTVonline=20153182</v>
      </c>
    </row>
    <row r="2540" spans="1:13" x14ac:dyDescent="0.15">
      <c r="A2540" s="1" t="s">
        <v>934</v>
      </c>
      <c r="B2540" s="1" t="s">
        <v>1128</v>
      </c>
      <c r="D2540" s="1" t="s">
        <v>1129</v>
      </c>
      <c r="E2540" s="1" t="s">
        <v>1049</v>
      </c>
      <c r="F2540" s="3">
        <v>0</v>
      </c>
      <c r="G2540" s="24" t="s">
        <v>5788</v>
      </c>
      <c r="H2540" s="24" t="s">
        <v>5789</v>
      </c>
      <c r="I2540" s="24" t="s">
        <v>3265</v>
      </c>
      <c r="J2540" s="24" t="s">
        <v>2919</v>
      </c>
      <c r="K2540" s="3">
        <v>21</v>
      </c>
      <c r="L2540" s="3" t="s">
        <v>7048</v>
      </c>
      <c r="M2540" s="3" t="str">
        <f>HYPERLINK("http://ictvonline.org/taxonomyHistory.asp?taxnode_id=20153183","ICTVonline=20153183")</f>
        <v>ICTVonline=20153183</v>
      </c>
    </row>
    <row r="2541" spans="1:13" x14ac:dyDescent="0.15">
      <c r="A2541" s="1" t="s">
        <v>934</v>
      </c>
      <c r="B2541" s="1" t="s">
        <v>1128</v>
      </c>
      <c r="D2541" s="1" t="s">
        <v>1129</v>
      </c>
      <c r="E2541" s="1" t="s">
        <v>1050</v>
      </c>
      <c r="F2541" s="3">
        <v>0</v>
      </c>
      <c r="G2541" s="24" t="s">
        <v>5790</v>
      </c>
      <c r="H2541" s="24" t="s">
        <v>5789</v>
      </c>
      <c r="I2541" s="24" t="s">
        <v>3265</v>
      </c>
      <c r="J2541" s="24" t="s">
        <v>2919</v>
      </c>
      <c r="K2541" s="3">
        <v>21</v>
      </c>
      <c r="L2541" s="3" t="s">
        <v>7048</v>
      </c>
      <c r="M2541" s="3" t="str">
        <f>HYPERLINK("http://ictvonline.org/taxonomyHistory.asp?taxnode_id=20153184","ICTVonline=20153184")</f>
        <v>ICTVonline=20153184</v>
      </c>
    </row>
    <row r="2542" spans="1:13" x14ac:dyDescent="0.15">
      <c r="A2542" s="1" t="s">
        <v>934</v>
      </c>
      <c r="B2542" s="1" t="s">
        <v>1128</v>
      </c>
      <c r="D2542" s="1" t="s">
        <v>1129</v>
      </c>
      <c r="E2542" s="1" t="s">
        <v>1051</v>
      </c>
      <c r="F2542" s="3">
        <v>0</v>
      </c>
      <c r="G2542" s="24" t="s">
        <v>5791</v>
      </c>
      <c r="H2542" s="24" t="s">
        <v>5789</v>
      </c>
      <c r="I2542" s="24" t="s">
        <v>3265</v>
      </c>
      <c r="J2542" s="24" t="s">
        <v>2919</v>
      </c>
      <c r="K2542" s="3">
        <v>21</v>
      </c>
      <c r="L2542" s="3" t="s">
        <v>7048</v>
      </c>
      <c r="M2542" s="3" t="str">
        <f>HYPERLINK("http://ictvonline.org/taxonomyHistory.asp?taxnode_id=20153185","ICTVonline=20153185")</f>
        <v>ICTVonline=20153185</v>
      </c>
    </row>
    <row r="2543" spans="1:13" x14ac:dyDescent="0.15">
      <c r="A2543" s="1" t="s">
        <v>934</v>
      </c>
      <c r="B2543" s="1" t="s">
        <v>1128</v>
      </c>
      <c r="D2543" s="1" t="s">
        <v>1129</v>
      </c>
      <c r="E2543" s="1" t="s">
        <v>1048</v>
      </c>
      <c r="F2543" s="3">
        <v>0</v>
      </c>
      <c r="G2543" s="24" t="s">
        <v>5792</v>
      </c>
      <c r="H2543" s="24" t="s">
        <v>5789</v>
      </c>
      <c r="I2543" s="24" t="s">
        <v>3265</v>
      </c>
      <c r="J2543" s="24" t="s">
        <v>2919</v>
      </c>
      <c r="K2543" s="3">
        <v>21</v>
      </c>
      <c r="L2543" s="3" t="s">
        <v>7048</v>
      </c>
      <c r="M2543" s="3" t="str">
        <f>HYPERLINK("http://ictvonline.org/taxonomyHistory.asp?taxnode_id=20153186","ICTVonline=20153186")</f>
        <v>ICTVonline=20153186</v>
      </c>
    </row>
    <row r="2544" spans="1:13" x14ac:dyDescent="0.15">
      <c r="A2544" s="1" t="s">
        <v>934</v>
      </c>
      <c r="B2544" s="1" t="s">
        <v>1128</v>
      </c>
      <c r="D2544" s="1" t="s">
        <v>1052</v>
      </c>
      <c r="E2544" s="1" t="s">
        <v>1053</v>
      </c>
      <c r="F2544" s="3">
        <v>1</v>
      </c>
      <c r="G2544" s="24" t="s">
        <v>5793</v>
      </c>
      <c r="H2544" s="24" t="s">
        <v>5794</v>
      </c>
      <c r="I2544" s="24" t="s">
        <v>3265</v>
      </c>
      <c r="J2544" s="24" t="s">
        <v>2924</v>
      </c>
      <c r="K2544" s="3">
        <v>21</v>
      </c>
      <c r="L2544" s="3" t="s">
        <v>7048</v>
      </c>
      <c r="M2544" s="3" t="str">
        <f>HYPERLINK("http://ictvonline.org/taxonomyHistory.asp?taxnode_id=20153188","ICTVonline=20153188")</f>
        <v>ICTVonline=20153188</v>
      </c>
    </row>
    <row r="2545" spans="1:13" x14ac:dyDescent="0.15">
      <c r="A2545" s="1" t="s">
        <v>934</v>
      </c>
      <c r="B2545" s="1" t="s">
        <v>1128</v>
      </c>
      <c r="D2545" s="1" t="s">
        <v>1052</v>
      </c>
      <c r="E2545" s="1" t="s">
        <v>1130</v>
      </c>
      <c r="F2545" s="3">
        <v>0</v>
      </c>
      <c r="G2545" s="24" t="s">
        <v>5795</v>
      </c>
      <c r="H2545" s="24" t="s">
        <v>5794</v>
      </c>
      <c r="I2545" s="24" t="s">
        <v>3265</v>
      </c>
      <c r="J2545" s="24" t="s">
        <v>2924</v>
      </c>
      <c r="K2545" s="3">
        <v>21</v>
      </c>
      <c r="L2545" s="3" t="s">
        <v>7048</v>
      </c>
      <c r="M2545" s="3" t="str">
        <f>HYPERLINK("http://ictvonline.org/taxonomyHistory.asp?taxnode_id=20153189","ICTVonline=20153189")</f>
        <v>ICTVonline=20153189</v>
      </c>
    </row>
    <row r="2546" spans="1:13" x14ac:dyDescent="0.15">
      <c r="A2546" s="1" t="s">
        <v>934</v>
      </c>
      <c r="B2546" s="1" t="s">
        <v>1131</v>
      </c>
      <c r="D2546" s="1" t="s">
        <v>1132</v>
      </c>
      <c r="E2546" s="1" t="s">
        <v>1133</v>
      </c>
      <c r="F2546" s="3">
        <v>1</v>
      </c>
      <c r="I2546" s="24" t="s">
        <v>2965</v>
      </c>
      <c r="J2546" s="24" t="s">
        <v>2924</v>
      </c>
      <c r="K2546" s="3">
        <v>24</v>
      </c>
      <c r="L2546" s="3" t="s">
        <v>7049</v>
      </c>
      <c r="M2546" s="3" t="str">
        <f>HYPERLINK("http://ictvonline.org/taxonomyHistory.asp?taxnode_id=20153193","ICTVonline=20153193")</f>
        <v>ICTVonline=20153193</v>
      </c>
    </row>
    <row r="2547" spans="1:13" x14ac:dyDescent="0.15">
      <c r="A2547" s="1" t="s">
        <v>934</v>
      </c>
      <c r="B2547" s="1" t="s">
        <v>1134</v>
      </c>
      <c r="D2547" s="1" t="s">
        <v>1135</v>
      </c>
      <c r="E2547" s="1" t="s">
        <v>1136</v>
      </c>
      <c r="F2547" s="3">
        <v>0</v>
      </c>
      <c r="I2547" s="24" t="s">
        <v>3265</v>
      </c>
      <c r="J2547" s="24" t="s">
        <v>2920</v>
      </c>
      <c r="K2547" s="3">
        <v>16</v>
      </c>
      <c r="L2547" s="3" t="s">
        <v>2940</v>
      </c>
      <c r="M2547" s="3" t="str">
        <f>HYPERLINK("http://ictvonline.org/taxonomyHistory.asp?taxnode_id=20153197","ICTVonline=20153197")</f>
        <v>ICTVonline=20153197</v>
      </c>
    </row>
    <row r="2548" spans="1:13" x14ac:dyDescent="0.15">
      <c r="A2548" s="1" t="s">
        <v>934</v>
      </c>
      <c r="B2548" s="1" t="s">
        <v>1134</v>
      </c>
      <c r="D2548" s="1" t="s">
        <v>1135</v>
      </c>
      <c r="E2548" s="1" t="s">
        <v>1137</v>
      </c>
      <c r="F2548" s="3">
        <v>0</v>
      </c>
      <c r="I2548" s="24" t="s">
        <v>3265</v>
      </c>
      <c r="J2548" s="24" t="s">
        <v>2920</v>
      </c>
      <c r="K2548" s="3">
        <v>16</v>
      </c>
      <c r="L2548" s="3" t="s">
        <v>2940</v>
      </c>
      <c r="M2548" s="3" t="str">
        <f>HYPERLINK("http://ictvonline.org/taxonomyHistory.asp?taxnode_id=20153198","ICTVonline=20153198")</f>
        <v>ICTVonline=20153198</v>
      </c>
    </row>
    <row r="2549" spans="1:13" x14ac:dyDescent="0.15">
      <c r="A2549" s="1" t="s">
        <v>934</v>
      </c>
      <c r="B2549" s="1" t="s">
        <v>1134</v>
      </c>
      <c r="D2549" s="1" t="s">
        <v>1135</v>
      </c>
      <c r="E2549" s="1" t="s">
        <v>1138</v>
      </c>
      <c r="F2549" s="3">
        <v>0</v>
      </c>
      <c r="I2549" s="24" t="s">
        <v>3265</v>
      </c>
      <c r="J2549" s="24" t="s">
        <v>2920</v>
      </c>
      <c r="K2549" s="3">
        <v>16</v>
      </c>
      <c r="L2549" s="3" t="s">
        <v>2940</v>
      </c>
      <c r="M2549" s="3" t="str">
        <f>HYPERLINK("http://ictvonline.org/taxonomyHistory.asp?taxnode_id=20153199","ICTVonline=20153199")</f>
        <v>ICTVonline=20153199</v>
      </c>
    </row>
    <row r="2550" spans="1:13" x14ac:dyDescent="0.15">
      <c r="A2550" s="1" t="s">
        <v>934</v>
      </c>
      <c r="B2550" s="1" t="s">
        <v>1134</v>
      </c>
      <c r="D2550" s="1" t="s">
        <v>1135</v>
      </c>
      <c r="E2550" s="1" t="s">
        <v>1139</v>
      </c>
      <c r="F2550" s="3">
        <v>1</v>
      </c>
      <c r="I2550" s="24" t="s">
        <v>3265</v>
      </c>
      <c r="J2550" s="24" t="s">
        <v>2920</v>
      </c>
      <c r="K2550" s="3">
        <v>16</v>
      </c>
      <c r="L2550" s="3" t="s">
        <v>2940</v>
      </c>
      <c r="M2550" s="3" t="str">
        <f>HYPERLINK("http://ictvonline.org/taxonomyHistory.asp?taxnode_id=20153200","ICTVonline=20153200")</f>
        <v>ICTVonline=20153200</v>
      </c>
    </row>
    <row r="2551" spans="1:13" x14ac:dyDescent="0.15">
      <c r="A2551" s="1" t="s">
        <v>934</v>
      </c>
      <c r="B2551" s="1" t="s">
        <v>1134</v>
      </c>
      <c r="D2551" s="1" t="s">
        <v>1135</v>
      </c>
      <c r="E2551" s="1" t="s">
        <v>1140</v>
      </c>
      <c r="F2551" s="3">
        <v>0</v>
      </c>
      <c r="I2551" s="24" t="s">
        <v>3265</v>
      </c>
      <c r="J2551" s="24" t="s">
        <v>2919</v>
      </c>
      <c r="K2551" s="3">
        <v>20</v>
      </c>
      <c r="L2551" s="3" t="s">
        <v>2925</v>
      </c>
      <c r="M2551" s="3" t="str">
        <f>HYPERLINK("http://ictvonline.org/taxonomyHistory.asp?taxnode_id=20153201","ICTVonline=20153201")</f>
        <v>ICTVonline=20153201</v>
      </c>
    </row>
    <row r="2552" spans="1:13" x14ac:dyDescent="0.15">
      <c r="A2552" s="1" t="s">
        <v>934</v>
      </c>
      <c r="B2552" s="1" t="s">
        <v>1134</v>
      </c>
      <c r="D2552" s="1" t="s">
        <v>1141</v>
      </c>
      <c r="E2552" s="1" t="s">
        <v>1142</v>
      </c>
      <c r="F2552" s="3">
        <v>0</v>
      </c>
      <c r="I2552" s="24" t="s">
        <v>3265</v>
      </c>
      <c r="J2552" s="24" t="s">
        <v>2920</v>
      </c>
      <c r="K2552" s="3">
        <v>16</v>
      </c>
      <c r="L2552" s="3" t="s">
        <v>2940</v>
      </c>
      <c r="M2552" s="3" t="str">
        <f>HYPERLINK("http://ictvonline.org/taxonomyHistory.asp?taxnode_id=20153203","ICTVonline=20153203")</f>
        <v>ICTVonline=20153203</v>
      </c>
    </row>
    <row r="2553" spans="1:13" x14ac:dyDescent="0.15">
      <c r="A2553" s="1" t="s">
        <v>934</v>
      </c>
      <c r="B2553" s="1" t="s">
        <v>1134</v>
      </c>
      <c r="D2553" s="1" t="s">
        <v>1141</v>
      </c>
      <c r="E2553" s="1" t="s">
        <v>1723</v>
      </c>
      <c r="F2553" s="3">
        <v>0</v>
      </c>
      <c r="I2553" s="24" t="s">
        <v>3265</v>
      </c>
      <c r="J2553" s="24" t="s">
        <v>2920</v>
      </c>
      <c r="K2553" s="3">
        <v>16</v>
      </c>
      <c r="L2553" s="3" t="s">
        <v>2940</v>
      </c>
      <c r="M2553" s="3" t="str">
        <f>HYPERLINK("http://ictvonline.org/taxonomyHistory.asp?taxnode_id=20153204","ICTVonline=20153204")</f>
        <v>ICTVonline=20153204</v>
      </c>
    </row>
    <row r="2554" spans="1:13" x14ac:dyDescent="0.15">
      <c r="A2554" s="1" t="s">
        <v>934</v>
      </c>
      <c r="B2554" s="1" t="s">
        <v>1134</v>
      </c>
      <c r="D2554" s="1" t="s">
        <v>1141</v>
      </c>
      <c r="E2554" s="1" t="s">
        <v>1724</v>
      </c>
      <c r="F2554" s="3">
        <v>1</v>
      </c>
      <c r="I2554" s="24" t="s">
        <v>3265</v>
      </c>
      <c r="J2554" s="24" t="s">
        <v>2924</v>
      </c>
      <c r="K2554" s="3">
        <v>18</v>
      </c>
      <c r="L2554" s="3" t="s">
        <v>2929</v>
      </c>
      <c r="M2554" s="3" t="str">
        <f>HYPERLINK("http://ictvonline.org/taxonomyHistory.asp?taxnode_id=20153205","ICTVonline=20153205")</f>
        <v>ICTVonline=20153205</v>
      </c>
    </row>
    <row r="2555" spans="1:13" x14ac:dyDescent="0.15">
      <c r="A2555" s="1" t="s">
        <v>934</v>
      </c>
      <c r="B2555" s="1" t="s">
        <v>1134</v>
      </c>
      <c r="D2555" s="1" t="s">
        <v>1141</v>
      </c>
      <c r="E2555" s="1" t="s">
        <v>1725</v>
      </c>
      <c r="F2555" s="3">
        <v>0</v>
      </c>
      <c r="I2555" s="24" t="s">
        <v>3265</v>
      </c>
      <c r="J2555" s="24" t="s">
        <v>2920</v>
      </c>
      <c r="K2555" s="3">
        <v>16</v>
      </c>
      <c r="L2555" s="3" t="s">
        <v>2940</v>
      </c>
      <c r="M2555" s="3" t="str">
        <f>HYPERLINK("http://ictvonline.org/taxonomyHistory.asp?taxnode_id=20153206","ICTVonline=20153206")</f>
        <v>ICTVonline=20153206</v>
      </c>
    </row>
    <row r="2556" spans="1:13" x14ac:dyDescent="0.15">
      <c r="A2556" s="1" t="s">
        <v>934</v>
      </c>
      <c r="B2556" s="1" t="s">
        <v>2641</v>
      </c>
      <c r="D2556" s="1" t="s">
        <v>2642</v>
      </c>
      <c r="E2556" s="1" t="s">
        <v>2643</v>
      </c>
      <c r="F2556" s="3">
        <v>0</v>
      </c>
      <c r="I2556" s="24" t="s">
        <v>2965</v>
      </c>
      <c r="J2556" s="24" t="s">
        <v>2919</v>
      </c>
      <c r="K2556" s="3">
        <v>28</v>
      </c>
      <c r="L2556" s="3" t="s">
        <v>7050</v>
      </c>
      <c r="M2556" s="3" t="str">
        <f>HYPERLINK("http://ictvonline.org/taxonomyHistory.asp?taxnode_id=20153210","ICTVonline=20153210")</f>
        <v>ICTVonline=20153210</v>
      </c>
    </row>
    <row r="2557" spans="1:13" x14ac:dyDescent="0.15">
      <c r="A2557" s="1" t="s">
        <v>934</v>
      </c>
      <c r="B2557" s="1" t="s">
        <v>2641</v>
      </c>
      <c r="D2557" s="1" t="s">
        <v>2642</v>
      </c>
      <c r="E2557" s="1" t="s">
        <v>2644</v>
      </c>
      <c r="F2557" s="3">
        <v>1</v>
      </c>
      <c r="I2557" s="24" t="s">
        <v>2965</v>
      </c>
      <c r="J2557" s="24" t="s">
        <v>2919</v>
      </c>
      <c r="K2557" s="3">
        <v>28</v>
      </c>
      <c r="L2557" s="3" t="s">
        <v>7050</v>
      </c>
      <c r="M2557" s="3" t="str">
        <f>HYPERLINK("http://ictvonline.org/taxonomyHistory.asp?taxnode_id=20153211","ICTVonline=20153211")</f>
        <v>ICTVonline=20153211</v>
      </c>
    </row>
    <row r="2558" spans="1:13" x14ac:dyDescent="0.15">
      <c r="A2558" s="1" t="s">
        <v>934</v>
      </c>
      <c r="B2558" s="1" t="s">
        <v>2641</v>
      </c>
      <c r="D2558" s="1" t="s">
        <v>2645</v>
      </c>
      <c r="E2558" s="1" t="s">
        <v>2646</v>
      </c>
      <c r="F2558" s="3">
        <v>1</v>
      </c>
      <c r="I2558" s="24" t="s">
        <v>2965</v>
      </c>
      <c r="J2558" s="24" t="s">
        <v>2919</v>
      </c>
      <c r="K2558" s="3">
        <v>28</v>
      </c>
      <c r="L2558" s="3" t="s">
        <v>7050</v>
      </c>
      <c r="M2558" s="3" t="str">
        <f>HYPERLINK("http://ictvonline.org/taxonomyHistory.asp?taxnode_id=20153213","ICTVonline=20153213")</f>
        <v>ICTVonline=20153213</v>
      </c>
    </row>
    <row r="2559" spans="1:13" x14ac:dyDescent="0.15">
      <c r="A2559" s="1" t="s">
        <v>934</v>
      </c>
      <c r="B2559" s="1" t="s">
        <v>1726</v>
      </c>
      <c r="D2559" s="1" t="s">
        <v>1727</v>
      </c>
      <c r="E2559" s="1" t="s">
        <v>5796</v>
      </c>
      <c r="F2559" s="3">
        <v>0</v>
      </c>
      <c r="G2559" s="24" t="s">
        <v>7648</v>
      </c>
      <c r="H2559" s="24" t="s">
        <v>5797</v>
      </c>
      <c r="I2559" s="24" t="s">
        <v>3254</v>
      </c>
      <c r="J2559" s="24" t="s">
        <v>2919</v>
      </c>
      <c r="K2559" s="3">
        <v>30</v>
      </c>
      <c r="L2559" s="3" t="s">
        <v>7051</v>
      </c>
      <c r="M2559" s="3" t="str">
        <f>HYPERLINK("http://ictvonline.org/taxonomyHistory.asp?taxnode_id=20153223","ICTVonline=20153223")</f>
        <v>ICTVonline=20153223</v>
      </c>
    </row>
    <row r="2560" spans="1:13" x14ac:dyDescent="0.15">
      <c r="A2560" s="1" t="s">
        <v>934</v>
      </c>
      <c r="B2560" s="1" t="s">
        <v>1726</v>
      </c>
      <c r="D2560" s="1" t="s">
        <v>1727</v>
      </c>
      <c r="E2560" s="1" t="s">
        <v>1728</v>
      </c>
      <c r="F2560" s="3">
        <v>1</v>
      </c>
      <c r="G2560" s="24" t="s">
        <v>7897</v>
      </c>
      <c r="H2560" s="24" t="s">
        <v>5798</v>
      </c>
      <c r="I2560" s="24" t="s">
        <v>3254</v>
      </c>
      <c r="J2560" s="24" t="s">
        <v>2920</v>
      </c>
      <c r="K2560" s="3">
        <v>24</v>
      </c>
      <c r="L2560" s="3" t="s">
        <v>7052</v>
      </c>
      <c r="M2560" s="3" t="str">
        <f>HYPERLINK("http://ictvonline.org/taxonomyHistory.asp?taxnode_id=20153217","ICTVonline=20153217")</f>
        <v>ICTVonline=20153217</v>
      </c>
    </row>
    <row r="2561" spans="1:13" x14ac:dyDescent="0.15">
      <c r="A2561" s="1" t="s">
        <v>934</v>
      </c>
      <c r="B2561" s="1" t="s">
        <v>1726</v>
      </c>
      <c r="D2561" s="1" t="s">
        <v>1727</v>
      </c>
      <c r="E2561" s="1" t="s">
        <v>561</v>
      </c>
      <c r="F2561" s="3">
        <v>0</v>
      </c>
      <c r="G2561" s="24" t="s">
        <v>5799</v>
      </c>
      <c r="H2561" s="24" t="s">
        <v>5800</v>
      </c>
      <c r="I2561" s="24" t="s">
        <v>3254</v>
      </c>
      <c r="J2561" s="24" t="s">
        <v>2919</v>
      </c>
      <c r="K2561" s="3">
        <v>25</v>
      </c>
      <c r="L2561" s="3" t="s">
        <v>7053</v>
      </c>
      <c r="M2561" s="3" t="str">
        <f>HYPERLINK("http://ictvonline.org/taxonomyHistory.asp?taxnode_id=20153218","ICTVonline=20153218")</f>
        <v>ICTVonline=20153218</v>
      </c>
    </row>
    <row r="2562" spans="1:13" x14ac:dyDescent="0.15">
      <c r="A2562" s="1" t="s">
        <v>934</v>
      </c>
      <c r="B2562" s="1" t="s">
        <v>1726</v>
      </c>
      <c r="D2562" s="1" t="s">
        <v>1727</v>
      </c>
      <c r="E2562" s="1" t="s">
        <v>1729</v>
      </c>
      <c r="F2562" s="3">
        <v>0</v>
      </c>
      <c r="G2562" s="24" t="s">
        <v>7898</v>
      </c>
      <c r="H2562" s="24" t="s">
        <v>5801</v>
      </c>
      <c r="I2562" s="24" t="s">
        <v>3254</v>
      </c>
      <c r="J2562" s="24" t="s">
        <v>2920</v>
      </c>
      <c r="K2562" s="3">
        <v>24</v>
      </c>
      <c r="L2562" s="3" t="s">
        <v>7052</v>
      </c>
      <c r="M2562" s="3" t="str">
        <f>HYPERLINK("http://ictvonline.org/taxonomyHistory.asp?taxnode_id=20153219","ICTVonline=20153219")</f>
        <v>ICTVonline=20153219</v>
      </c>
    </row>
    <row r="2563" spans="1:13" x14ac:dyDescent="0.15">
      <c r="A2563" s="1" t="s">
        <v>934</v>
      </c>
      <c r="B2563" s="1" t="s">
        <v>1726</v>
      </c>
      <c r="D2563" s="1" t="s">
        <v>1727</v>
      </c>
      <c r="E2563" s="1" t="s">
        <v>1730</v>
      </c>
      <c r="F2563" s="3">
        <v>0</v>
      </c>
      <c r="G2563" s="24" t="s">
        <v>7899</v>
      </c>
      <c r="H2563" s="24" t="s">
        <v>5802</v>
      </c>
      <c r="I2563" s="24" t="s">
        <v>3254</v>
      </c>
      <c r="J2563" s="24" t="s">
        <v>2923</v>
      </c>
      <c r="K2563" s="3">
        <v>24</v>
      </c>
      <c r="L2563" s="3" t="s">
        <v>7052</v>
      </c>
      <c r="M2563" s="3" t="str">
        <f>HYPERLINK("http://ictvonline.org/taxonomyHistory.asp?taxnode_id=20153220","ICTVonline=20153220")</f>
        <v>ICTVonline=20153220</v>
      </c>
    </row>
    <row r="2564" spans="1:13" x14ac:dyDescent="0.15">
      <c r="A2564" s="1" t="s">
        <v>934</v>
      </c>
      <c r="B2564" s="1" t="s">
        <v>1726</v>
      </c>
      <c r="D2564" s="1" t="s">
        <v>1727</v>
      </c>
      <c r="E2564" s="1" t="s">
        <v>1731</v>
      </c>
      <c r="F2564" s="3">
        <v>0</v>
      </c>
      <c r="I2564" s="24" t="s">
        <v>3254</v>
      </c>
      <c r="J2564" s="24" t="s">
        <v>2920</v>
      </c>
      <c r="K2564" s="3">
        <v>24</v>
      </c>
      <c r="L2564" s="3" t="s">
        <v>7052</v>
      </c>
      <c r="M2564" s="3" t="str">
        <f>HYPERLINK("http://ictvonline.org/taxonomyHistory.asp?taxnode_id=20153221","ICTVonline=20153221")</f>
        <v>ICTVonline=20153221</v>
      </c>
    </row>
    <row r="2565" spans="1:13" x14ac:dyDescent="0.15">
      <c r="A2565" s="1" t="s">
        <v>934</v>
      </c>
      <c r="B2565" s="1" t="s">
        <v>1726</v>
      </c>
      <c r="D2565" s="1" t="s">
        <v>1727</v>
      </c>
      <c r="E2565" s="1" t="s">
        <v>1732</v>
      </c>
      <c r="F2565" s="3">
        <v>0</v>
      </c>
      <c r="I2565" s="24" t="s">
        <v>3254</v>
      </c>
      <c r="J2565" s="24" t="s">
        <v>2920</v>
      </c>
      <c r="K2565" s="3">
        <v>24</v>
      </c>
      <c r="L2565" s="3" t="s">
        <v>7052</v>
      </c>
      <c r="M2565" s="3" t="str">
        <f>HYPERLINK("http://ictvonline.org/taxonomyHistory.asp?taxnode_id=20153222","ICTVonline=20153222")</f>
        <v>ICTVonline=20153222</v>
      </c>
    </row>
    <row r="2566" spans="1:13" x14ac:dyDescent="0.15">
      <c r="A2566" s="1" t="s">
        <v>934</v>
      </c>
      <c r="B2566" s="1" t="s">
        <v>1733</v>
      </c>
      <c r="D2566" s="1" t="s">
        <v>2098</v>
      </c>
      <c r="E2566" s="1" t="s">
        <v>939</v>
      </c>
      <c r="F2566" s="3">
        <v>1</v>
      </c>
      <c r="I2566" s="24" t="s">
        <v>3254</v>
      </c>
      <c r="J2566" s="24" t="s">
        <v>2920</v>
      </c>
      <c r="K2566" s="3">
        <v>15</v>
      </c>
      <c r="L2566" s="3" t="s">
        <v>2935</v>
      </c>
      <c r="M2566" s="3" t="str">
        <f>HYPERLINK("http://ictvonline.org/taxonomyHistory.asp?taxnode_id=20153227","ICTVonline=20153227")</f>
        <v>ICTVonline=20153227</v>
      </c>
    </row>
    <row r="2567" spans="1:13" x14ac:dyDescent="0.15">
      <c r="A2567" s="1" t="s">
        <v>934</v>
      </c>
      <c r="B2567" s="1" t="s">
        <v>1733</v>
      </c>
      <c r="D2567" s="1" t="s">
        <v>848</v>
      </c>
      <c r="E2567" s="1" t="s">
        <v>849</v>
      </c>
      <c r="F2567" s="3">
        <v>1</v>
      </c>
      <c r="I2567" s="24" t="s">
        <v>3254</v>
      </c>
      <c r="J2567" s="24" t="s">
        <v>2922</v>
      </c>
      <c r="K2567" s="3">
        <v>15</v>
      </c>
      <c r="L2567" s="3" t="s">
        <v>2935</v>
      </c>
      <c r="M2567" s="3" t="str">
        <f>HYPERLINK("http://ictvonline.org/taxonomyHistory.asp?taxnode_id=20153229","ICTVonline=20153229")</f>
        <v>ICTVonline=20153229</v>
      </c>
    </row>
    <row r="2568" spans="1:13" x14ac:dyDescent="0.15">
      <c r="A2568" s="1" t="s">
        <v>934</v>
      </c>
      <c r="B2568" s="1" t="s">
        <v>1733</v>
      </c>
      <c r="D2568" s="1" t="s">
        <v>850</v>
      </c>
      <c r="E2568" s="1" t="s">
        <v>851</v>
      </c>
      <c r="F2568" s="3">
        <v>1</v>
      </c>
      <c r="I2568" s="24" t="s">
        <v>3254</v>
      </c>
      <c r="J2568" s="24" t="s">
        <v>2920</v>
      </c>
      <c r="K2568" s="3">
        <v>15</v>
      </c>
      <c r="L2568" s="3" t="s">
        <v>2935</v>
      </c>
      <c r="M2568" s="3" t="str">
        <f>HYPERLINK("http://ictvonline.org/taxonomyHistory.asp?taxnode_id=20153231","ICTVonline=20153231")</f>
        <v>ICTVonline=20153231</v>
      </c>
    </row>
    <row r="2569" spans="1:13" x14ac:dyDescent="0.15">
      <c r="A2569" s="1" t="s">
        <v>934</v>
      </c>
      <c r="B2569" s="1" t="s">
        <v>1733</v>
      </c>
      <c r="D2569" s="1" t="s">
        <v>852</v>
      </c>
      <c r="E2569" s="1" t="s">
        <v>853</v>
      </c>
      <c r="F2569" s="3">
        <v>1</v>
      </c>
      <c r="I2569" s="24" t="s">
        <v>3254</v>
      </c>
      <c r="J2569" s="24" t="s">
        <v>2921</v>
      </c>
      <c r="K2569" s="3">
        <v>20</v>
      </c>
      <c r="L2569" s="3" t="s">
        <v>2925</v>
      </c>
      <c r="M2569" s="3" t="str">
        <f>HYPERLINK("http://ictvonline.org/taxonomyHistory.asp?taxnode_id=20153233","ICTVonline=20153233")</f>
        <v>ICTVonline=20153233</v>
      </c>
    </row>
    <row r="2570" spans="1:13" x14ac:dyDescent="0.15">
      <c r="A2570" s="1" t="s">
        <v>934</v>
      </c>
      <c r="B2570" s="1" t="s">
        <v>1733</v>
      </c>
      <c r="D2570" s="1" t="s">
        <v>2420</v>
      </c>
      <c r="E2570" s="1" t="s">
        <v>2421</v>
      </c>
      <c r="F2570" s="3">
        <v>0</v>
      </c>
      <c r="I2570" s="24" t="s">
        <v>3254</v>
      </c>
      <c r="J2570" s="24" t="s">
        <v>2919</v>
      </c>
      <c r="K2570" s="3">
        <v>27</v>
      </c>
      <c r="L2570" s="3" t="s">
        <v>7054</v>
      </c>
      <c r="M2570" s="3" t="str">
        <f>HYPERLINK("http://ictvonline.org/taxonomyHistory.asp?taxnode_id=20153235","ICTVonline=20153235")</f>
        <v>ICTVonline=20153235</v>
      </c>
    </row>
    <row r="2571" spans="1:13" x14ac:dyDescent="0.15">
      <c r="A2571" s="1" t="s">
        <v>934</v>
      </c>
      <c r="B2571" s="1" t="s">
        <v>1733</v>
      </c>
      <c r="D2571" s="1" t="s">
        <v>2420</v>
      </c>
      <c r="E2571" s="1" t="s">
        <v>2422</v>
      </c>
      <c r="F2571" s="3">
        <v>1</v>
      </c>
      <c r="I2571" s="24" t="s">
        <v>3254</v>
      </c>
      <c r="J2571" s="24" t="s">
        <v>2921</v>
      </c>
      <c r="K2571" s="3">
        <v>27</v>
      </c>
      <c r="L2571" s="3" t="s">
        <v>7054</v>
      </c>
      <c r="M2571" s="3" t="str">
        <f>HYPERLINK("http://ictvonline.org/taxonomyHistory.asp?taxnode_id=20153236","ICTVonline=20153236")</f>
        <v>ICTVonline=20153236</v>
      </c>
    </row>
    <row r="2572" spans="1:13" x14ac:dyDescent="0.15">
      <c r="A2572" s="1" t="s">
        <v>934</v>
      </c>
      <c r="B2572" s="1" t="s">
        <v>1733</v>
      </c>
      <c r="D2572" s="1" t="s">
        <v>854</v>
      </c>
      <c r="E2572" s="1" t="s">
        <v>855</v>
      </c>
      <c r="F2572" s="3">
        <v>0</v>
      </c>
      <c r="I2572" s="24" t="s">
        <v>3254</v>
      </c>
      <c r="J2572" s="24" t="s">
        <v>2920</v>
      </c>
      <c r="K2572" s="3">
        <v>15</v>
      </c>
      <c r="L2572" s="3" t="s">
        <v>2935</v>
      </c>
      <c r="M2572" s="3" t="str">
        <f>HYPERLINK("http://ictvonline.org/taxonomyHistory.asp?taxnode_id=20153238","ICTVonline=20153238")</f>
        <v>ICTVonline=20153238</v>
      </c>
    </row>
    <row r="2573" spans="1:13" x14ac:dyDescent="0.15">
      <c r="A2573" s="1" t="s">
        <v>934</v>
      </c>
      <c r="B2573" s="1" t="s">
        <v>1733</v>
      </c>
      <c r="D2573" s="1" t="s">
        <v>854</v>
      </c>
      <c r="E2573" s="1" t="s">
        <v>856</v>
      </c>
      <c r="F2573" s="3">
        <v>1</v>
      </c>
      <c r="I2573" s="24" t="s">
        <v>3254</v>
      </c>
      <c r="J2573" s="24" t="s">
        <v>2920</v>
      </c>
      <c r="K2573" s="3">
        <v>15</v>
      </c>
      <c r="L2573" s="3" t="s">
        <v>2935</v>
      </c>
      <c r="M2573" s="3" t="str">
        <f>HYPERLINK("http://ictvonline.org/taxonomyHistory.asp?taxnode_id=20153239","ICTVonline=20153239")</f>
        <v>ICTVonline=20153239</v>
      </c>
    </row>
    <row r="2574" spans="1:13" x14ac:dyDescent="0.15">
      <c r="A2574" s="1" t="s">
        <v>934</v>
      </c>
      <c r="B2574" s="1" t="s">
        <v>857</v>
      </c>
      <c r="D2574" s="1" t="s">
        <v>858</v>
      </c>
      <c r="E2574" s="1" t="s">
        <v>107</v>
      </c>
      <c r="F2574" s="3">
        <v>1</v>
      </c>
      <c r="I2574" s="24" t="s">
        <v>2965</v>
      </c>
      <c r="J2574" s="24" t="s">
        <v>2924</v>
      </c>
      <c r="K2574" s="3">
        <v>26</v>
      </c>
      <c r="L2574" s="3" t="s">
        <v>7055</v>
      </c>
      <c r="M2574" s="3" t="str">
        <f>HYPERLINK("http://ictvonline.org/taxonomyHistory.asp?taxnode_id=20153243","ICTVonline=20153243")</f>
        <v>ICTVonline=20153243</v>
      </c>
    </row>
    <row r="2575" spans="1:13" x14ac:dyDescent="0.15">
      <c r="A2575" s="1" t="s">
        <v>934</v>
      </c>
      <c r="B2575" s="1" t="s">
        <v>857</v>
      </c>
      <c r="D2575" s="1" t="s">
        <v>858</v>
      </c>
      <c r="E2575" s="1" t="s">
        <v>113</v>
      </c>
      <c r="F2575" s="3">
        <v>0</v>
      </c>
      <c r="I2575" s="24" t="s">
        <v>2965</v>
      </c>
      <c r="J2575" s="24" t="s">
        <v>2924</v>
      </c>
      <c r="K2575" s="3">
        <v>26</v>
      </c>
      <c r="L2575" s="3" t="s">
        <v>7055</v>
      </c>
      <c r="M2575" s="3" t="str">
        <f>HYPERLINK("http://ictvonline.org/taxonomyHistory.asp?taxnode_id=20153244","ICTVonline=20153244")</f>
        <v>ICTVonline=20153244</v>
      </c>
    </row>
    <row r="2576" spans="1:13" x14ac:dyDescent="0.15">
      <c r="A2576" s="1" t="s">
        <v>934</v>
      </c>
      <c r="B2576" s="1" t="s">
        <v>857</v>
      </c>
      <c r="D2576" s="1" t="s">
        <v>858</v>
      </c>
      <c r="E2576" s="1" t="s">
        <v>114</v>
      </c>
      <c r="F2576" s="3">
        <v>0</v>
      </c>
      <c r="I2576" s="24" t="s">
        <v>2965</v>
      </c>
      <c r="J2576" s="24" t="s">
        <v>2924</v>
      </c>
      <c r="K2576" s="3">
        <v>26</v>
      </c>
      <c r="L2576" s="3" t="s">
        <v>7055</v>
      </c>
      <c r="M2576" s="3" t="str">
        <f>HYPERLINK("http://ictvonline.org/taxonomyHistory.asp?taxnode_id=20153245","ICTVonline=20153245")</f>
        <v>ICTVonline=20153245</v>
      </c>
    </row>
    <row r="2577" spans="1:13" x14ac:dyDescent="0.15">
      <c r="A2577" s="1" t="s">
        <v>934</v>
      </c>
      <c r="B2577" s="1" t="s">
        <v>857</v>
      </c>
      <c r="D2577" s="1" t="s">
        <v>858</v>
      </c>
      <c r="E2577" s="1" t="s">
        <v>115</v>
      </c>
      <c r="F2577" s="3">
        <v>0</v>
      </c>
      <c r="I2577" s="24" t="s">
        <v>2965</v>
      </c>
      <c r="J2577" s="24" t="s">
        <v>2924</v>
      </c>
      <c r="K2577" s="3">
        <v>26</v>
      </c>
      <c r="L2577" s="3" t="s">
        <v>7055</v>
      </c>
      <c r="M2577" s="3" t="str">
        <f>HYPERLINK("http://ictvonline.org/taxonomyHistory.asp?taxnode_id=20153246","ICTVonline=20153246")</f>
        <v>ICTVonline=20153246</v>
      </c>
    </row>
    <row r="2578" spans="1:13" x14ac:dyDescent="0.15">
      <c r="A2578" s="1" t="s">
        <v>934</v>
      </c>
      <c r="B2578" s="1" t="s">
        <v>857</v>
      </c>
      <c r="D2578" s="1" t="s">
        <v>858</v>
      </c>
      <c r="E2578" s="1" t="s">
        <v>116</v>
      </c>
      <c r="F2578" s="3">
        <v>0</v>
      </c>
      <c r="I2578" s="24" t="s">
        <v>2965</v>
      </c>
      <c r="J2578" s="24" t="s">
        <v>2924</v>
      </c>
      <c r="K2578" s="3">
        <v>26</v>
      </c>
      <c r="L2578" s="3" t="s">
        <v>7055</v>
      </c>
      <c r="M2578" s="3" t="str">
        <f>HYPERLINK("http://ictvonline.org/taxonomyHistory.asp?taxnode_id=20153247","ICTVonline=20153247")</f>
        <v>ICTVonline=20153247</v>
      </c>
    </row>
    <row r="2579" spans="1:13" x14ac:dyDescent="0.15">
      <c r="A2579" s="1" t="s">
        <v>934</v>
      </c>
      <c r="B2579" s="1" t="s">
        <v>857</v>
      </c>
      <c r="D2579" s="1" t="s">
        <v>858</v>
      </c>
      <c r="E2579" s="1" t="s">
        <v>117</v>
      </c>
      <c r="F2579" s="3">
        <v>0</v>
      </c>
      <c r="I2579" s="24" t="s">
        <v>2965</v>
      </c>
      <c r="J2579" s="24" t="s">
        <v>2924</v>
      </c>
      <c r="K2579" s="3">
        <v>26</v>
      </c>
      <c r="L2579" s="3" t="s">
        <v>7055</v>
      </c>
      <c r="M2579" s="3" t="str">
        <f>HYPERLINK("http://ictvonline.org/taxonomyHistory.asp?taxnode_id=20153248","ICTVonline=20153248")</f>
        <v>ICTVonline=20153248</v>
      </c>
    </row>
    <row r="2580" spans="1:13" x14ac:dyDescent="0.15">
      <c r="A2580" s="1" t="s">
        <v>934</v>
      </c>
      <c r="B2580" s="1" t="s">
        <v>857</v>
      </c>
      <c r="D2580" s="1" t="s">
        <v>858</v>
      </c>
      <c r="E2580" s="1" t="s">
        <v>118</v>
      </c>
      <c r="F2580" s="3">
        <v>0</v>
      </c>
      <c r="I2580" s="24" t="s">
        <v>2965</v>
      </c>
      <c r="J2580" s="24" t="s">
        <v>2924</v>
      </c>
      <c r="K2580" s="3">
        <v>26</v>
      </c>
      <c r="L2580" s="3" t="s">
        <v>7055</v>
      </c>
      <c r="M2580" s="3" t="str">
        <f>HYPERLINK("http://ictvonline.org/taxonomyHistory.asp?taxnode_id=20153249","ICTVonline=20153249")</f>
        <v>ICTVonline=20153249</v>
      </c>
    </row>
    <row r="2581" spans="1:13" x14ac:dyDescent="0.15">
      <c r="A2581" s="1" t="s">
        <v>934</v>
      </c>
      <c r="B2581" s="1" t="s">
        <v>857</v>
      </c>
      <c r="D2581" s="1" t="s">
        <v>858</v>
      </c>
      <c r="E2581" s="1" t="s">
        <v>119</v>
      </c>
      <c r="F2581" s="3">
        <v>0</v>
      </c>
      <c r="I2581" s="24" t="s">
        <v>2965</v>
      </c>
      <c r="J2581" s="24" t="s">
        <v>2924</v>
      </c>
      <c r="K2581" s="3">
        <v>26</v>
      </c>
      <c r="L2581" s="3" t="s">
        <v>7055</v>
      </c>
      <c r="M2581" s="3" t="str">
        <f>HYPERLINK("http://ictvonline.org/taxonomyHistory.asp?taxnode_id=20153250","ICTVonline=20153250")</f>
        <v>ICTVonline=20153250</v>
      </c>
    </row>
    <row r="2582" spans="1:13" x14ac:dyDescent="0.15">
      <c r="A2582" s="1" t="s">
        <v>934</v>
      </c>
      <c r="B2582" s="1" t="s">
        <v>857</v>
      </c>
      <c r="D2582" s="1" t="s">
        <v>858</v>
      </c>
      <c r="E2582" s="1" t="s">
        <v>120</v>
      </c>
      <c r="F2582" s="3">
        <v>0</v>
      </c>
      <c r="I2582" s="24" t="s">
        <v>2965</v>
      </c>
      <c r="J2582" s="24" t="s">
        <v>2924</v>
      </c>
      <c r="K2582" s="3">
        <v>26</v>
      </c>
      <c r="L2582" s="3" t="s">
        <v>7055</v>
      </c>
      <c r="M2582" s="3" t="str">
        <f>HYPERLINK("http://ictvonline.org/taxonomyHistory.asp?taxnode_id=20153251","ICTVonline=20153251")</f>
        <v>ICTVonline=20153251</v>
      </c>
    </row>
    <row r="2583" spans="1:13" x14ac:dyDescent="0.15">
      <c r="A2583" s="1" t="s">
        <v>934</v>
      </c>
      <c r="B2583" s="1" t="s">
        <v>857</v>
      </c>
      <c r="D2583" s="1" t="s">
        <v>858</v>
      </c>
      <c r="E2583" s="1" t="s">
        <v>108</v>
      </c>
      <c r="F2583" s="3">
        <v>0</v>
      </c>
      <c r="I2583" s="24" t="s">
        <v>2965</v>
      </c>
      <c r="J2583" s="24" t="s">
        <v>2924</v>
      </c>
      <c r="K2583" s="3">
        <v>26</v>
      </c>
      <c r="L2583" s="3" t="s">
        <v>7055</v>
      </c>
      <c r="M2583" s="3" t="str">
        <f>HYPERLINK("http://ictvonline.org/taxonomyHistory.asp?taxnode_id=20153252","ICTVonline=20153252")</f>
        <v>ICTVonline=20153252</v>
      </c>
    </row>
    <row r="2584" spans="1:13" x14ac:dyDescent="0.15">
      <c r="A2584" s="1" t="s">
        <v>934</v>
      </c>
      <c r="B2584" s="1" t="s">
        <v>857</v>
      </c>
      <c r="D2584" s="1" t="s">
        <v>858</v>
      </c>
      <c r="E2584" s="1" t="s">
        <v>109</v>
      </c>
      <c r="F2584" s="3">
        <v>0</v>
      </c>
      <c r="I2584" s="24" t="s">
        <v>2965</v>
      </c>
      <c r="J2584" s="24" t="s">
        <v>2924</v>
      </c>
      <c r="K2584" s="3">
        <v>26</v>
      </c>
      <c r="L2584" s="3" t="s">
        <v>7055</v>
      </c>
      <c r="M2584" s="3" t="str">
        <f>HYPERLINK("http://ictvonline.org/taxonomyHistory.asp?taxnode_id=20153253","ICTVonline=20153253")</f>
        <v>ICTVonline=20153253</v>
      </c>
    </row>
    <row r="2585" spans="1:13" x14ac:dyDescent="0.15">
      <c r="A2585" s="1" t="s">
        <v>934</v>
      </c>
      <c r="B2585" s="1" t="s">
        <v>857</v>
      </c>
      <c r="D2585" s="1" t="s">
        <v>858</v>
      </c>
      <c r="E2585" s="1" t="s">
        <v>110</v>
      </c>
      <c r="F2585" s="3">
        <v>0</v>
      </c>
      <c r="I2585" s="24" t="s">
        <v>2965</v>
      </c>
      <c r="J2585" s="24" t="s">
        <v>2924</v>
      </c>
      <c r="K2585" s="3">
        <v>26</v>
      </c>
      <c r="L2585" s="3" t="s">
        <v>7055</v>
      </c>
      <c r="M2585" s="3" t="str">
        <f>HYPERLINK("http://ictvonline.org/taxonomyHistory.asp?taxnode_id=20153254","ICTVonline=20153254")</f>
        <v>ICTVonline=20153254</v>
      </c>
    </row>
    <row r="2586" spans="1:13" x14ac:dyDescent="0.15">
      <c r="A2586" s="1" t="s">
        <v>934</v>
      </c>
      <c r="B2586" s="1" t="s">
        <v>857</v>
      </c>
      <c r="D2586" s="1" t="s">
        <v>858</v>
      </c>
      <c r="E2586" s="1" t="s">
        <v>111</v>
      </c>
      <c r="F2586" s="3">
        <v>0</v>
      </c>
      <c r="I2586" s="24" t="s">
        <v>2965</v>
      </c>
      <c r="J2586" s="24" t="s">
        <v>2924</v>
      </c>
      <c r="K2586" s="3">
        <v>26</v>
      </c>
      <c r="L2586" s="3" t="s">
        <v>7055</v>
      </c>
      <c r="M2586" s="3" t="str">
        <f>HYPERLINK("http://ictvonline.org/taxonomyHistory.asp?taxnode_id=20153255","ICTVonline=20153255")</f>
        <v>ICTVonline=20153255</v>
      </c>
    </row>
    <row r="2587" spans="1:13" x14ac:dyDescent="0.15">
      <c r="A2587" s="1" t="s">
        <v>934</v>
      </c>
      <c r="B2587" s="1" t="s">
        <v>857</v>
      </c>
      <c r="D2587" s="1" t="s">
        <v>858</v>
      </c>
      <c r="E2587" s="1" t="s">
        <v>112</v>
      </c>
      <c r="F2587" s="3">
        <v>0</v>
      </c>
      <c r="I2587" s="24" t="s">
        <v>2965</v>
      </c>
      <c r="J2587" s="24" t="s">
        <v>2924</v>
      </c>
      <c r="K2587" s="3">
        <v>26</v>
      </c>
      <c r="L2587" s="3" t="s">
        <v>7055</v>
      </c>
      <c r="M2587" s="3" t="str">
        <f>HYPERLINK("http://ictvonline.org/taxonomyHistory.asp?taxnode_id=20153256","ICTVonline=20153256")</f>
        <v>ICTVonline=20153256</v>
      </c>
    </row>
    <row r="2588" spans="1:13" x14ac:dyDescent="0.15">
      <c r="A2588" s="1" t="s">
        <v>934</v>
      </c>
      <c r="B2588" s="1" t="s">
        <v>857</v>
      </c>
      <c r="D2588" s="1" t="s">
        <v>891</v>
      </c>
      <c r="E2588" s="1" t="s">
        <v>121</v>
      </c>
      <c r="F2588" s="3">
        <v>1</v>
      </c>
      <c r="I2588" s="24" t="s">
        <v>2965</v>
      </c>
      <c r="J2588" s="24" t="s">
        <v>2924</v>
      </c>
      <c r="K2588" s="3">
        <v>26</v>
      </c>
      <c r="L2588" s="3" t="s">
        <v>7055</v>
      </c>
      <c r="M2588" s="3" t="str">
        <f>HYPERLINK("http://ictvonline.org/taxonomyHistory.asp?taxnode_id=20153258","ICTVonline=20153258")</f>
        <v>ICTVonline=20153258</v>
      </c>
    </row>
    <row r="2589" spans="1:13" x14ac:dyDescent="0.15">
      <c r="A2589" s="1" t="s">
        <v>934</v>
      </c>
      <c r="B2589" s="1" t="s">
        <v>857</v>
      </c>
      <c r="D2589" s="1" t="s">
        <v>891</v>
      </c>
      <c r="E2589" s="1" t="s">
        <v>122</v>
      </c>
      <c r="F2589" s="3">
        <v>0</v>
      </c>
      <c r="I2589" s="24" t="s">
        <v>2965</v>
      </c>
      <c r="J2589" s="24" t="s">
        <v>2924</v>
      </c>
      <c r="K2589" s="3">
        <v>26</v>
      </c>
      <c r="L2589" s="3" t="s">
        <v>7055</v>
      </c>
      <c r="M2589" s="3" t="str">
        <f>HYPERLINK("http://ictvonline.org/taxonomyHistory.asp?taxnode_id=20153259","ICTVonline=20153259")</f>
        <v>ICTVonline=20153259</v>
      </c>
    </row>
    <row r="2590" spans="1:13" x14ac:dyDescent="0.15">
      <c r="A2590" s="1" t="s">
        <v>934</v>
      </c>
      <c r="B2590" s="1" t="s">
        <v>857</v>
      </c>
      <c r="D2590" s="1" t="s">
        <v>891</v>
      </c>
      <c r="E2590" s="1" t="s">
        <v>123</v>
      </c>
      <c r="F2590" s="3">
        <v>0</v>
      </c>
      <c r="I2590" s="24" t="s">
        <v>2965</v>
      </c>
      <c r="J2590" s="24" t="s">
        <v>2924</v>
      </c>
      <c r="K2590" s="3">
        <v>26</v>
      </c>
      <c r="L2590" s="3" t="s">
        <v>7055</v>
      </c>
      <c r="M2590" s="3" t="str">
        <f>HYPERLINK("http://ictvonline.org/taxonomyHistory.asp?taxnode_id=20153260","ICTVonline=20153260")</f>
        <v>ICTVonline=20153260</v>
      </c>
    </row>
    <row r="2591" spans="1:13" x14ac:dyDescent="0.15">
      <c r="A2591" s="1" t="s">
        <v>934</v>
      </c>
      <c r="B2591" s="1" t="s">
        <v>857</v>
      </c>
      <c r="D2591" s="1" t="s">
        <v>891</v>
      </c>
      <c r="E2591" s="1" t="s">
        <v>124</v>
      </c>
      <c r="F2591" s="3">
        <v>0</v>
      </c>
      <c r="I2591" s="24" t="s">
        <v>2965</v>
      </c>
      <c r="J2591" s="24" t="s">
        <v>2924</v>
      </c>
      <c r="K2591" s="3">
        <v>26</v>
      </c>
      <c r="L2591" s="3" t="s">
        <v>7055</v>
      </c>
      <c r="M2591" s="3" t="str">
        <f>HYPERLINK("http://ictvonline.org/taxonomyHistory.asp?taxnode_id=20153261","ICTVonline=20153261")</f>
        <v>ICTVonline=20153261</v>
      </c>
    </row>
    <row r="2592" spans="1:13" x14ac:dyDescent="0.15">
      <c r="A2592" s="1" t="s">
        <v>934</v>
      </c>
      <c r="B2592" s="1" t="s">
        <v>857</v>
      </c>
      <c r="D2592" s="1" t="s">
        <v>891</v>
      </c>
      <c r="E2592" s="1" t="s">
        <v>125</v>
      </c>
      <c r="F2592" s="3">
        <v>0</v>
      </c>
      <c r="I2592" s="24" t="s">
        <v>2965</v>
      </c>
      <c r="J2592" s="24" t="s">
        <v>2924</v>
      </c>
      <c r="K2592" s="3">
        <v>26</v>
      </c>
      <c r="L2592" s="3" t="s">
        <v>7055</v>
      </c>
      <c r="M2592" s="3" t="str">
        <f>HYPERLINK("http://ictvonline.org/taxonomyHistory.asp?taxnode_id=20153262","ICTVonline=20153262")</f>
        <v>ICTVonline=20153262</v>
      </c>
    </row>
    <row r="2593" spans="1:13" x14ac:dyDescent="0.15">
      <c r="A2593" s="1" t="s">
        <v>934</v>
      </c>
      <c r="B2593" s="1" t="s">
        <v>857</v>
      </c>
      <c r="D2593" s="1" t="s">
        <v>891</v>
      </c>
      <c r="E2593" s="1" t="s">
        <v>126</v>
      </c>
      <c r="F2593" s="3">
        <v>0</v>
      </c>
      <c r="I2593" s="24" t="s">
        <v>2965</v>
      </c>
      <c r="J2593" s="24" t="s">
        <v>2919</v>
      </c>
      <c r="K2593" s="3">
        <v>26</v>
      </c>
      <c r="L2593" s="3" t="s">
        <v>7055</v>
      </c>
      <c r="M2593" s="3" t="str">
        <f>HYPERLINK("http://ictvonline.org/taxonomyHistory.asp?taxnode_id=20153263","ICTVonline=20153263")</f>
        <v>ICTVonline=20153263</v>
      </c>
    </row>
    <row r="2594" spans="1:13" x14ac:dyDescent="0.15">
      <c r="A2594" s="1" t="s">
        <v>934</v>
      </c>
      <c r="B2594" s="1" t="s">
        <v>857</v>
      </c>
      <c r="D2594" s="1" t="s">
        <v>127</v>
      </c>
      <c r="E2594" s="1" t="s">
        <v>128</v>
      </c>
      <c r="F2594" s="3">
        <v>1</v>
      </c>
      <c r="I2594" s="24" t="s">
        <v>2965</v>
      </c>
      <c r="J2594" s="24" t="s">
        <v>2921</v>
      </c>
      <c r="K2594" s="3">
        <v>26</v>
      </c>
      <c r="L2594" s="3" t="s">
        <v>7055</v>
      </c>
      <c r="M2594" s="3" t="str">
        <f>HYPERLINK("http://ictvonline.org/taxonomyHistory.asp?taxnode_id=20153265","ICTVonline=20153265")</f>
        <v>ICTVonline=20153265</v>
      </c>
    </row>
    <row r="2595" spans="1:13" x14ac:dyDescent="0.15">
      <c r="A2595" s="1" t="s">
        <v>934</v>
      </c>
      <c r="B2595" s="1" t="s">
        <v>857</v>
      </c>
      <c r="D2595" s="1" t="s">
        <v>127</v>
      </c>
      <c r="E2595" s="1" t="s">
        <v>129</v>
      </c>
      <c r="F2595" s="3">
        <v>0</v>
      </c>
      <c r="I2595" s="24" t="s">
        <v>2965</v>
      </c>
      <c r="J2595" s="24" t="s">
        <v>2919</v>
      </c>
      <c r="K2595" s="3">
        <v>26</v>
      </c>
      <c r="L2595" s="3" t="s">
        <v>7055</v>
      </c>
      <c r="M2595" s="3" t="str">
        <f>HYPERLINK("http://ictvonline.org/taxonomyHistory.asp?taxnode_id=20153266","ICTVonline=20153266")</f>
        <v>ICTVonline=20153266</v>
      </c>
    </row>
    <row r="2596" spans="1:13" x14ac:dyDescent="0.15">
      <c r="A2596" s="1" t="s">
        <v>934</v>
      </c>
      <c r="B2596" s="1" t="s">
        <v>857</v>
      </c>
      <c r="D2596" s="1" t="s">
        <v>127</v>
      </c>
      <c r="E2596" s="1" t="s">
        <v>2647</v>
      </c>
      <c r="F2596" s="3">
        <v>0</v>
      </c>
      <c r="I2596" s="24" t="s">
        <v>2965</v>
      </c>
      <c r="J2596" s="24" t="s">
        <v>2919</v>
      </c>
      <c r="K2596" s="3">
        <v>28</v>
      </c>
      <c r="L2596" s="3" t="s">
        <v>7056</v>
      </c>
      <c r="M2596" s="3" t="str">
        <f>HYPERLINK("http://ictvonline.org/taxonomyHistory.asp?taxnode_id=20153267","ICTVonline=20153267")</f>
        <v>ICTVonline=20153267</v>
      </c>
    </row>
    <row r="2597" spans="1:13" x14ac:dyDescent="0.15">
      <c r="A2597" s="1" t="s">
        <v>934</v>
      </c>
      <c r="B2597" s="1" t="s">
        <v>857</v>
      </c>
      <c r="D2597" s="1" t="s">
        <v>2008</v>
      </c>
      <c r="E2597" s="1" t="s">
        <v>130</v>
      </c>
      <c r="F2597" s="3">
        <v>1</v>
      </c>
      <c r="I2597" s="24" t="s">
        <v>2965</v>
      </c>
      <c r="J2597" s="24" t="s">
        <v>2924</v>
      </c>
      <c r="K2597" s="3">
        <v>26</v>
      </c>
      <c r="L2597" s="3" t="s">
        <v>7055</v>
      </c>
      <c r="M2597" s="3" t="str">
        <f>HYPERLINK("http://ictvonline.org/taxonomyHistory.asp?taxnode_id=20153269","ICTVonline=20153269")</f>
        <v>ICTVonline=20153269</v>
      </c>
    </row>
    <row r="2598" spans="1:13" x14ac:dyDescent="0.15">
      <c r="A2598" s="1" t="s">
        <v>934</v>
      </c>
      <c r="B2598" s="1" t="s">
        <v>857</v>
      </c>
      <c r="D2598" s="1" t="s">
        <v>2008</v>
      </c>
      <c r="E2598" s="1" t="s">
        <v>131</v>
      </c>
      <c r="F2598" s="3">
        <v>0</v>
      </c>
      <c r="I2598" s="24" t="s">
        <v>2965</v>
      </c>
      <c r="J2598" s="24" t="s">
        <v>2924</v>
      </c>
      <c r="K2598" s="3">
        <v>26</v>
      </c>
      <c r="L2598" s="3" t="s">
        <v>7055</v>
      </c>
      <c r="M2598" s="3" t="str">
        <f>HYPERLINK("http://ictvonline.org/taxonomyHistory.asp?taxnode_id=20153270","ICTVonline=20153270")</f>
        <v>ICTVonline=20153270</v>
      </c>
    </row>
    <row r="2599" spans="1:13" x14ac:dyDescent="0.15">
      <c r="A2599" s="1" t="s">
        <v>934</v>
      </c>
      <c r="B2599" s="1" t="s">
        <v>857</v>
      </c>
      <c r="D2599" s="1" t="s">
        <v>2008</v>
      </c>
      <c r="E2599" s="1" t="s">
        <v>132</v>
      </c>
      <c r="F2599" s="3">
        <v>0</v>
      </c>
      <c r="I2599" s="24" t="s">
        <v>2965</v>
      </c>
      <c r="J2599" s="24" t="s">
        <v>2924</v>
      </c>
      <c r="K2599" s="3">
        <v>26</v>
      </c>
      <c r="L2599" s="3" t="s">
        <v>7055</v>
      </c>
      <c r="M2599" s="3" t="str">
        <f>HYPERLINK("http://ictvonline.org/taxonomyHistory.asp?taxnode_id=20153271","ICTVonline=20153271")</f>
        <v>ICTVonline=20153271</v>
      </c>
    </row>
    <row r="2600" spans="1:13" x14ac:dyDescent="0.15">
      <c r="A2600" s="1" t="s">
        <v>934</v>
      </c>
      <c r="B2600" s="1" t="s">
        <v>857</v>
      </c>
      <c r="D2600" s="1" t="s">
        <v>2008</v>
      </c>
      <c r="E2600" s="1" t="s">
        <v>133</v>
      </c>
      <c r="F2600" s="3">
        <v>0</v>
      </c>
      <c r="I2600" s="24" t="s">
        <v>2965</v>
      </c>
      <c r="J2600" s="24" t="s">
        <v>2924</v>
      </c>
      <c r="K2600" s="3">
        <v>26</v>
      </c>
      <c r="L2600" s="3" t="s">
        <v>7055</v>
      </c>
      <c r="M2600" s="3" t="str">
        <f>HYPERLINK("http://ictvonline.org/taxonomyHistory.asp?taxnode_id=20153272","ICTVonline=20153272")</f>
        <v>ICTVonline=20153272</v>
      </c>
    </row>
    <row r="2601" spans="1:13" x14ac:dyDescent="0.15">
      <c r="A2601" s="1" t="s">
        <v>934</v>
      </c>
      <c r="B2601" s="1" t="s">
        <v>857</v>
      </c>
      <c r="D2601" s="1" t="s">
        <v>2008</v>
      </c>
      <c r="E2601" s="1" t="s">
        <v>134</v>
      </c>
      <c r="F2601" s="3">
        <v>0</v>
      </c>
      <c r="I2601" s="24" t="s">
        <v>2965</v>
      </c>
      <c r="J2601" s="24" t="s">
        <v>2919</v>
      </c>
      <c r="K2601" s="3">
        <v>26</v>
      </c>
      <c r="L2601" s="3" t="s">
        <v>7055</v>
      </c>
      <c r="M2601" s="3" t="str">
        <f>HYPERLINK("http://ictvonline.org/taxonomyHistory.asp?taxnode_id=20153273","ICTVonline=20153273")</f>
        <v>ICTVonline=20153273</v>
      </c>
    </row>
    <row r="2602" spans="1:13" x14ac:dyDescent="0.15">
      <c r="A2602" s="1" t="s">
        <v>934</v>
      </c>
      <c r="B2602" s="1" t="s">
        <v>857</v>
      </c>
      <c r="D2602" s="1" t="s">
        <v>2008</v>
      </c>
      <c r="E2602" s="1" t="s">
        <v>2648</v>
      </c>
      <c r="F2602" s="3">
        <v>0</v>
      </c>
      <c r="I2602" s="24" t="s">
        <v>2965</v>
      </c>
      <c r="J2602" s="24" t="s">
        <v>2919</v>
      </c>
      <c r="K2602" s="3">
        <v>28</v>
      </c>
      <c r="L2602" s="3" t="s">
        <v>7056</v>
      </c>
      <c r="M2602" s="3" t="str">
        <f>HYPERLINK("http://ictvonline.org/taxonomyHistory.asp?taxnode_id=20153274","ICTVonline=20153274")</f>
        <v>ICTVonline=20153274</v>
      </c>
    </row>
    <row r="2603" spans="1:13" x14ac:dyDescent="0.15">
      <c r="A2603" s="1" t="s">
        <v>934</v>
      </c>
      <c r="B2603" s="1" t="s">
        <v>857</v>
      </c>
      <c r="D2603" s="1" t="s">
        <v>5803</v>
      </c>
      <c r="E2603" s="1" t="s">
        <v>5804</v>
      </c>
      <c r="F2603" s="3">
        <v>1</v>
      </c>
      <c r="G2603" s="24" t="s">
        <v>7649</v>
      </c>
      <c r="H2603" s="24" t="s">
        <v>5805</v>
      </c>
      <c r="I2603" s="24" t="s">
        <v>2965</v>
      </c>
      <c r="J2603" s="24" t="s">
        <v>2919</v>
      </c>
      <c r="K2603" s="3">
        <v>30</v>
      </c>
      <c r="L2603" s="3" t="s">
        <v>7057</v>
      </c>
      <c r="M2603" s="3" t="str">
        <f>HYPERLINK("http://ictvonline.org/taxonomyHistory.asp?taxnode_id=20153394","ICTVonline=20153394")</f>
        <v>ICTVonline=20153394</v>
      </c>
    </row>
    <row r="2604" spans="1:13" x14ac:dyDescent="0.15">
      <c r="A2604" s="1" t="s">
        <v>934</v>
      </c>
      <c r="B2604" s="1" t="s">
        <v>857</v>
      </c>
      <c r="D2604" s="1" t="s">
        <v>135</v>
      </c>
      <c r="E2604" s="1" t="s">
        <v>136</v>
      </c>
      <c r="F2604" s="3">
        <v>1</v>
      </c>
      <c r="I2604" s="24" t="s">
        <v>2965</v>
      </c>
      <c r="J2604" s="24" t="s">
        <v>2921</v>
      </c>
      <c r="K2604" s="3">
        <v>26</v>
      </c>
      <c r="L2604" s="3" t="s">
        <v>7055</v>
      </c>
      <c r="M2604" s="3" t="str">
        <f>HYPERLINK("http://ictvonline.org/taxonomyHistory.asp?taxnode_id=20153276","ICTVonline=20153276")</f>
        <v>ICTVonline=20153276</v>
      </c>
    </row>
    <row r="2605" spans="1:13" x14ac:dyDescent="0.15">
      <c r="A2605" s="1" t="s">
        <v>934</v>
      </c>
      <c r="B2605" s="1" t="s">
        <v>857</v>
      </c>
      <c r="D2605" s="1" t="s">
        <v>137</v>
      </c>
      <c r="E2605" s="1" t="s">
        <v>138</v>
      </c>
      <c r="F2605" s="3">
        <v>1</v>
      </c>
      <c r="I2605" s="24" t="s">
        <v>2965</v>
      </c>
      <c r="J2605" s="24" t="s">
        <v>2921</v>
      </c>
      <c r="K2605" s="3">
        <v>26</v>
      </c>
      <c r="L2605" s="3" t="s">
        <v>7055</v>
      </c>
      <c r="M2605" s="3" t="str">
        <f>HYPERLINK("http://ictvonline.org/taxonomyHistory.asp?taxnode_id=20153278","ICTVonline=20153278")</f>
        <v>ICTVonline=20153278</v>
      </c>
    </row>
    <row r="2606" spans="1:13" x14ac:dyDescent="0.15">
      <c r="A2606" s="1" t="s">
        <v>934</v>
      </c>
      <c r="B2606" s="1" t="s">
        <v>857</v>
      </c>
      <c r="D2606" s="1" t="s">
        <v>139</v>
      </c>
      <c r="E2606" s="1" t="s">
        <v>140</v>
      </c>
      <c r="F2606" s="3">
        <v>1</v>
      </c>
      <c r="I2606" s="24" t="s">
        <v>2965</v>
      </c>
      <c r="J2606" s="24" t="s">
        <v>2921</v>
      </c>
      <c r="K2606" s="3">
        <v>26</v>
      </c>
      <c r="L2606" s="3" t="s">
        <v>7055</v>
      </c>
      <c r="M2606" s="3" t="str">
        <f>HYPERLINK("http://ictvonline.org/taxonomyHistory.asp?taxnode_id=20153280","ICTVonline=20153280")</f>
        <v>ICTVonline=20153280</v>
      </c>
    </row>
    <row r="2607" spans="1:13" x14ac:dyDescent="0.15">
      <c r="A2607" s="1" t="s">
        <v>934</v>
      </c>
      <c r="B2607" s="1" t="s">
        <v>857</v>
      </c>
      <c r="D2607" s="1" t="s">
        <v>141</v>
      </c>
      <c r="E2607" s="1" t="s">
        <v>142</v>
      </c>
      <c r="F2607" s="3">
        <v>1</v>
      </c>
      <c r="I2607" s="24" t="s">
        <v>2965</v>
      </c>
      <c r="J2607" s="24" t="s">
        <v>2921</v>
      </c>
      <c r="K2607" s="3">
        <v>26</v>
      </c>
      <c r="L2607" s="3" t="s">
        <v>7055</v>
      </c>
      <c r="M2607" s="3" t="str">
        <f>HYPERLINK("http://ictvonline.org/taxonomyHistory.asp?taxnode_id=20153282","ICTVonline=20153282")</f>
        <v>ICTVonline=20153282</v>
      </c>
    </row>
    <row r="2608" spans="1:13" x14ac:dyDescent="0.15">
      <c r="A2608" s="1" t="s">
        <v>934</v>
      </c>
      <c r="B2608" s="1" t="s">
        <v>857</v>
      </c>
      <c r="D2608" s="1" t="s">
        <v>141</v>
      </c>
      <c r="E2608" s="1" t="s">
        <v>2649</v>
      </c>
      <c r="F2608" s="3">
        <v>0</v>
      </c>
      <c r="I2608" s="24" t="s">
        <v>2965</v>
      </c>
      <c r="J2608" s="24" t="s">
        <v>2919</v>
      </c>
      <c r="K2608" s="3">
        <v>28</v>
      </c>
      <c r="L2608" s="3" t="s">
        <v>7056</v>
      </c>
      <c r="M2608" s="3" t="str">
        <f>HYPERLINK("http://ictvonline.org/taxonomyHistory.asp?taxnode_id=20153283","ICTVonline=20153283")</f>
        <v>ICTVonline=20153283</v>
      </c>
    </row>
    <row r="2609" spans="1:13" x14ac:dyDescent="0.15">
      <c r="A2609" s="1" t="s">
        <v>934</v>
      </c>
      <c r="B2609" s="1" t="s">
        <v>857</v>
      </c>
      <c r="D2609" s="1" t="s">
        <v>2650</v>
      </c>
      <c r="E2609" s="1" t="s">
        <v>2651</v>
      </c>
      <c r="F2609" s="3">
        <v>1</v>
      </c>
      <c r="I2609" s="24" t="s">
        <v>2965</v>
      </c>
      <c r="J2609" s="24" t="s">
        <v>2919</v>
      </c>
      <c r="K2609" s="3">
        <v>28</v>
      </c>
      <c r="L2609" s="3" t="s">
        <v>7056</v>
      </c>
      <c r="M2609" s="3" t="str">
        <f>HYPERLINK("http://ictvonline.org/taxonomyHistory.asp?taxnode_id=20153285","ICTVonline=20153285")</f>
        <v>ICTVonline=20153285</v>
      </c>
    </row>
    <row r="2610" spans="1:13" x14ac:dyDescent="0.15">
      <c r="A2610" s="1" t="s">
        <v>934</v>
      </c>
      <c r="B2610" s="1" t="s">
        <v>857</v>
      </c>
      <c r="D2610" s="1" t="s">
        <v>2650</v>
      </c>
      <c r="E2610" s="1" t="s">
        <v>5806</v>
      </c>
      <c r="F2610" s="3">
        <v>0</v>
      </c>
      <c r="G2610" s="24" t="s">
        <v>7650</v>
      </c>
      <c r="H2610" s="24" t="s">
        <v>5807</v>
      </c>
      <c r="I2610" s="24" t="s">
        <v>2965</v>
      </c>
      <c r="J2610" s="24" t="s">
        <v>2919</v>
      </c>
      <c r="K2610" s="3">
        <v>30</v>
      </c>
      <c r="L2610" s="3" t="s">
        <v>7057</v>
      </c>
      <c r="M2610" s="3" t="str">
        <f>HYPERLINK("http://ictvonline.org/taxonomyHistory.asp?taxnode_id=20153286","ICTVonline=20153286")</f>
        <v>ICTVonline=20153286</v>
      </c>
    </row>
    <row r="2611" spans="1:13" x14ac:dyDescent="0.15">
      <c r="A2611" s="1" t="s">
        <v>934</v>
      </c>
      <c r="B2611" s="1" t="s">
        <v>857</v>
      </c>
      <c r="D2611" s="1" t="s">
        <v>2652</v>
      </c>
      <c r="E2611" s="1" t="s">
        <v>2653</v>
      </c>
      <c r="F2611" s="3">
        <v>1</v>
      </c>
      <c r="I2611" s="24" t="s">
        <v>2965</v>
      </c>
      <c r="J2611" s="24" t="s">
        <v>2919</v>
      </c>
      <c r="K2611" s="3">
        <v>28</v>
      </c>
      <c r="L2611" s="3" t="s">
        <v>7056</v>
      </c>
      <c r="M2611" s="3" t="str">
        <f>HYPERLINK("http://ictvonline.org/taxonomyHistory.asp?taxnode_id=20153288","ICTVonline=20153288")</f>
        <v>ICTVonline=20153288</v>
      </c>
    </row>
    <row r="2612" spans="1:13" x14ac:dyDescent="0.15">
      <c r="A2612" s="1" t="s">
        <v>934</v>
      </c>
      <c r="B2612" s="1" t="s">
        <v>857</v>
      </c>
      <c r="D2612" s="1" t="s">
        <v>2654</v>
      </c>
      <c r="E2612" s="1" t="s">
        <v>2655</v>
      </c>
      <c r="F2612" s="3">
        <v>1</v>
      </c>
      <c r="I2612" s="24" t="s">
        <v>2965</v>
      </c>
      <c r="J2612" s="24" t="s">
        <v>2919</v>
      </c>
      <c r="K2612" s="3">
        <v>28</v>
      </c>
      <c r="L2612" s="3" t="s">
        <v>7056</v>
      </c>
      <c r="M2612" s="3" t="str">
        <f>HYPERLINK("http://ictvonline.org/taxonomyHistory.asp?taxnode_id=20153290","ICTVonline=20153290")</f>
        <v>ICTVonline=20153290</v>
      </c>
    </row>
    <row r="2613" spans="1:13" x14ac:dyDescent="0.15">
      <c r="A2613" s="1" t="s">
        <v>934</v>
      </c>
      <c r="B2613" s="1" t="s">
        <v>857</v>
      </c>
      <c r="D2613" s="1" t="s">
        <v>2656</v>
      </c>
      <c r="E2613" s="1" t="s">
        <v>2657</v>
      </c>
      <c r="F2613" s="3">
        <v>1</v>
      </c>
      <c r="I2613" s="24" t="s">
        <v>2965</v>
      </c>
      <c r="J2613" s="24" t="s">
        <v>2919</v>
      </c>
      <c r="K2613" s="3">
        <v>28</v>
      </c>
      <c r="L2613" s="3" t="s">
        <v>7056</v>
      </c>
      <c r="M2613" s="3" t="str">
        <f>HYPERLINK("http://ictvonline.org/taxonomyHistory.asp?taxnode_id=20153292","ICTVonline=20153292")</f>
        <v>ICTVonline=20153292</v>
      </c>
    </row>
    <row r="2614" spans="1:13" x14ac:dyDescent="0.15">
      <c r="A2614" s="1" t="s">
        <v>934</v>
      </c>
      <c r="B2614" s="1" t="s">
        <v>857</v>
      </c>
      <c r="D2614" s="1" t="s">
        <v>7058</v>
      </c>
      <c r="E2614" s="1" t="s">
        <v>5808</v>
      </c>
      <c r="F2614" s="3">
        <v>1</v>
      </c>
      <c r="G2614" s="24" t="s">
        <v>7651</v>
      </c>
      <c r="H2614" s="24" t="s">
        <v>5809</v>
      </c>
      <c r="I2614" s="24" t="s">
        <v>2965</v>
      </c>
      <c r="J2614" s="24" t="s">
        <v>2919</v>
      </c>
      <c r="K2614" s="3">
        <v>30</v>
      </c>
      <c r="L2614" s="3" t="s">
        <v>7057</v>
      </c>
      <c r="M2614" s="3" t="str">
        <f>HYPERLINK("http://ictvonline.org/taxonomyHistory.asp?taxnode_id=20153398","ICTVonline=20153398")</f>
        <v>ICTVonline=20153398</v>
      </c>
    </row>
    <row r="2615" spans="1:13" x14ac:dyDescent="0.15">
      <c r="A2615" s="1" t="s">
        <v>934</v>
      </c>
      <c r="B2615" s="1" t="s">
        <v>857</v>
      </c>
      <c r="D2615" s="1" t="s">
        <v>2658</v>
      </c>
      <c r="E2615" s="1" t="s">
        <v>2659</v>
      </c>
      <c r="F2615" s="3">
        <v>1</v>
      </c>
      <c r="I2615" s="24" t="s">
        <v>2965</v>
      </c>
      <c r="J2615" s="24" t="s">
        <v>2919</v>
      </c>
      <c r="K2615" s="3">
        <v>28</v>
      </c>
      <c r="L2615" s="3" t="s">
        <v>7056</v>
      </c>
      <c r="M2615" s="3" t="str">
        <f>HYPERLINK("http://ictvonline.org/taxonomyHistory.asp?taxnode_id=20153294","ICTVonline=20153294")</f>
        <v>ICTVonline=20153294</v>
      </c>
    </row>
    <row r="2616" spans="1:13" x14ac:dyDescent="0.15">
      <c r="A2616" s="1" t="s">
        <v>934</v>
      </c>
      <c r="B2616" s="1" t="s">
        <v>857</v>
      </c>
      <c r="D2616" s="1" t="s">
        <v>5810</v>
      </c>
      <c r="E2616" s="1" t="s">
        <v>5811</v>
      </c>
      <c r="F2616" s="3">
        <v>1</v>
      </c>
      <c r="G2616" s="24" t="s">
        <v>7652</v>
      </c>
      <c r="H2616" s="24" t="s">
        <v>5812</v>
      </c>
      <c r="I2616" s="24" t="s">
        <v>2965</v>
      </c>
      <c r="J2616" s="24" t="s">
        <v>2919</v>
      </c>
      <c r="K2616" s="3">
        <v>30</v>
      </c>
      <c r="L2616" s="3" t="s">
        <v>7057</v>
      </c>
      <c r="M2616" s="3" t="str">
        <f>HYPERLINK("http://ictvonline.org/taxonomyHistory.asp?taxnode_id=20153392","ICTVonline=20153392")</f>
        <v>ICTVonline=20153392</v>
      </c>
    </row>
    <row r="2617" spans="1:13" x14ac:dyDescent="0.15">
      <c r="A2617" s="1" t="s">
        <v>934</v>
      </c>
      <c r="B2617" s="1" t="s">
        <v>857</v>
      </c>
      <c r="D2617" s="1" t="s">
        <v>2660</v>
      </c>
      <c r="E2617" s="1" t="s">
        <v>2661</v>
      </c>
      <c r="F2617" s="3">
        <v>1</v>
      </c>
      <c r="I2617" s="24" t="s">
        <v>2965</v>
      </c>
      <c r="J2617" s="24" t="s">
        <v>2919</v>
      </c>
      <c r="K2617" s="3">
        <v>28</v>
      </c>
      <c r="L2617" s="3" t="s">
        <v>7056</v>
      </c>
      <c r="M2617" s="3" t="str">
        <f>HYPERLINK("http://ictvonline.org/taxonomyHistory.asp?taxnode_id=20153296","ICTVonline=20153296")</f>
        <v>ICTVonline=20153296</v>
      </c>
    </row>
    <row r="2618" spans="1:13" x14ac:dyDescent="0.15">
      <c r="A2618" s="1" t="s">
        <v>934</v>
      </c>
      <c r="B2618" s="1" t="s">
        <v>857</v>
      </c>
      <c r="D2618" s="1" t="s">
        <v>5813</v>
      </c>
      <c r="E2618" s="1" t="s">
        <v>5814</v>
      </c>
      <c r="F2618" s="3">
        <v>1</v>
      </c>
      <c r="G2618" s="24" t="s">
        <v>7653</v>
      </c>
      <c r="H2618" s="24" t="s">
        <v>5815</v>
      </c>
      <c r="I2618" s="24" t="s">
        <v>2965</v>
      </c>
      <c r="J2618" s="24" t="s">
        <v>2919</v>
      </c>
      <c r="K2618" s="3">
        <v>30</v>
      </c>
      <c r="L2618" s="3" t="s">
        <v>7057</v>
      </c>
      <c r="M2618" s="3" t="str">
        <f>HYPERLINK("http://ictvonline.org/taxonomyHistory.asp?taxnode_id=20153396","ICTVonline=20153396")</f>
        <v>ICTVonline=20153396</v>
      </c>
    </row>
    <row r="2619" spans="1:13" x14ac:dyDescent="0.15">
      <c r="A2619" s="1" t="s">
        <v>934</v>
      </c>
      <c r="B2619" s="1" t="s">
        <v>857</v>
      </c>
      <c r="D2619" s="1" t="s">
        <v>2662</v>
      </c>
      <c r="E2619" s="1" t="s">
        <v>2663</v>
      </c>
      <c r="F2619" s="3">
        <v>1</v>
      </c>
      <c r="I2619" s="24" t="s">
        <v>2965</v>
      </c>
      <c r="J2619" s="24" t="s">
        <v>2919</v>
      </c>
      <c r="K2619" s="3">
        <v>28</v>
      </c>
      <c r="L2619" s="3" t="s">
        <v>7056</v>
      </c>
      <c r="M2619" s="3" t="str">
        <f>HYPERLINK("http://ictvonline.org/taxonomyHistory.asp?taxnode_id=20153298","ICTVonline=20153298")</f>
        <v>ICTVonline=20153298</v>
      </c>
    </row>
    <row r="2620" spans="1:13" x14ac:dyDescent="0.15">
      <c r="A2620" s="1" t="s">
        <v>934</v>
      </c>
      <c r="B2620" s="1" t="s">
        <v>857</v>
      </c>
      <c r="D2620" s="1" t="s">
        <v>2664</v>
      </c>
      <c r="E2620" s="1" t="s">
        <v>2665</v>
      </c>
      <c r="F2620" s="3">
        <v>1</v>
      </c>
      <c r="I2620" s="24" t="s">
        <v>2965</v>
      </c>
      <c r="J2620" s="24" t="s">
        <v>2919</v>
      </c>
      <c r="K2620" s="3">
        <v>28</v>
      </c>
      <c r="L2620" s="3" t="s">
        <v>7056</v>
      </c>
      <c r="M2620" s="3" t="str">
        <f>HYPERLINK("http://ictvonline.org/taxonomyHistory.asp?taxnode_id=20153300","ICTVonline=20153300")</f>
        <v>ICTVonline=20153300</v>
      </c>
    </row>
    <row r="2621" spans="1:13" x14ac:dyDescent="0.15">
      <c r="A2621" s="1" t="s">
        <v>934</v>
      </c>
      <c r="B2621" s="1" t="s">
        <v>857</v>
      </c>
      <c r="D2621" s="1" t="s">
        <v>5816</v>
      </c>
      <c r="E2621" s="1" t="s">
        <v>5817</v>
      </c>
      <c r="F2621" s="3">
        <v>1</v>
      </c>
      <c r="G2621" s="24" t="s">
        <v>7654</v>
      </c>
      <c r="H2621" s="24" t="s">
        <v>5818</v>
      </c>
      <c r="I2621" s="24" t="s">
        <v>2965</v>
      </c>
      <c r="J2621" s="24" t="s">
        <v>2919</v>
      </c>
      <c r="K2621" s="3">
        <v>30</v>
      </c>
      <c r="L2621" s="3" t="s">
        <v>7057</v>
      </c>
      <c r="M2621" s="3" t="str">
        <f>HYPERLINK("http://ictvonline.org/taxonomyHistory.asp?taxnode_id=20153388","ICTVonline=20153388")</f>
        <v>ICTVonline=20153388</v>
      </c>
    </row>
    <row r="2622" spans="1:13" x14ac:dyDescent="0.15">
      <c r="A2622" s="1" t="s">
        <v>934</v>
      </c>
      <c r="B2622" s="1" t="s">
        <v>857</v>
      </c>
      <c r="D2622" s="1" t="s">
        <v>143</v>
      </c>
      <c r="E2622" s="1" t="s">
        <v>144</v>
      </c>
      <c r="F2622" s="3">
        <v>1</v>
      </c>
      <c r="I2622" s="24" t="s">
        <v>2965</v>
      </c>
      <c r="J2622" s="24" t="s">
        <v>2921</v>
      </c>
      <c r="K2622" s="3">
        <v>26</v>
      </c>
      <c r="L2622" s="3" t="s">
        <v>7055</v>
      </c>
      <c r="M2622" s="3" t="str">
        <f>HYPERLINK("http://ictvonline.org/taxonomyHistory.asp?taxnode_id=20153302","ICTVonline=20153302")</f>
        <v>ICTVonline=20153302</v>
      </c>
    </row>
    <row r="2623" spans="1:13" x14ac:dyDescent="0.15">
      <c r="A2623" s="1" t="s">
        <v>934</v>
      </c>
      <c r="B2623" s="1" t="s">
        <v>857</v>
      </c>
      <c r="D2623" s="1" t="s">
        <v>5819</v>
      </c>
      <c r="E2623" s="1" t="s">
        <v>5820</v>
      </c>
      <c r="F2623" s="3">
        <v>1</v>
      </c>
      <c r="G2623" s="24" t="s">
        <v>7655</v>
      </c>
      <c r="H2623" s="24" t="s">
        <v>5821</v>
      </c>
      <c r="I2623" s="24" t="s">
        <v>2965</v>
      </c>
      <c r="J2623" s="24" t="s">
        <v>2919</v>
      </c>
      <c r="K2623" s="3">
        <v>30</v>
      </c>
      <c r="L2623" s="3" t="s">
        <v>7057</v>
      </c>
      <c r="M2623" s="3" t="str">
        <f>HYPERLINK("http://ictvonline.org/taxonomyHistory.asp?taxnode_id=20153390","ICTVonline=20153390")</f>
        <v>ICTVonline=20153390</v>
      </c>
    </row>
    <row r="2624" spans="1:13" x14ac:dyDescent="0.15">
      <c r="A2624" s="1" t="s">
        <v>934</v>
      </c>
      <c r="B2624" s="1" t="s">
        <v>857</v>
      </c>
      <c r="D2624" s="1" t="s">
        <v>2666</v>
      </c>
      <c r="E2624" s="1" t="s">
        <v>2667</v>
      </c>
      <c r="F2624" s="3">
        <v>1</v>
      </c>
      <c r="I2624" s="24" t="s">
        <v>2965</v>
      </c>
      <c r="J2624" s="24" t="s">
        <v>2919</v>
      </c>
      <c r="K2624" s="3">
        <v>28</v>
      </c>
      <c r="L2624" s="3" t="s">
        <v>7056</v>
      </c>
      <c r="M2624" s="3" t="str">
        <f>HYPERLINK("http://ictvonline.org/taxonomyHistory.asp?taxnode_id=20153304","ICTVonline=20153304")</f>
        <v>ICTVonline=20153304</v>
      </c>
    </row>
    <row r="2625" spans="1:13" x14ac:dyDescent="0.15">
      <c r="A2625" s="1" t="s">
        <v>934</v>
      </c>
      <c r="B2625" s="1" t="s">
        <v>857</v>
      </c>
      <c r="D2625" s="1" t="s">
        <v>145</v>
      </c>
      <c r="E2625" s="1" t="s">
        <v>146</v>
      </c>
      <c r="F2625" s="3">
        <v>1</v>
      </c>
      <c r="I2625" s="24" t="s">
        <v>2965</v>
      </c>
      <c r="J2625" s="24" t="s">
        <v>2921</v>
      </c>
      <c r="K2625" s="3">
        <v>26</v>
      </c>
      <c r="L2625" s="3" t="s">
        <v>7055</v>
      </c>
      <c r="M2625" s="3" t="str">
        <f>HYPERLINK("http://ictvonline.org/taxonomyHistory.asp?taxnode_id=20153306","ICTVonline=20153306")</f>
        <v>ICTVonline=20153306</v>
      </c>
    </row>
    <row r="2626" spans="1:13" x14ac:dyDescent="0.15">
      <c r="A2626" s="1" t="s">
        <v>934</v>
      </c>
      <c r="B2626" s="1" t="s">
        <v>857</v>
      </c>
      <c r="D2626" s="1" t="s">
        <v>868</v>
      </c>
      <c r="E2626" s="1" t="s">
        <v>147</v>
      </c>
      <c r="F2626" s="3">
        <v>1</v>
      </c>
      <c r="I2626" s="24" t="s">
        <v>2965</v>
      </c>
      <c r="J2626" s="24" t="s">
        <v>2924</v>
      </c>
      <c r="K2626" s="3">
        <v>26</v>
      </c>
      <c r="L2626" s="3" t="s">
        <v>7055</v>
      </c>
      <c r="M2626" s="3" t="str">
        <f>HYPERLINK("http://ictvonline.org/taxonomyHistory.asp?taxnode_id=20153308","ICTVonline=20153308")</f>
        <v>ICTVonline=20153308</v>
      </c>
    </row>
    <row r="2627" spans="1:13" x14ac:dyDescent="0.15">
      <c r="A2627" s="1" t="s">
        <v>934</v>
      </c>
      <c r="B2627" s="1" t="s">
        <v>857</v>
      </c>
      <c r="D2627" s="1" t="s">
        <v>958</v>
      </c>
      <c r="E2627" s="1" t="s">
        <v>148</v>
      </c>
      <c r="F2627" s="3">
        <v>1</v>
      </c>
      <c r="I2627" s="24" t="s">
        <v>2965</v>
      </c>
      <c r="J2627" s="24" t="s">
        <v>2924</v>
      </c>
      <c r="K2627" s="3">
        <v>26</v>
      </c>
      <c r="L2627" s="3" t="s">
        <v>7055</v>
      </c>
      <c r="M2627" s="3" t="str">
        <f>HYPERLINK("http://ictvonline.org/taxonomyHistory.asp?taxnode_id=20153310","ICTVonline=20153310")</f>
        <v>ICTVonline=20153310</v>
      </c>
    </row>
    <row r="2628" spans="1:13" x14ac:dyDescent="0.15">
      <c r="A2628" s="1" t="s">
        <v>934</v>
      </c>
      <c r="B2628" s="1" t="s">
        <v>857</v>
      </c>
      <c r="D2628" s="1" t="s">
        <v>959</v>
      </c>
      <c r="E2628" s="1" t="s">
        <v>149</v>
      </c>
      <c r="F2628" s="3">
        <v>1</v>
      </c>
      <c r="I2628" s="24" t="s">
        <v>2965</v>
      </c>
      <c r="J2628" s="24" t="s">
        <v>2924</v>
      </c>
      <c r="K2628" s="3">
        <v>26</v>
      </c>
      <c r="L2628" s="3" t="s">
        <v>7055</v>
      </c>
      <c r="M2628" s="3" t="str">
        <f>HYPERLINK("http://ictvonline.org/taxonomyHistory.asp?taxnode_id=20153312","ICTVonline=20153312")</f>
        <v>ICTVonline=20153312</v>
      </c>
    </row>
    <row r="2629" spans="1:13" x14ac:dyDescent="0.15">
      <c r="A2629" s="1" t="s">
        <v>934</v>
      </c>
      <c r="B2629" s="1" t="s">
        <v>857</v>
      </c>
      <c r="D2629" s="1" t="s">
        <v>959</v>
      </c>
      <c r="E2629" s="1" t="s">
        <v>151</v>
      </c>
      <c r="F2629" s="3">
        <v>0</v>
      </c>
      <c r="I2629" s="24" t="s">
        <v>2965</v>
      </c>
      <c r="J2629" s="24" t="s">
        <v>2924</v>
      </c>
      <c r="K2629" s="3">
        <v>26</v>
      </c>
      <c r="L2629" s="3" t="s">
        <v>7055</v>
      </c>
      <c r="M2629" s="3" t="str">
        <f>HYPERLINK("http://ictvonline.org/taxonomyHistory.asp?taxnode_id=20153313","ICTVonline=20153313")</f>
        <v>ICTVonline=20153313</v>
      </c>
    </row>
    <row r="2630" spans="1:13" x14ac:dyDescent="0.15">
      <c r="A2630" s="1" t="s">
        <v>934</v>
      </c>
      <c r="B2630" s="1" t="s">
        <v>857</v>
      </c>
      <c r="D2630" s="1" t="s">
        <v>959</v>
      </c>
      <c r="E2630" s="1" t="s">
        <v>152</v>
      </c>
      <c r="F2630" s="3">
        <v>0</v>
      </c>
      <c r="I2630" s="24" t="s">
        <v>2965</v>
      </c>
      <c r="J2630" s="24" t="s">
        <v>2924</v>
      </c>
      <c r="K2630" s="3">
        <v>26</v>
      </c>
      <c r="L2630" s="3" t="s">
        <v>7055</v>
      </c>
      <c r="M2630" s="3" t="str">
        <f>HYPERLINK("http://ictvonline.org/taxonomyHistory.asp?taxnode_id=20153314","ICTVonline=20153314")</f>
        <v>ICTVonline=20153314</v>
      </c>
    </row>
    <row r="2631" spans="1:13" x14ac:dyDescent="0.15">
      <c r="A2631" s="1" t="s">
        <v>934</v>
      </c>
      <c r="B2631" s="1" t="s">
        <v>857</v>
      </c>
      <c r="D2631" s="1" t="s">
        <v>959</v>
      </c>
      <c r="E2631" s="1" t="s">
        <v>153</v>
      </c>
      <c r="F2631" s="3">
        <v>0</v>
      </c>
      <c r="I2631" s="24" t="s">
        <v>2965</v>
      </c>
      <c r="J2631" s="24" t="s">
        <v>2924</v>
      </c>
      <c r="K2631" s="3">
        <v>26</v>
      </c>
      <c r="L2631" s="3" t="s">
        <v>7055</v>
      </c>
      <c r="M2631" s="3" t="str">
        <f>HYPERLINK("http://ictvonline.org/taxonomyHistory.asp?taxnode_id=20153315","ICTVonline=20153315")</f>
        <v>ICTVonline=20153315</v>
      </c>
    </row>
    <row r="2632" spans="1:13" x14ac:dyDescent="0.15">
      <c r="A2632" s="1" t="s">
        <v>934</v>
      </c>
      <c r="B2632" s="1" t="s">
        <v>857</v>
      </c>
      <c r="D2632" s="1" t="s">
        <v>959</v>
      </c>
      <c r="E2632" s="1" t="s">
        <v>154</v>
      </c>
      <c r="F2632" s="3">
        <v>0</v>
      </c>
      <c r="I2632" s="24" t="s">
        <v>2965</v>
      </c>
      <c r="J2632" s="24" t="s">
        <v>2924</v>
      </c>
      <c r="K2632" s="3">
        <v>26</v>
      </c>
      <c r="L2632" s="3" t="s">
        <v>7055</v>
      </c>
      <c r="M2632" s="3" t="str">
        <f>HYPERLINK("http://ictvonline.org/taxonomyHistory.asp?taxnode_id=20153316","ICTVonline=20153316")</f>
        <v>ICTVonline=20153316</v>
      </c>
    </row>
    <row r="2633" spans="1:13" x14ac:dyDescent="0.15">
      <c r="A2633" s="1" t="s">
        <v>934</v>
      </c>
      <c r="B2633" s="1" t="s">
        <v>857</v>
      </c>
      <c r="D2633" s="1" t="s">
        <v>959</v>
      </c>
      <c r="E2633" s="1" t="s">
        <v>155</v>
      </c>
      <c r="F2633" s="3">
        <v>0</v>
      </c>
      <c r="I2633" s="24" t="s">
        <v>2965</v>
      </c>
      <c r="J2633" s="24" t="s">
        <v>2919</v>
      </c>
      <c r="K2633" s="3">
        <v>26</v>
      </c>
      <c r="L2633" s="3" t="s">
        <v>7055</v>
      </c>
      <c r="M2633" s="3" t="str">
        <f>HYPERLINK("http://ictvonline.org/taxonomyHistory.asp?taxnode_id=20153317","ICTVonline=20153317")</f>
        <v>ICTVonline=20153317</v>
      </c>
    </row>
    <row r="2634" spans="1:13" x14ac:dyDescent="0.15">
      <c r="A2634" s="1" t="s">
        <v>934</v>
      </c>
      <c r="B2634" s="1" t="s">
        <v>857</v>
      </c>
      <c r="D2634" s="1" t="s">
        <v>959</v>
      </c>
      <c r="E2634" s="1" t="s">
        <v>156</v>
      </c>
      <c r="F2634" s="3">
        <v>0</v>
      </c>
      <c r="I2634" s="24" t="s">
        <v>2965</v>
      </c>
      <c r="J2634" s="24" t="s">
        <v>2919</v>
      </c>
      <c r="K2634" s="3">
        <v>26</v>
      </c>
      <c r="L2634" s="3" t="s">
        <v>7055</v>
      </c>
      <c r="M2634" s="3" t="str">
        <f>HYPERLINK("http://ictvonline.org/taxonomyHistory.asp?taxnode_id=20153318","ICTVonline=20153318")</f>
        <v>ICTVonline=20153318</v>
      </c>
    </row>
    <row r="2635" spans="1:13" x14ac:dyDescent="0.15">
      <c r="A2635" s="1" t="s">
        <v>934</v>
      </c>
      <c r="B2635" s="1" t="s">
        <v>857</v>
      </c>
      <c r="D2635" s="1" t="s">
        <v>959</v>
      </c>
      <c r="E2635" s="1" t="s">
        <v>157</v>
      </c>
      <c r="F2635" s="3">
        <v>0</v>
      </c>
      <c r="I2635" s="24" t="s">
        <v>2965</v>
      </c>
      <c r="J2635" s="24" t="s">
        <v>2919</v>
      </c>
      <c r="K2635" s="3">
        <v>26</v>
      </c>
      <c r="L2635" s="3" t="s">
        <v>7055</v>
      </c>
      <c r="M2635" s="3" t="str">
        <f>HYPERLINK("http://ictvonline.org/taxonomyHistory.asp?taxnode_id=20153319","ICTVonline=20153319")</f>
        <v>ICTVonline=20153319</v>
      </c>
    </row>
    <row r="2636" spans="1:13" x14ac:dyDescent="0.15">
      <c r="A2636" s="1" t="s">
        <v>934</v>
      </c>
      <c r="B2636" s="1" t="s">
        <v>857</v>
      </c>
      <c r="D2636" s="1" t="s">
        <v>959</v>
      </c>
      <c r="E2636" s="1" t="s">
        <v>158</v>
      </c>
      <c r="F2636" s="3">
        <v>0</v>
      </c>
      <c r="I2636" s="24" t="s">
        <v>2965</v>
      </c>
      <c r="J2636" s="24" t="s">
        <v>2919</v>
      </c>
      <c r="K2636" s="3">
        <v>26</v>
      </c>
      <c r="L2636" s="3" t="s">
        <v>7055</v>
      </c>
      <c r="M2636" s="3" t="str">
        <f>HYPERLINK("http://ictvonline.org/taxonomyHistory.asp?taxnode_id=20153320","ICTVonline=20153320")</f>
        <v>ICTVonline=20153320</v>
      </c>
    </row>
    <row r="2637" spans="1:13" x14ac:dyDescent="0.15">
      <c r="A2637" s="1" t="s">
        <v>934</v>
      </c>
      <c r="B2637" s="1" t="s">
        <v>857</v>
      </c>
      <c r="D2637" s="1" t="s">
        <v>959</v>
      </c>
      <c r="E2637" s="1" t="s">
        <v>150</v>
      </c>
      <c r="F2637" s="3">
        <v>0</v>
      </c>
      <c r="I2637" s="24" t="s">
        <v>2965</v>
      </c>
      <c r="J2637" s="24" t="s">
        <v>2919</v>
      </c>
      <c r="K2637" s="3">
        <v>26</v>
      </c>
      <c r="L2637" s="3" t="s">
        <v>7055</v>
      </c>
      <c r="M2637" s="3" t="str">
        <f>HYPERLINK("http://ictvonline.org/taxonomyHistory.asp?taxnode_id=20153321","ICTVonline=20153321")</f>
        <v>ICTVonline=20153321</v>
      </c>
    </row>
    <row r="2638" spans="1:13" x14ac:dyDescent="0.15">
      <c r="A2638" s="1" t="s">
        <v>934</v>
      </c>
      <c r="B2638" s="1" t="s">
        <v>857</v>
      </c>
      <c r="D2638" s="1" t="s">
        <v>959</v>
      </c>
      <c r="E2638" s="1" t="s">
        <v>2668</v>
      </c>
      <c r="F2638" s="3">
        <v>0</v>
      </c>
      <c r="I2638" s="24" t="s">
        <v>2965</v>
      </c>
      <c r="J2638" s="24" t="s">
        <v>2919</v>
      </c>
      <c r="K2638" s="3">
        <v>28</v>
      </c>
      <c r="L2638" s="3" t="s">
        <v>7056</v>
      </c>
      <c r="M2638" s="3" t="str">
        <f>HYPERLINK("http://ictvonline.org/taxonomyHistory.asp?taxnode_id=20153322","ICTVonline=20153322")</f>
        <v>ICTVonline=20153322</v>
      </c>
    </row>
    <row r="2639" spans="1:13" x14ac:dyDescent="0.15">
      <c r="A2639" s="1" t="s">
        <v>934</v>
      </c>
      <c r="B2639" s="1" t="s">
        <v>857</v>
      </c>
      <c r="D2639" s="1" t="s">
        <v>959</v>
      </c>
      <c r="E2639" s="1" t="s">
        <v>2669</v>
      </c>
      <c r="F2639" s="3">
        <v>0</v>
      </c>
      <c r="I2639" s="24" t="s">
        <v>2965</v>
      </c>
      <c r="J2639" s="24" t="s">
        <v>2919</v>
      </c>
      <c r="K2639" s="3">
        <v>28</v>
      </c>
      <c r="L2639" s="3" t="s">
        <v>7056</v>
      </c>
      <c r="M2639" s="3" t="str">
        <f>HYPERLINK("http://ictvonline.org/taxonomyHistory.asp?taxnode_id=20153323","ICTVonline=20153323")</f>
        <v>ICTVonline=20153323</v>
      </c>
    </row>
    <row r="2640" spans="1:13" x14ac:dyDescent="0.15">
      <c r="A2640" s="1" t="s">
        <v>934</v>
      </c>
      <c r="B2640" s="1" t="s">
        <v>857</v>
      </c>
      <c r="D2640" s="1" t="s">
        <v>959</v>
      </c>
      <c r="E2640" s="1" t="s">
        <v>2670</v>
      </c>
      <c r="F2640" s="3">
        <v>0</v>
      </c>
      <c r="I2640" s="24" t="s">
        <v>2965</v>
      </c>
      <c r="J2640" s="24" t="s">
        <v>2919</v>
      </c>
      <c r="K2640" s="3">
        <v>28</v>
      </c>
      <c r="L2640" s="3" t="s">
        <v>7056</v>
      </c>
      <c r="M2640" s="3" t="str">
        <f>HYPERLINK("http://ictvonline.org/taxonomyHistory.asp?taxnode_id=20153324","ICTVonline=20153324")</f>
        <v>ICTVonline=20153324</v>
      </c>
    </row>
    <row r="2641" spans="1:13" x14ac:dyDescent="0.15">
      <c r="A2641" s="1" t="s">
        <v>934</v>
      </c>
      <c r="B2641" s="1" t="s">
        <v>857</v>
      </c>
      <c r="D2641" s="1" t="s">
        <v>959</v>
      </c>
      <c r="E2641" s="1" t="s">
        <v>2671</v>
      </c>
      <c r="F2641" s="3">
        <v>0</v>
      </c>
      <c r="I2641" s="24" t="s">
        <v>2965</v>
      </c>
      <c r="J2641" s="24" t="s">
        <v>2919</v>
      </c>
      <c r="K2641" s="3">
        <v>28</v>
      </c>
      <c r="L2641" s="3" t="s">
        <v>7056</v>
      </c>
      <c r="M2641" s="3" t="str">
        <f>HYPERLINK("http://ictvonline.org/taxonomyHistory.asp?taxnode_id=20153325","ICTVonline=20153325")</f>
        <v>ICTVonline=20153325</v>
      </c>
    </row>
    <row r="2642" spans="1:13" x14ac:dyDescent="0.15">
      <c r="A2642" s="1" t="s">
        <v>934</v>
      </c>
      <c r="B2642" s="1" t="s">
        <v>857</v>
      </c>
      <c r="D2642" s="1" t="s">
        <v>959</v>
      </c>
      <c r="E2642" s="1" t="s">
        <v>2672</v>
      </c>
      <c r="F2642" s="3">
        <v>0</v>
      </c>
      <c r="I2642" s="24" t="s">
        <v>2965</v>
      </c>
      <c r="J2642" s="24" t="s">
        <v>2919</v>
      </c>
      <c r="K2642" s="3">
        <v>28</v>
      </c>
      <c r="L2642" s="3" t="s">
        <v>7056</v>
      </c>
      <c r="M2642" s="3" t="str">
        <f>HYPERLINK("http://ictvonline.org/taxonomyHistory.asp?taxnode_id=20153326","ICTVonline=20153326")</f>
        <v>ICTVonline=20153326</v>
      </c>
    </row>
    <row r="2643" spans="1:13" x14ac:dyDescent="0.15">
      <c r="A2643" s="1" t="s">
        <v>934</v>
      </c>
      <c r="B2643" s="1" t="s">
        <v>857</v>
      </c>
      <c r="D2643" s="1" t="s">
        <v>959</v>
      </c>
      <c r="E2643" s="1" t="s">
        <v>2673</v>
      </c>
      <c r="F2643" s="3">
        <v>0</v>
      </c>
      <c r="I2643" s="24" t="s">
        <v>2965</v>
      </c>
      <c r="J2643" s="24" t="s">
        <v>2919</v>
      </c>
      <c r="K2643" s="3">
        <v>28</v>
      </c>
      <c r="L2643" s="3" t="s">
        <v>7056</v>
      </c>
      <c r="M2643" s="3" t="str">
        <f>HYPERLINK("http://ictvonline.org/taxonomyHistory.asp?taxnode_id=20153327","ICTVonline=20153327")</f>
        <v>ICTVonline=20153327</v>
      </c>
    </row>
    <row r="2644" spans="1:13" x14ac:dyDescent="0.15">
      <c r="A2644" s="1" t="s">
        <v>934</v>
      </c>
      <c r="B2644" s="1" t="s">
        <v>857</v>
      </c>
      <c r="D2644" s="1" t="s">
        <v>959</v>
      </c>
      <c r="E2644" s="1" t="s">
        <v>2674</v>
      </c>
      <c r="F2644" s="3">
        <v>0</v>
      </c>
      <c r="I2644" s="24" t="s">
        <v>2965</v>
      </c>
      <c r="J2644" s="24" t="s">
        <v>2919</v>
      </c>
      <c r="K2644" s="3">
        <v>28</v>
      </c>
      <c r="L2644" s="3" t="s">
        <v>7056</v>
      </c>
      <c r="M2644" s="3" t="str">
        <f>HYPERLINK("http://ictvonline.org/taxonomyHistory.asp?taxnode_id=20153328","ICTVonline=20153328")</f>
        <v>ICTVonline=20153328</v>
      </c>
    </row>
    <row r="2645" spans="1:13" x14ac:dyDescent="0.15">
      <c r="A2645" s="1" t="s">
        <v>934</v>
      </c>
      <c r="B2645" s="1" t="s">
        <v>857</v>
      </c>
      <c r="D2645" s="1" t="s">
        <v>959</v>
      </c>
      <c r="E2645" s="1" t="s">
        <v>2675</v>
      </c>
      <c r="F2645" s="3">
        <v>0</v>
      </c>
      <c r="I2645" s="24" t="s">
        <v>2965</v>
      </c>
      <c r="J2645" s="24" t="s">
        <v>2919</v>
      </c>
      <c r="K2645" s="3">
        <v>28</v>
      </c>
      <c r="L2645" s="3" t="s">
        <v>7056</v>
      </c>
      <c r="M2645" s="3" t="str">
        <f>HYPERLINK("http://ictvonline.org/taxonomyHistory.asp?taxnode_id=20153329","ICTVonline=20153329")</f>
        <v>ICTVonline=20153329</v>
      </c>
    </row>
    <row r="2646" spans="1:13" x14ac:dyDescent="0.15">
      <c r="A2646" s="1" t="s">
        <v>934</v>
      </c>
      <c r="B2646" s="1" t="s">
        <v>857</v>
      </c>
      <c r="D2646" s="1" t="s">
        <v>959</v>
      </c>
      <c r="E2646" s="1" t="s">
        <v>2676</v>
      </c>
      <c r="F2646" s="3">
        <v>0</v>
      </c>
      <c r="I2646" s="24" t="s">
        <v>2965</v>
      </c>
      <c r="J2646" s="24" t="s">
        <v>2919</v>
      </c>
      <c r="K2646" s="3">
        <v>28</v>
      </c>
      <c r="L2646" s="3" t="s">
        <v>7056</v>
      </c>
      <c r="M2646" s="3" t="str">
        <f>HYPERLINK("http://ictvonline.org/taxonomyHistory.asp?taxnode_id=20153330","ICTVonline=20153330")</f>
        <v>ICTVonline=20153330</v>
      </c>
    </row>
    <row r="2647" spans="1:13" x14ac:dyDescent="0.15">
      <c r="A2647" s="1" t="s">
        <v>934</v>
      </c>
      <c r="B2647" s="1" t="s">
        <v>857</v>
      </c>
      <c r="D2647" s="1" t="s">
        <v>959</v>
      </c>
      <c r="E2647" s="1" t="s">
        <v>2677</v>
      </c>
      <c r="F2647" s="3">
        <v>0</v>
      </c>
      <c r="I2647" s="24" t="s">
        <v>2965</v>
      </c>
      <c r="J2647" s="24" t="s">
        <v>2919</v>
      </c>
      <c r="K2647" s="3">
        <v>28</v>
      </c>
      <c r="L2647" s="3" t="s">
        <v>7056</v>
      </c>
      <c r="M2647" s="3" t="str">
        <f>HYPERLINK("http://ictvonline.org/taxonomyHistory.asp?taxnode_id=20153331","ICTVonline=20153331")</f>
        <v>ICTVonline=20153331</v>
      </c>
    </row>
    <row r="2648" spans="1:13" x14ac:dyDescent="0.15">
      <c r="A2648" s="1" t="s">
        <v>934</v>
      </c>
      <c r="B2648" s="1" t="s">
        <v>857</v>
      </c>
      <c r="D2648" s="1" t="s">
        <v>959</v>
      </c>
      <c r="E2648" s="1" t="s">
        <v>5822</v>
      </c>
      <c r="F2648" s="3">
        <v>0</v>
      </c>
      <c r="G2648" s="24" t="s">
        <v>7656</v>
      </c>
      <c r="H2648" s="24" t="s">
        <v>5823</v>
      </c>
      <c r="I2648" s="24" t="s">
        <v>2965</v>
      </c>
      <c r="J2648" s="24" t="s">
        <v>2919</v>
      </c>
      <c r="K2648" s="3">
        <v>30</v>
      </c>
      <c r="L2648" s="3" t="s">
        <v>7057</v>
      </c>
      <c r="M2648" s="3" t="str">
        <f>HYPERLINK("http://ictvonline.org/taxonomyHistory.asp?taxnode_id=20153332","ICTVonline=20153332")</f>
        <v>ICTVonline=20153332</v>
      </c>
    </row>
    <row r="2649" spans="1:13" x14ac:dyDescent="0.15">
      <c r="A2649" s="1" t="s">
        <v>934</v>
      </c>
      <c r="B2649" s="1" t="s">
        <v>857</v>
      </c>
      <c r="D2649" s="1" t="s">
        <v>959</v>
      </c>
      <c r="E2649" s="1" t="s">
        <v>5824</v>
      </c>
      <c r="F2649" s="3">
        <v>0</v>
      </c>
      <c r="G2649" s="24" t="s">
        <v>7657</v>
      </c>
      <c r="H2649" s="24" t="s">
        <v>5825</v>
      </c>
      <c r="I2649" s="24" t="s">
        <v>2965</v>
      </c>
      <c r="J2649" s="24" t="s">
        <v>2919</v>
      </c>
      <c r="K2649" s="3">
        <v>30</v>
      </c>
      <c r="L2649" s="3" t="s">
        <v>7057</v>
      </c>
      <c r="M2649" s="3" t="str">
        <f>HYPERLINK("http://ictvonline.org/taxonomyHistory.asp?taxnode_id=20153333","ICTVonline=20153333")</f>
        <v>ICTVonline=20153333</v>
      </c>
    </row>
    <row r="2650" spans="1:13" x14ac:dyDescent="0.15">
      <c r="A2650" s="1" t="s">
        <v>934</v>
      </c>
      <c r="B2650" s="1" t="s">
        <v>857</v>
      </c>
      <c r="D2650" s="1" t="s">
        <v>959</v>
      </c>
      <c r="E2650" s="1" t="s">
        <v>5826</v>
      </c>
      <c r="F2650" s="3">
        <v>0</v>
      </c>
      <c r="G2650" s="24" t="s">
        <v>7658</v>
      </c>
      <c r="H2650" s="24" t="s">
        <v>5827</v>
      </c>
      <c r="I2650" s="24" t="s">
        <v>2965</v>
      </c>
      <c r="J2650" s="24" t="s">
        <v>2919</v>
      </c>
      <c r="K2650" s="3">
        <v>30</v>
      </c>
      <c r="L2650" s="3" t="s">
        <v>7057</v>
      </c>
      <c r="M2650" s="3" t="str">
        <f>HYPERLINK("http://ictvonline.org/taxonomyHistory.asp?taxnode_id=20153334","ICTVonline=20153334")</f>
        <v>ICTVonline=20153334</v>
      </c>
    </row>
    <row r="2651" spans="1:13" x14ac:dyDescent="0.15">
      <c r="A2651" s="1" t="s">
        <v>934</v>
      </c>
      <c r="B2651" s="1" t="s">
        <v>857</v>
      </c>
      <c r="D2651" s="1" t="s">
        <v>959</v>
      </c>
      <c r="E2651" s="1" t="s">
        <v>5828</v>
      </c>
      <c r="F2651" s="3">
        <v>0</v>
      </c>
      <c r="G2651" s="24" t="s">
        <v>7659</v>
      </c>
      <c r="H2651" s="24" t="s">
        <v>5829</v>
      </c>
      <c r="I2651" s="24" t="s">
        <v>2965</v>
      </c>
      <c r="J2651" s="24" t="s">
        <v>2919</v>
      </c>
      <c r="K2651" s="3">
        <v>30</v>
      </c>
      <c r="L2651" s="3" t="s">
        <v>7057</v>
      </c>
      <c r="M2651" s="3" t="str">
        <f>HYPERLINK("http://ictvonline.org/taxonomyHistory.asp?taxnode_id=20153335","ICTVonline=20153335")</f>
        <v>ICTVonline=20153335</v>
      </c>
    </row>
    <row r="2652" spans="1:13" x14ac:dyDescent="0.15">
      <c r="A2652" s="1" t="s">
        <v>934</v>
      </c>
      <c r="B2652" s="1" t="s">
        <v>857</v>
      </c>
      <c r="D2652" s="1" t="s">
        <v>959</v>
      </c>
      <c r="E2652" s="1" t="s">
        <v>5830</v>
      </c>
      <c r="F2652" s="3">
        <v>0</v>
      </c>
      <c r="G2652" s="24" t="s">
        <v>7660</v>
      </c>
      <c r="H2652" s="24" t="s">
        <v>5831</v>
      </c>
      <c r="I2652" s="24" t="s">
        <v>2965</v>
      </c>
      <c r="J2652" s="24" t="s">
        <v>2919</v>
      </c>
      <c r="K2652" s="3">
        <v>30</v>
      </c>
      <c r="L2652" s="3" t="s">
        <v>7057</v>
      </c>
      <c r="M2652" s="3" t="str">
        <f>HYPERLINK("http://ictvonline.org/taxonomyHistory.asp?taxnode_id=20153336","ICTVonline=20153336")</f>
        <v>ICTVonline=20153336</v>
      </c>
    </row>
    <row r="2653" spans="1:13" x14ac:dyDescent="0.15">
      <c r="A2653" s="1" t="s">
        <v>934</v>
      </c>
      <c r="B2653" s="1" t="s">
        <v>857</v>
      </c>
      <c r="D2653" s="1" t="s">
        <v>959</v>
      </c>
      <c r="E2653" s="1" t="s">
        <v>5832</v>
      </c>
      <c r="F2653" s="3">
        <v>0</v>
      </c>
      <c r="G2653" s="24" t="s">
        <v>7661</v>
      </c>
      <c r="H2653" s="24" t="s">
        <v>5833</v>
      </c>
      <c r="I2653" s="24" t="s">
        <v>2965</v>
      </c>
      <c r="J2653" s="24" t="s">
        <v>2919</v>
      </c>
      <c r="K2653" s="3">
        <v>30</v>
      </c>
      <c r="L2653" s="3" t="s">
        <v>7057</v>
      </c>
      <c r="M2653" s="3" t="str">
        <f>HYPERLINK("http://ictvonline.org/taxonomyHistory.asp?taxnode_id=20153337","ICTVonline=20153337")</f>
        <v>ICTVonline=20153337</v>
      </c>
    </row>
    <row r="2654" spans="1:13" x14ac:dyDescent="0.15">
      <c r="A2654" s="1" t="s">
        <v>934</v>
      </c>
      <c r="B2654" s="1" t="s">
        <v>857</v>
      </c>
      <c r="D2654" s="1" t="s">
        <v>1090</v>
      </c>
      <c r="E2654" s="1" t="s">
        <v>159</v>
      </c>
      <c r="F2654" s="3">
        <v>1</v>
      </c>
      <c r="I2654" s="24" t="s">
        <v>2965</v>
      </c>
      <c r="J2654" s="24" t="s">
        <v>2924</v>
      </c>
      <c r="K2654" s="3">
        <v>26</v>
      </c>
      <c r="L2654" s="3" t="s">
        <v>7055</v>
      </c>
      <c r="M2654" s="3" t="str">
        <f>HYPERLINK("http://ictvonline.org/taxonomyHistory.asp?taxnode_id=20153339","ICTVonline=20153339")</f>
        <v>ICTVonline=20153339</v>
      </c>
    </row>
    <row r="2655" spans="1:13" x14ac:dyDescent="0.15">
      <c r="A2655" s="1" t="s">
        <v>934</v>
      </c>
      <c r="B2655" s="1" t="s">
        <v>857</v>
      </c>
      <c r="D2655" s="1" t="s">
        <v>1184</v>
      </c>
      <c r="E2655" s="1" t="s">
        <v>160</v>
      </c>
      <c r="F2655" s="3">
        <v>0</v>
      </c>
      <c r="I2655" s="24" t="s">
        <v>2965</v>
      </c>
      <c r="J2655" s="24" t="s">
        <v>2924</v>
      </c>
      <c r="K2655" s="3">
        <v>26</v>
      </c>
      <c r="L2655" s="3" t="s">
        <v>7055</v>
      </c>
      <c r="M2655" s="3" t="str">
        <f>HYPERLINK("http://ictvonline.org/taxonomyHistory.asp?taxnode_id=20153341","ICTVonline=20153341")</f>
        <v>ICTVonline=20153341</v>
      </c>
    </row>
    <row r="2656" spans="1:13" x14ac:dyDescent="0.15">
      <c r="A2656" s="1" t="s">
        <v>934</v>
      </c>
      <c r="B2656" s="1" t="s">
        <v>857</v>
      </c>
      <c r="D2656" s="1" t="s">
        <v>1184</v>
      </c>
      <c r="E2656" s="1" t="s">
        <v>161</v>
      </c>
      <c r="F2656" s="3">
        <v>1</v>
      </c>
      <c r="I2656" s="24" t="s">
        <v>2965</v>
      </c>
      <c r="J2656" s="24" t="s">
        <v>2924</v>
      </c>
      <c r="K2656" s="3">
        <v>26</v>
      </c>
      <c r="L2656" s="3" t="s">
        <v>7055</v>
      </c>
      <c r="M2656" s="3" t="str">
        <f>HYPERLINK("http://ictvonline.org/taxonomyHistory.asp?taxnode_id=20153342","ICTVonline=20153342")</f>
        <v>ICTVonline=20153342</v>
      </c>
    </row>
    <row r="2657" spans="1:13" x14ac:dyDescent="0.15">
      <c r="A2657" s="1" t="s">
        <v>934</v>
      </c>
      <c r="B2657" s="1" t="s">
        <v>857</v>
      </c>
      <c r="D2657" s="1" t="s">
        <v>1185</v>
      </c>
      <c r="E2657" s="1" t="s">
        <v>162</v>
      </c>
      <c r="F2657" s="3">
        <v>0</v>
      </c>
      <c r="I2657" s="24" t="s">
        <v>2965</v>
      </c>
      <c r="J2657" s="24" t="s">
        <v>2924</v>
      </c>
      <c r="K2657" s="3">
        <v>26</v>
      </c>
      <c r="L2657" s="3" t="s">
        <v>7055</v>
      </c>
      <c r="M2657" s="3" t="str">
        <f>HYPERLINK("http://ictvonline.org/taxonomyHistory.asp?taxnode_id=20153344","ICTVonline=20153344")</f>
        <v>ICTVonline=20153344</v>
      </c>
    </row>
    <row r="2658" spans="1:13" x14ac:dyDescent="0.15">
      <c r="A2658" s="1" t="s">
        <v>934</v>
      </c>
      <c r="B2658" s="1" t="s">
        <v>857</v>
      </c>
      <c r="D2658" s="1" t="s">
        <v>1185</v>
      </c>
      <c r="E2658" s="1" t="s">
        <v>163</v>
      </c>
      <c r="F2658" s="3">
        <v>1</v>
      </c>
      <c r="I2658" s="24" t="s">
        <v>2965</v>
      </c>
      <c r="J2658" s="24" t="s">
        <v>2924</v>
      </c>
      <c r="K2658" s="3">
        <v>26</v>
      </c>
      <c r="L2658" s="3" t="s">
        <v>7055</v>
      </c>
      <c r="M2658" s="3" t="str">
        <f>HYPERLINK("http://ictvonline.org/taxonomyHistory.asp?taxnode_id=20153345","ICTVonline=20153345")</f>
        <v>ICTVonline=20153345</v>
      </c>
    </row>
    <row r="2659" spans="1:13" x14ac:dyDescent="0.15">
      <c r="A2659" s="1" t="s">
        <v>934</v>
      </c>
      <c r="B2659" s="1" t="s">
        <v>857</v>
      </c>
      <c r="D2659" s="1" t="s">
        <v>1185</v>
      </c>
      <c r="E2659" s="1" t="s">
        <v>164</v>
      </c>
      <c r="F2659" s="3">
        <v>0</v>
      </c>
      <c r="I2659" s="24" t="s">
        <v>2965</v>
      </c>
      <c r="J2659" s="24" t="s">
        <v>2919</v>
      </c>
      <c r="K2659" s="3">
        <v>26</v>
      </c>
      <c r="L2659" s="3" t="s">
        <v>7055</v>
      </c>
      <c r="M2659" s="3" t="str">
        <f>HYPERLINK("http://ictvonline.org/taxonomyHistory.asp?taxnode_id=20153346","ICTVonline=20153346")</f>
        <v>ICTVonline=20153346</v>
      </c>
    </row>
    <row r="2660" spans="1:13" x14ac:dyDescent="0.15">
      <c r="A2660" s="1" t="s">
        <v>934</v>
      </c>
      <c r="B2660" s="1" t="s">
        <v>857</v>
      </c>
      <c r="D2660" s="1" t="s">
        <v>1185</v>
      </c>
      <c r="E2660" s="1" t="s">
        <v>165</v>
      </c>
      <c r="F2660" s="3">
        <v>0</v>
      </c>
      <c r="I2660" s="24" t="s">
        <v>2965</v>
      </c>
      <c r="J2660" s="24" t="s">
        <v>2919</v>
      </c>
      <c r="K2660" s="3">
        <v>26</v>
      </c>
      <c r="L2660" s="3" t="s">
        <v>7055</v>
      </c>
      <c r="M2660" s="3" t="str">
        <f>HYPERLINK("http://ictvonline.org/taxonomyHistory.asp?taxnode_id=20153347","ICTVonline=20153347")</f>
        <v>ICTVonline=20153347</v>
      </c>
    </row>
    <row r="2661" spans="1:13" x14ac:dyDescent="0.15">
      <c r="A2661" s="1" t="s">
        <v>934</v>
      </c>
      <c r="B2661" s="1" t="s">
        <v>857</v>
      </c>
      <c r="D2661" s="1" t="s">
        <v>1185</v>
      </c>
      <c r="E2661" s="1" t="s">
        <v>2678</v>
      </c>
      <c r="F2661" s="3">
        <v>0</v>
      </c>
      <c r="I2661" s="24" t="s">
        <v>2965</v>
      </c>
      <c r="J2661" s="24" t="s">
        <v>2919</v>
      </c>
      <c r="K2661" s="3">
        <v>28</v>
      </c>
      <c r="L2661" s="3" t="s">
        <v>7056</v>
      </c>
      <c r="M2661" s="3" t="str">
        <f>HYPERLINK("http://ictvonline.org/taxonomyHistory.asp?taxnode_id=20153348","ICTVonline=20153348")</f>
        <v>ICTVonline=20153348</v>
      </c>
    </row>
    <row r="2662" spans="1:13" x14ac:dyDescent="0.15">
      <c r="A2662" s="1" t="s">
        <v>934</v>
      </c>
      <c r="B2662" s="1" t="s">
        <v>857</v>
      </c>
      <c r="D2662" s="1" t="s">
        <v>1186</v>
      </c>
      <c r="E2662" s="1" t="s">
        <v>166</v>
      </c>
      <c r="F2662" s="3">
        <v>1</v>
      </c>
      <c r="I2662" s="24" t="s">
        <v>2965</v>
      </c>
      <c r="J2662" s="24" t="s">
        <v>2924</v>
      </c>
      <c r="K2662" s="3">
        <v>26</v>
      </c>
      <c r="L2662" s="3" t="s">
        <v>7055</v>
      </c>
      <c r="M2662" s="3" t="str">
        <f>HYPERLINK("http://ictvonline.org/taxonomyHistory.asp?taxnode_id=20153350","ICTVonline=20153350")</f>
        <v>ICTVonline=20153350</v>
      </c>
    </row>
    <row r="2663" spans="1:13" x14ac:dyDescent="0.15">
      <c r="A2663" s="1" t="s">
        <v>934</v>
      </c>
      <c r="B2663" s="1" t="s">
        <v>857</v>
      </c>
      <c r="D2663" s="1" t="s">
        <v>1186</v>
      </c>
      <c r="E2663" s="1" t="s">
        <v>167</v>
      </c>
      <c r="F2663" s="3">
        <v>0</v>
      </c>
      <c r="I2663" s="24" t="s">
        <v>2965</v>
      </c>
      <c r="J2663" s="24" t="s">
        <v>2924</v>
      </c>
      <c r="K2663" s="3">
        <v>26</v>
      </c>
      <c r="L2663" s="3" t="s">
        <v>7055</v>
      </c>
      <c r="M2663" s="3" t="str">
        <f>HYPERLINK("http://ictvonline.org/taxonomyHistory.asp?taxnode_id=20153351","ICTVonline=20153351")</f>
        <v>ICTVonline=20153351</v>
      </c>
    </row>
    <row r="2664" spans="1:13" x14ac:dyDescent="0.15">
      <c r="A2664" s="1" t="s">
        <v>934</v>
      </c>
      <c r="B2664" s="1" t="s">
        <v>857</v>
      </c>
      <c r="D2664" s="1" t="s">
        <v>1186</v>
      </c>
      <c r="E2664" s="1" t="s">
        <v>5834</v>
      </c>
      <c r="F2664" s="3">
        <v>0</v>
      </c>
      <c r="G2664" s="24" t="s">
        <v>7662</v>
      </c>
      <c r="H2664" s="24" t="s">
        <v>5835</v>
      </c>
      <c r="I2664" s="24" t="s">
        <v>2965</v>
      </c>
      <c r="J2664" s="24" t="s">
        <v>2919</v>
      </c>
      <c r="K2664" s="3">
        <v>30</v>
      </c>
      <c r="L2664" s="3" t="s">
        <v>7057</v>
      </c>
      <c r="M2664" s="3" t="str">
        <f>HYPERLINK("http://ictvonline.org/taxonomyHistory.asp?taxnode_id=20153352","ICTVonline=20153352")</f>
        <v>ICTVonline=20153352</v>
      </c>
    </row>
    <row r="2665" spans="1:13" x14ac:dyDescent="0.15">
      <c r="A2665" s="1" t="s">
        <v>934</v>
      </c>
      <c r="B2665" s="1" t="s">
        <v>857</v>
      </c>
      <c r="D2665" s="1" t="s">
        <v>1187</v>
      </c>
      <c r="E2665" s="1" t="s">
        <v>168</v>
      </c>
      <c r="F2665" s="3">
        <v>1</v>
      </c>
      <c r="I2665" s="24" t="s">
        <v>2965</v>
      </c>
      <c r="J2665" s="24" t="s">
        <v>2924</v>
      </c>
      <c r="K2665" s="3">
        <v>26</v>
      </c>
      <c r="L2665" s="3" t="s">
        <v>7055</v>
      </c>
      <c r="M2665" s="3" t="str">
        <f>HYPERLINK("http://ictvonline.org/taxonomyHistory.asp?taxnode_id=20153354","ICTVonline=20153354")</f>
        <v>ICTVonline=20153354</v>
      </c>
    </row>
    <row r="2666" spans="1:13" x14ac:dyDescent="0.15">
      <c r="A2666" s="1" t="s">
        <v>934</v>
      </c>
      <c r="B2666" s="1" t="s">
        <v>857</v>
      </c>
      <c r="D2666" s="1" t="s">
        <v>169</v>
      </c>
      <c r="E2666" s="1" t="s">
        <v>170</v>
      </c>
      <c r="F2666" s="3">
        <v>1</v>
      </c>
      <c r="I2666" s="24" t="s">
        <v>2965</v>
      </c>
      <c r="J2666" s="24" t="s">
        <v>2921</v>
      </c>
      <c r="K2666" s="3">
        <v>26</v>
      </c>
      <c r="L2666" s="3" t="s">
        <v>7055</v>
      </c>
      <c r="M2666" s="3" t="str">
        <f>HYPERLINK("http://ictvonline.org/taxonomyHistory.asp?taxnode_id=20153356","ICTVonline=20153356")</f>
        <v>ICTVonline=20153356</v>
      </c>
    </row>
    <row r="2667" spans="1:13" x14ac:dyDescent="0.15">
      <c r="A2667" s="1" t="s">
        <v>934</v>
      </c>
      <c r="B2667" s="1" t="s">
        <v>857</v>
      </c>
      <c r="D2667" s="1" t="s">
        <v>570</v>
      </c>
      <c r="E2667" s="1" t="s">
        <v>171</v>
      </c>
      <c r="F2667" s="3">
        <v>1</v>
      </c>
      <c r="I2667" s="24" t="s">
        <v>2965</v>
      </c>
      <c r="J2667" s="24" t="s">
        <v>2924</v>
      </c>
      <c r="K2667" s="3">
        <v>26</v>
      </c>
      <c r="L2667" s="3" t="s">
        <v>7055</v>
      </c>
      <c r="M2667" s="3" t="str">
        <f>HYPERLINK("http://ictvonline.org/taxonomyHistory.asp?taxnode_id=20153358","ICTVonline=20153358")</f>
        <v>ICTVonline=20153358</v>
      </c>
    </row>
    <row r="2668" spans="1:13" x14ac:dyDescent="0.15">
      <c r="A2668" s="1" t="s">
        <v>934</v>
      </c>
      <c r="B2668" s="1" t="s">
        <v>857</v>
      </c>
      <c r="D2668" s="1" t="s">
        <v>172</v>
      </c>
      <c r="E2668" s="1" t="s">
        <v>173</v>
      </c>
      <c r="F2668" s="3">
        <v>1</v>
      </c>
      <c r="I2668" s="24" t="s">
        <v>2965</v>
      </c>
      <c r="J2668" s="24" t="s">
        <v>2921</v>
      </c>
      <c r="K2668" s="3">
        <v>26</v>
      </c>
      <c r="L2668" s="3" t="s">
        <v>7055</v>
      </c>
      <c r="M2668" s="3" t="str">
        <f>HYPERLINK("http://ictvonline.org/taxonomyHistory.asp?taxnode_id=20153360","ICTVonline=20153360")</f>
        <v>ICTVonline=20153360</v>
      </c>
    </row>
    <row r="2669" spans="1:13" x14ac:dyDescent="0.15">
      <c r="A2669" s="1" t="s">
        <v>934</v>
      </c>
      <c r="B2669" s="1" t="s">
        <v>857</v>
      </c>
      <c r="D2669" s="1" t="s">
        <v>1188</v>
      </c>
      <c r="E2669" s="1" t="s">
        <v>174</v>
      </c>
      <c r="F2669" s="3">
        <v>1</v>
      </c>
      <c r="I2669" s="24" t="s">
        <v>2965</v>
      </c>
      <c r="J2669" s="24" t="s">
        <v>2924</v>
      </c>
      <c r="K2669" s="3">
        <v>26</v>
      </c>
      <c r="L2669" s="3" t="s">
        <v>7055</v>
      </c>
      <c r="M2669" s="3" t="str">
        <f>HYPERLINK("http://ictvonline.org/taxonomyHistory.asp?taxnode_id=20153362","ICTVonline=20153362")</f>
        <v>ICTVonline=20153362</v>
      </c>
    </row>
    <row r="2670" spans="1:13" x14ac:dyDescent="0.15">
      <c r="A2670" s="1" t="s">
        <v>934</v>
      </c>
      <c r="B2670" s="1" t="s">
        <v>857</v>
      </c>
      <c r="D2670" s="1" t="s">
        <v>1188</v>
      </c>
      <c r="E2670" s="1" t="s">
        <v>175</v>
      </c>
      <c r="F2670" s="3">
        <v>0</v>
      </c>
      <c r="I2670" s="24" t="s">
        <v>2965</v>
      </c>
      <c r="J2670" s="24" t="s">
        <v>2919</v>
      </c>
      <c r="K2670" s="3">
        <v>26</v>
      </c>
      <c r="L2670" s="3" t="s">
        <v>7055</v>
      </c>
      <c r="M2670" s="3" t="str">
        <f>HYPERLINK("http://ictvonline.org/taxonomyHistory.asp?taxnode_id=20153363","ICTVonline=20153363")</f>
        <v>ICTVonline=20153363</v>
      </c>
    </row>
    <row r="2671" spans="1:13" x14ac:dyDescent="0.15">
      <c r="A2671" s="1" t="s">
        <v>934</v>
      </c>
      <c r="B2671" s="1" t="s">
        <v>857</v>
      </c>
      <c r="D2671" s="1" t="s">
        <v>176</v>
      </c>
      <c r="E2671" s="1" t="s">
        <v>177</v>
      </c>
      <c r="F2671" s="3">
        <v>1</v>
      </c>
      <c r="I2671" s="24" t="s">
        <v>2965</v>
      </c>
      <c r="J2671" s="24" t="s">
        <v>2921</v>
      </c>
      <c r="K2671" s="3">
        <v>26</v>
      </c>
      <c r="L2671" s="3" t="s">
        <v>7055</v>
      </c>
      <c r="M2671" s="3" t="str">
        <f>HYPERLINK("http://ictvonline.org/taxonomyHistory.asp?taxnode_id=20153365","ICTVonline=20153365")</f>
        <v>ICTVonline=20153365</v>
      </c>
    </row>
    <row r="2672" spans="1:13" x14ac:dyDescent="0.15">
      <c r="A2672" s="1" t="s">
        <v>934</v>
      </c>
      <c r="B2672" s="1" t="s">
        <v>857</v>
      </c>
      <c r="D2672" s="1" t="s">
        <v>178</v>
      </c>
      <c r="E2672" s="1" t="s">
        <v>179</v>
      </c>
      <c r="F2672" s="3">
        <v>1</v>
      </c>
      <c r="I2672" s="24" t="s">
        <v>2965</v>
      </c>
      <c r="J2672" s="24" t="s">
        <v>2921</v>
      </c>
      <c r="K2672" s="3">
        <v>26</v>
      </c>
      <c r="L2672" s="3" t="s">
        <v>7055</v>
      </c>
      <c r="M2672" s="3" t="str">
        <f>HYPERLINK("http://ictvonline.org/taxonomyHistory.asp?taxnode_id=20153367","ICTVonline=20153367")</f>
        <v>ICTVonline=20153367</v>
      </c>
    </row>
    <row r="2673" spans="1:13" x14ac:dyDescent="0.15">
      <c r="A2673" s="1" t="s">
        <v>934</v>
      </c>
      <c r="B2673" s="1" t="s">
        <v>857</v>
      </c>
      <c r="D2673" s="1" t="s">
        <v>178</v>
      </c>
      <c r="E2673" s="1" t="s">
        <v>5836</v>
      </c>
      <c r="F2673" s="3">
        <v>0</v>
      </c>
      <c r="G2673" s="24" t="s">
        <v>7663</v>
      </c>
      <c r="H2673" s="24" t="s">
        <v>5837</v>
      </c>
      <c r="I2673" s="24" t="s">
        <v>2965</v>
      </c>
      <c r="J2673" s="24" t="s">
        <v>2919</v>
      </c>
      <c r="K2673" s="3">
        <v>30</v>
      </c>
      <c r="L2673" s="3" t="s">
        <v>7057</v>
      </c>
      <c r="M2673" s="3" t="str">
        <f>HYPERLINK("http://ictvonline.org/taxonomyHistory.asp?taxnode_id=20153368","ICTVonline=20153368")</f>
        <v>ICTVonline=20153368</v>
      </c>
    </row>
    <row r="2674" spans="1:13" x14ac:dyDescent="0.15">
      <c r="A2674" s="1" t="s">
        <v>934</v>
      </c>
      <c r="B2674" s="1" t="s">
        <v>857</v>
      </c>
      <c r="D2674" s="1" t="s">
        <v>180</v>
      </c>
      <c r="E2674" s="1" t="s">
        <v>181</v>
      </c>
      <c r="F2674" s="3">
        <v>1</v>
      </c>
      <c r="I2674" s="24" t="s">
        <v>2965</v>
      </c>
      <c r="J2674" s="24" t="s">
        <v>2921</v>
      </c>
      <c r="K2674" s="3">
        <v>26</v>
      </c>
      <c r="L2674" s="3" t="s">
        <v>7055</v>
      </c>
      <c r="M2674" s="3" t="str">
        <f>HYPERLINK("http://ictvonline.org/taxonomyHistory.asp?taxnode_id=20153370","ICTVonline=20153370")</f>
        <v>ICTVonline=20153370</v>
      </c>
    </row>
    <row r="2675" spans="1:13" x14ac:dyDescent="0.15">
      <c r="A2675" s="1" t="s">
        <v>934</v>
      </c>
      <c r="B2675" s="1" t="s">
        <v>857</v>
      </c>
      <c r="D2675" s="1" t="s">
        <v>182</v>
      </c>
      <c r="E2675" s="1" t="s">
        <v>183</v>
      </c>
      <c r="F2675" s="3">
        <v>1</v>
      </c>
      <c r="I2675" s="24" t="s">
        <v>2965</v>
      </c>
      <c r="J2675" s="24" t="s">
        <v>2921</v>
      </c>
      <c r="K2675" s="3">
        <v>26</v>
      </c>
      <c r="L2675" s="3" t="s">
        <v>7055</v>
      </c>
      <c r="M2675" s="3" t="str">
        <f>HYPERLINK("http://ictvonline.org/taxonomyHistory.asp?taxnode_id=20153372","ICTVonline=20153372")</f>
        <v>ICTVonline=20153372</v>
      </c>
    </row>
    <row r="2676" spans="1:13" x14ac:dyDescent="0.15">
      <c r="A2676" s="1" t="s">
        <v>934</v>
      </c>
      <c r="B2676" s="1" t="s">
        <v>857</v>
      </c>
      <c r="D2676" s="1" t="s">
        <v>182</v>
      </c>
      <c r="E2676" s="1" t="s">
        <v>2679</v>
      </c>
      <c r="F2676" s="3">
        <v>0</v>
      </c>
      <c r="I2676" s="24" t="s">
        <v>2965</v>
      </c>
      <c r="J2676" s="24" t="s">
        <v>2919</v>
      </c>
      <c r="K2676" s="3">
        <v>28</v>
      </c>
      <c r="L2676" s="3" t="s">
        <v>7056</v>
      </c>
      <c r="M2676" s="3" t="str">
        <f>HYPERLINK("http://ictvonline.org/taxonomyHistory.asp?taxnode_id=20153373","ICTVonline=20153373")</f>
        <v>ICTVonline=20153373</v>
      </c>
    </row>
    <row r="2677" spans="1:13" x14ac:dyDescent="0.15">
      <c r="A2677" s="1" t="s">
        <v>934</v>
      </c>
      <c r="B2677" s="1" t="s">
        <v>857</v>
      </c>
      <c r="D2677" s="1" t="s">
        <v>182</v>
      </c>
      <c r="E2677" s="1" t="s">
        <v>5838</v>
      </c>
      <c r="F2677" s="3">
        <v>0</v>
      </c>
      <c r="G2677" s="24" t="s">
        <v>7664</v>
      </c>
      <c r="H2677" s="24" t="s">
        <v>5839</v>
      </c>
      <c r="I2677" s="24" t="s">
        <v>2965</v>
      </c>
      <c r="J2677" s="24" t="s">
        <v>2919</v>
      </c>
      <c r="K2677" s="3">
        <v>30</v>
      </c>
      <c r="L2677" s="3" t="s">
        <v>7057</v>
      </c>
      <c r="M2677" s="3" t="str">
        <f>HYPERLINK("http://ictvonline.org/taxonomyHistory.asp?taxnode_id=20153374","ICTVonline=20153374")</f>
        <v>ICTVonline=20153374</v>
      </c>
    </row>
    <row r="2678" spans="1:13" x14ac:dyDescent="0.15">
      <c r="A2678" s="1" t="s">
        <v>934</v>
      </c>
      <c r="B2678" s="1" t="s">
        <v>857</v>
      </c>
      <c r="D2678" s="1" t="s">
        <v>1189</v>
      </c>
      <c r="E2678" s="1" t="s">
        <v>184</v>
      </c>
      <c r="F2678" s="3">
        <v>1</v>
      </c>
      <c r="I2678" s="24" t="s">
        <v>2965</v>
      </c>
      <c r="J2678" s="24" t="s">
        <v>2924</v>
      </c>
      <c r="K2678" s="3">
        <v>26</v>
      </c>
      <c r="L2678" s="3" t="s">
        <v>7055</v>
      </c>
      <c r="M2678" s="3" t="str">
        <f>HYPERLINK("http://ictvonline.org/taxonomyHistory.asp?taxnode_id=20153376","ICTVonline=20153376")</f>
        <v>ICTVonline=20153376</v>
      </c>
    </row>
    <row r="2679" spans="1:13" x14ac:dyDescent="0.15">
      <c r="A2679" s="1" t="s">
        <v>934</v>
      </c>
      <c r="B2679" s="1" t="s">
        <v>857</v>
      </c>
      <c r="D2679" s="1" t="s">
        <v>5840</v>
      </c>
      <c r="E2679" s="1" t="s">
        <v>5841</v>
      </c>
      <c r="F2679" s="3">
        <v>1</v>
      </c>
      <c r="G2679" s="24" t="s">
        <v>7665</v>
      </c>
      <c r="H2679" s="24" t="s">
        <v>5842</v>
      </c>
      <c r="I2679" s="24" t="s">
        <v>2965</v>
      </c>
      <c r="J2679" s="24" t="s">
        <v>2919</v>
      </c>
      <c r="K2679" s="3">
        <v>30</v>
      </c>
      <c r="L2679" s="3" t="s">
        <v>7057</v>
      </c>
      <c r="M2679" s="3" t="str">
        <f>HYPERLINK("http://ictvonline.org/taxonomyHistory.asp?taxnode_id=20153400","ICTVonline=20153400")</f>
        <v>ICTVonline=20153400</v>
      </c>
    </row>
    <row r="2680" spans="1:13" x14ac:dyDescent="0.15">
      <c r="A2680" s="1" t="s">
        <v>934</v>
      </c>
      <c r="B2680" s="1" t="s">
        <v>857</v>
      </c>
      <c r="D2680" s="1" t="s">
        <v>5843</v>
      </c>
      <c r="E2680" s="1" t="s">
        <v>5844</v>
      </c>
      <c r="F2680" s="3">
        <v>1</v>
      </c>
      <c r="G2680" s="24" t="s">
        <v>7666</v>
      </c>
      <c r="H2680" s="24" t="s">
        <v>5844</v>
      </c>
      <c r="I2680" s="24" t="s">
        <v>2965</v>
      </c>
      <c r="J2680" s="24" t="s">
        <v>2919</v>
      </c>
      <c r="K2680" s="3">
        <v>30</v>
      </c>
      <c r="L2680" s="3" t="s">
        <v>7057</v>
      </c>
      <c r="M2680" s="3" t="str">
        <f>HYPERLINK("http://ictvonline.org/taxonomyHistory.asp?taxnode_id=20153402","ICTVonline=20153402")</f>
        <v>ICTVonline=20153402</v>
      </c>
    </row>
    <row r="2681" spans="1:13" x14ac:dyDescent="0.15">
      <c r="A2681" s="1" t="s">
        <v>934</v>
      </c>
      <c r="B2681" s="1" t="s">
        <v>857</v>
      </c>
      <c r="D2681" s="1" t="s">
        <v>5845</v>
      </c>
      <c r="E2681" s="1" t="s">
        <v>5846</v>
      </c>
      <c r="F2681" s="3">
        <v>1</v>
      </c>
      <c r="G2681" s="24" t="s">
        <v>7667</v>
      </c>
      <c r="H2681" s="24" t="s">
        <v>5847</v>
      </c>
      <c r="I2681" s="24" t="s">
        <v>2965</v>
      </c>
      <c r="J2681" s="24" t="s">
        <v>2919</v>
      </c>
      <c r="K2681" s="3">
        <v>30</v>
      </c>
      <c r="L2681" s="3" t="s">
        <v>7057</v>
      </c>
      <c r="M2681" s="3" t="str">
        <f>HYPERLINK("http://ictvonline.org/taxonomyHistory.asp?taxnode_id=20153406","ICTVonline=20153406")</f>
        <v>ICTVonline=20153406</v>
      </c>
    </row>
    <row r="2682" spans="1:13" x14ac:dyDescent="0.15">
      <c r="A2682" s="1" t="s">
        <v>934</v>
      </c>
      <c r="B2682" s="1" t="s">
        <v>857</v>
      </c>
      <c r="D2682" s="1" t="s">
        <v>5848</v>
      </c>
      <c r="E2682" s="1" t="s">
        <v>5849</v>
      </c>
      <c r="F2682" s="3">
        <v>1</v>
      </c>
      <c r="G2682" s="24" t="s">
        <v>7668</v>
      </c>
      <c r="H2682" s="24" t="s">
        <v>5850</v>
      </c>
      <c r="I2682" s="24" t="s">
        <v>2965</v>
      </c>
      <c r="J2682" s="24" t="s">
        <v>2919</v>
      </c>
      <c r="K2682" s="3">
        <v>30</v>
      </c>
      <c r="L2682" s="3" t="s">
        <v>7057</v>
      </c>
      <c r="M2682" s="3" t="str">
        <f>HYPERLINK("http://ictvonline.org/taxonomyHistory.asp?taxnode_id=20153404","ICTVonline=20153404")</f>
        <v>ICTVonline=20153404</v>
      </c>
    </row>
    <row r="2683" spans="1:13" x14ac:dyDescent="0.15">
      <c r="A2683" s="1" t="s">
        <v>934</v>
      </c>
      <c r="B2683" s="1" t="s">
        <v>857</v>
      </c>
      <c r="D2683" s="1" t="s">
        <v>185</v>
      </c>
      <c r="E2683" s="1" t="s">
        <v>186</v>
      </c>
      <c r="F2683" s="3">
        <v>1</v>
      </c>
      <c r="I2683" s="24" t="s">
        <v>2965</v>
      </c>
      <c r="J2683" s="24" t="s">
        <v>2921</v>
      </c>
      <c r="K2683" s="3">
        <v>26</v>
      </c>
      <c r="L2683" s="3" t="s">
        <v>7055</v>
      </c>
      <c r="M2683" s="3" t="str">
        <f>HYPERLINK("http://ictvonline.org/taxonomyHistory.asp?taxnode_id=20153378","ICTVonline=20153378")</f>
        <v>ICTVonline=20153378</v>
      </c>
    </row>
    <row r="2684" spans="1:13" x14ac:dyDescent="0.15">
      <c r="A2684" s="1" t="s">
        <v>934</v>
      </c>
      <c r="B2684" s="1" t="s">
        <v>857</v>
      </c>
      <c r="D2684" s="1" t="s">
        <v>185</v>
      </c>
      <c r="E2684" s="1" t="s">
        <v>187</v>
      </c>
      <c r="F2684" s="3">
        <v>0</v>
      </c>
      <c r="I2684" s="24" t="s">
        <v>2965</v>
      </c>
      <c r="J2684" s="24" t="s">
        <v>2919</v>
      </c>
      <c r="K2684" s="3">
        <v>26</v>
      </c>
      <c r="L2684" s="3" t="s">
        <v>7055</v>
      </c>
      <c r="M2684" s="3" t="str">
        <f>HYPERLINK("http://ictvonline.org/taxonomyHistory.asp?taxnode_id=20153379","ICTVonline=20153379")</f>
        <v>ICTVonline=20153379</v>
      </c>
    </row>
    <row r="2685" spans="1:13" x14ac:dyDescent="0.15">
      <c r="A2685" s="1" t="s">
        <v>934</v>
      </c>
      <c r="B2685" s="1" t="s">
        <v>857</v>
      </c>
      <c r="D2685" s="1" t="s">
        <v>185</v>
      </c>
      <c r="E2685" s="1" t="s">
        <v>2680</v>
      </c>
      <c r="F2685" s="3">
        <v>0</v>
      </c>
      <c r="I2685" s="24" t="s">
        <v>2965</v>
      </c>
      <c r="J2685" s="24" t="s">
        <v>2919</v>
      </c>
      <c r="K2685" s="3">
        <v>28</v>
      </c>
      <c r="L2685" s="3" t="s">
        <v>7056</v>
      </c>
      <c r="M2685" s="3" t="str">
        <f>HYPERLINK("http://ictvonline.org/taxonomyHistory.asp?taxnode_id=20153380","ICTVonline=20153380")</f>
        <v>ICTVonline=20153380</v>
      </c>
    </row>
    <row r="2686" spans="1:13" x14ac:dyDescent="0.15">
      <c r="A2686" s="1" t="s">
        <v>934</v>
      </c>
      <c r="B2686" s="1" t="s">
        <v>857</v>
      </c>
      <c r="D2686" s="1" t="s">
        <v>1780</v>
      </c>
      <c r="E2686" s="1" t="s">
        <v>188</v>
      </c>
      <c r="F2686" s="3">
        <v>1</v>
      </c>
      <c r="I2686" s="24" t="s">
        <v>2965</v>
      </c>
      <c r="J2686" s="24" t="s">
        <v>2924</v>
      </c>
      <c r="K2686" s="3">
        <v>26</v>
      </c>
      <c r="L2686" s="3" t="s">
        <v>7055</v>
      </c>
      <c r="M2686" s="3" t="str">
        <f>HYPERLINK("http://ictvonline.org/taxonomyHistory.asp?taxnode_id=20153382","ICTVonline=20153382")</f>
        <v>ICTVonline=20153382</v>
      </c>
    </row>
    <row r="2687" spans="1:13" x14ac:dyDescent="0.15">
      <c r="A2687" s="1" t="s">
        <v>934</v>
      </c>
      <c r="B2687" s="1" t="s">
        <v>857</v>
      </c>
      <c r="D2687" s="1" t="s">
        <v>1780</v>
      </c>
      <c r="E2687" s="1" t="s">
        <v>2681</v>
      </c>
      <c r="F2687" s="3">
        <v>0</v>
      </c>
      <c r="I2687" s="24" t="s">
        <v>2965</v>
      </c>
      <c r="J2687" s="24" t="s">
        <v>2919</v>
      </c>
      <c r="K2687" s="3">
        <v>28</v>
      </c>
      <c r="L2687" s="3" t="s">
        <v>7056</v>
      </c>
      <c r="M2687" s="3" t="str">
        <f>HYPERLINK("http://ictvonline.org/taxonomyHistory.asp?taxnode_id=20153383","ICTVonline=20153383")</f>
        <v>ICTVonline=20153383</v>
      </c>
    </row>
    <row r="2688" spans="1:13" x14ac:dyDescent="0.15">
      <c r="A2688" s="1" t="s">
        <v>934</v>
      </c>
      <c r="B2688" s="1" t="s">
        <v>857</v>
      </c>
      <c r="D2688" s="1" t="s">
        <v>1780</v>
      </c>
      <c r="E2688" s="1" t="s">
        <v>5851</v>
      </c>
      <c r="F2688" s="3">
        <v>0</v>
      </c>
      <c r="G2688" s="24" t="s">
        <v>7669</v>
      </c>
      <c r="H2688" s="24" t="s">
        <v>5852</v>
      </c>
      <c r="I2688" s="24" t="s">
        <v>2965</v>
      </c>
      <c r="J2688" s="24" t="s">
        <v>2919</v>
      </c>
      <c r="K2688" s="3">
        <v>30</v>
      </c>
      <c r="L2688" s="3" t="s">
        <v>7057</v>
      </c>
      <c r="M2688" s="3" t="str">
        <f>HYPERLINK("http://ictvonline.org/taxonomyHistory.asp?taxnode_id=20153384","ICTVonline=20153384")</f>
        <v>ICTVonline=20153384</v>
      </c>
    </row>
    <row r="2689" spans="1:13" x14ac:dyDescent="0.15">
      <c r="A2689" s="1" t="s">
        <v>934</v>
      </c>
      <c r="B2689" s="1" t="s">
        <v>857</v>
      </c>
      <c r="D2689" s="1" t="s">
        <v>1781</v>
      </c>
      <c r="E2689" s="1" t="s">
        <v>189</v>
      </c>
      <c r="F2689" s="3">
        <v>1</v>
      </c>
      <c r="I2689" s="24" t="s">
        <v>2965</v>
      </c>
      <c r="J2689" s="24" t="s">
        <v>2924</v>
      </c>
      <c r="K2689" s="3">
        <v>26</v>
      </c>
      <c r="L2689" s="3" t="s">
        <v>7055</v>
      </c>
      <c r="M2689" s="3" t="str">
        <f>HYPERLINK("http://ictvonline.org/taxonomyHistory.asp?taxnode_id=20153386","ICTVonline=20153386")</f>
        <v>ICTVonline=20153386</v>
      </c>
    </row>
    <row r="2690" spans="1:13" x14ac:dyDescent="0.15">
      <c r="A2690" s="1" t="s">
        <v>934</v>
      </c>
      <c r="B2690" s="1" t="s">
        <v>1782</v>
      </c>
      <c r="D2690" s="1" t="s">
        <v>2682</v>
      </c>
      <c r="E2690" s="1" t="s">
        <v>983</v>
      </c>
      <c r="F2690" s="3">
        <v>0</v>
      </c>
      <c r="G2690" s="24" t="s">
        <v>7900</v>
      </c>
      <c r="H2690" s="24" t="s">
        <v>5853</v>
      </c>
      <c r="I2690" s="24" t="s">
        <v>3286</v>
      </c>
      <c r="J2690" s="24" t="s">
        <v>2920</v>
      </c>
      <c r="K2690" s="3">
        <v>28</v>
      </c>
      <c r="L2690" s="3" t="s">
        <v>7059</v>
      </c>
      <c r="M2690" s="3" t="str">
        <f>HYPERLINK("http://ictvonline.org/taxonomyHistory.asp?taxnode_id=20153410","ICTVonline=20153410")</f>
        <v>ICTVonline=20153410</v>
      </c>
    </row>
    <row r="2691" spans="1:13" x14ac:dyDescent="0.15">
      <c r="A2691" s="1" t="s">
        <v>934</v>
      </c>
      <c r="B2691" s="1" t="s">
        <v>1782</v>
      </c>
      <c r="D2691" s="1" t="s">
        <v>2682</v>
      </c>
      <c r="E2691" s="1" t="s">
        <v>2683</v>
      </c>
      <c r="F2691" s="3">
        <v>0</v>
      </c>
      <c r="G2691" s="24" t="s">
        <v>7901</v>
      </c>
      <c r="H2691" s="24" t="s">
        <v>5482</v>
      </c>
      <c r="I2691" s="24" t="s">
        <v>3286</v>
      </c>
      <c r="J2691" s="24" t="s">
        <v>2919</v>
      </c>
      <c r="K2691" s="3">
        <v>28</v>
      </c>
      <c r="L2691" s="3" t="s">
        <v>7059</v>
      </c>
      <c r="M2691" s="3" t="str">
        <f>HYPERLINK("http://ictvonline.org/taxonomyHistory.asp?taxnode_id=20153411","ICTVonline=20153411")</f>
        <v>ICTVonline=20153411</v>
      </c>
    </row>
    <row r="2692" spans="1:13" x14ac:dyDescent="0.15">
      <c r="A2692" s="1" t="s">
        <v>934</v>
      </c>
      <c r="B2692" s="1" t="s">
        <v>1782</v>
      </c>
      <c r="D2692" s="1" t="s">
        <v>2682</v>
      </c>
      <c r="E2692" s="1" t="s">
        <v>2684</v>
      </c>
      <c r="F2692" s="3">
        <v>0</v>
      </c>
      <c r="G2692" s="24" t="s">
        <v>7902</v>
      </c>
      <c r="H2692" s="24" t="s">
        <v>5378</v>
      </c>
      <c r="I2692" s="24" t="s">
        <v>3286</v>
      </c>
      <c r="J2692" s="24" t="s">
        <v>2919</v>
      </c>
      <c r="K2692" s="3">
        <v>28</v>
      </c>
      <c r="L2692" s="3" t="s">
        <v>7059</v>
      </c>
      <c r="M2692" s="3" t="str">
        <f>HYPERLINK("http://ictvonline.org/taxonomyHistory.asp?taxnode_id=20153412","ICTVonline=20153412")</f>
        <v>ICTVonline=20153412</v>
      </c>
    </row>
    <row r="2693" spans="1:13" x14ac:dyDescent="0.15">
      <c r="A2693" s="1" t="s">
        <v>934</v>
      </c>
      <c r="B2693" s="1" t="s">
        <v>1782</v>
      </c>
      <c r="D2693" s="1" t="s">
        <v>2682</v>
      </c>
      <c r="E2693" s="1" t="s">
        <v>2685</v>
      </c>
      <c r="F2693" s="3">
        <v>0</v>
      </c>
      <c r="G2693" s="24" t="s">
        <v>7903</v>
      </c>
      <c r="H2693" s="24" t="s">
        <v>5854</v>
      </c>
      <c r="I2693" s="24" t="s">
        <v>3286</v>
      </c>
      <c r="J2693" s="24" t="s">
        <v>2919</v>
      </c>
      <c r="K2693" s="3">
        <v>28</v>
      </c>
      <c r="L2693" s="3" t="s">
        <v>7059</v>
      </c>
      <c r="M2693" s="3" t="str">
        <f>HYPERLINK("http://ictvonline.org/taxonomyHistory.asp?taxnode_id=20153413","ICTVonline=20153413")</f>
        <v>ICTVonline=20153413</v>
      </c>
    </row>
    <row r="2694" spans="1:13" x14ac:dyDescent="0.15">
      <c r="A2694" s="1" t="s">
        <v>934</v>
      </c>
      <c r="B2694" s="1" t="s">
        <v>1782</v>
      </c>
      <c r="D2694" s="1" t="s">
        <v>2682</v>
      </c>
      <c r="E2694" s="1" t="s">
        <v>2686</v>
      </c>
      <c r="F2694" s="3">
        <v>0</v>
      </c>
      <c r="G2694" s="24" t="s">
        <v>7904</v>
      </c>
      <c r="H2694" s="24" t="s">
        <v>5855</v>
      </c>
      <c r="I2694" s="24" t="s">
        <v>3286</v>
      </c>
      <c r="J2694" s="24" t="s">
        <v>2919</v>
      </c>
      <c r="K2694" s="3">
        <v>28</v>
      </c>
      <c r="L2694" s="3" t="s">
        <v>7059</v>
      </c>
      <c r="M2694" s="3" t="str">
        <f>HYPERLINK("http://ictvonline.org/taxonomyHistory.asp?taxnode_id=20153414","ICTVonline=20153414")</f>
        <v>ICTVonline=20153414</v>
      </c>
    </row>
    <row r="2695" spans="1:13" x14ac:dyDescent="0.15">
      <c r="A2695" s="1" t="s">
        <v>934</v>
      </c>
      <c r="B2695" s="1" t="s">
        <v>1782</v>
      </c>
      <c r="D2695" s="1" t="s">
        <v>2682</v>
      </c>
      <c r="E2695" s="1" t="s">
        <v>2863</v>
      </c>
      <c r="F2695" s="3">
        <v>0</v>
      </c>
      <c r="G2695" s="24" t="s">
        <v>5856</v>
      </c>
      <c r="H2695" s="24" t="s">
        <v>5857</v>
      </c>
      <c r="I2695" s="24" t="s">
        <v>3286</v>
      </c>
      <c r="J2695" s="24" t="s">
        <v>2923</v>
      </c>
      <c r="K2695" s="3">
        <v>28</v>
      </c>
      <c r="L2695" s="3" t="s">
        <v>7059</v>
      </c>
      <c r="M2695" s="3" t="str">
        <f>HYPERLINK("http://ictvonline.org/taxonomyHistory.asp?taxnode_id=20153415","ICTVonline=20153415")</f>
        <v>ICTVonline=20153415</v>
      </c>
    </row>
    <row r="2696" spans="1:13" x14ac:dyDescent="0.15">
      <c r="A2696" s="1" t="s">
        <v>934</v>
      </c>
      <c r="B2696" s="1" t="s">
        <v>1782</v>
      </c>
      <c r="D2696" s="1" t="s">
        <v>2682</v>
      </c>
      <c r="E2696" s="1" t="s">
        <v>2864</v>
      </c>
      <c r="F2696" s="3">
        <v>0</v>
      </c>
      <c r="G2696" s="24" t="s">
        <v>7905</v>
      </c>
      <c r="H2696" s="24" t="s">
        <v>5858</v>
      </c>
      <c r="I2696" s="24" t="s">
        <v>3286</v>
      </c>
      <c r="J2696" s="24" t="s">
        <v>2919</v>
      </c>
      <c r="K2696" s="3">
        <v>28</v>
      </c>
      <c r="L2696" s="3" t="s">
        <v>7059</v>
      </c>
      <c r="M2696" s="3" t="str">
        <f>HYPERLINK("http://ictvonline.org/taxonomyHistory.asp?taxnode_id=20153416","ICTVonline=20153416")</f>
        <v>ICTVonline=20153416</v>
      </c>
    </row>
    <row r="2697" spans="1:13" x14ac:dyDescent="0.15">
      <c r="A2697" s="1" t="s">
        <v>934</v>
      </c>
      <c r="B2697" s="1" t="s">
        <v>1782</v>
      </c>
      <c r="D2697" s="1" t="s">
        <v>2682</v>
      </c>
      <c r="E2697" s="1" t="s">
        <v>2865</v>
      </c>
      <c r="F2697" s="3">
        <v>0</v>
      </c>
      <c r="G2697" s="24" t="s">
        <v>7906</v>
      </c>
      <c r="H2697" s="24" t="s">
        <v>6735</v>
      </c>
      <c r="I2697" s="24" t="s">
        <v>3286</v>
      </c>
      <c r="J2697" s="24" t="s">
        <v>2919</v>
      </c>
      <c r="K2697" s="3">
        <v>28</v>
      </c>
      <c r="L2697" s="3" t="s">
        <v>7059</v>
      </c>
      <c r="M2697" s="3" t="str">
        <f>HYPERLINK("http://ictvonline.org/taxonomyHistory.asp?taxnode_id=20153417","ICTVonline=20153417")</f>
        <v>ICTVonline=20153417</v>
      </c>
    </row>
    <row r="2698" spans="1:13" x14ac:dyDescent="0.15">
      <c r="A2698" s="1" t="s">
        <v>934</v>
      </c>
      <c r="B2698" s="1" t="s">
        <v>1782</v>
      </c>
      <c r="D2698" s="1" t="s">
        <v>2682</v>
      </c>
      <c r="E2698" s="1" t="s">
        <v>5859</v>
      </c>
      <c r="F2698" s="3">
        <v>0</v>
      </c>
      <c r="G2698" s="24" t="s">
        <v>7670</v>
      </c>
      <c r="H2698" s="24" t="s">
        <v>5860</v>
      </c>
      <c r="I2698" s="24" t="s">
        <v>3286</v>
      </c>
      <c r="J2698" s="24" t="s">
        <v>2919</v>
      </c>
      <c r="K2698" s="3">
        <v>30</v>
      </c>
      <c r="L2698" s="3" t="s">
        <v>5861</v>
      </c>
      <c r="M2698" s="3" t="str">
        <f>HYPERLINK("http://ictvonline.org/taxonomyHistory.asp?taxnode_id=20153421","ICTVonline=20153421")</f>
        <v>ICTVonline=20153421</v>
      </c>
    </row>
    <row r="2699" spans="1:13" x14ac:dyDescent="0.15">
      <c r="A2699" s="1" t="s">
        <v>934</v>
      </c>
      <c r="B2699" s="1" t="s">
        <v>1782</v>
      </c>
      <c r="D2699" s="1" t="s">
        <v>2682</v>
      </c>
      <c r="E2699" s="1" t="s">
        <v>5862</v>
      </c>
      <c r="F2699" s="3">
        <v>0</v>
      </c>
      <c r="G2699" s="24" t="s">
        <v>7671</v>
      </c>
      <c r="H2699" s="24" t="s">
        <v>5863</v>
      </c>
      <c r="I2699" s="24" t="s">
        <v>3286</v>
      </c>
      <c r="J2699" s="24" t="s">
        <v>2919</v>
      </c>
      <c r="K2699" s="3">
        <v>30</v>
      </c>
      <c r="L2699" s="3" t="s">
        <v>5861</v>
      </c>
      <c r="M2699" s="3" t="str">
        <f>HYPERLINK("http://ictvonline.org/taxonomyHistory.asp?taxnode_id=20153422","ICTVonline=20153422")</f>
        <v>ICTVonline=20153422</v>
      </c>
    </row>
    <row r="2700" spans="1:13" x14ac:dyDescent="0.15">
      <c r="A2700" s="1" t="s">
        <v>934</v>
      </c>
      <c r="B2700" s="1" t="s">
        <v>1782</v>
      </c>
      <c r="D2700" s="1" t="s">
        <v>2682</v>
      </c>
      <c r="E2700" s="1" t="s">
        <v>5864</v>
      </c>
      <c r="F2700" s="3">
        <v>0</v>
      </c>
      <c r="G2700" s="24" t="s">
        <v>7672</v>
      </c>
      <c r="H2700" s="24" t="s">
        <v>5865</v>
      </c>
      <c r="I2700" s="24" t="s">
        <v>3286</v>
      </c>
      <c r="J2700" s="24" t="s">
        <v>2919</v>
      </c>
      <c r="K2700" s="3">
        <v>30</v>
      </c>
      <c r="L2700" s="3" t="s">
        <v>5861</v>
      </c>
      <c r="M2700" s="3" t="str">
        <f>HYPERLINK("http://ictvonline.org/taxonomyHistory.asp?taxnode_id=20153423","ICTVonline=20153423")</f>
        <v>ICTVonline=20153423</v>
      </c>
    </row>
    <row r="2701" spans="1:13" x14ac:dyDescent="0.15">
      <c r="A2701" s="1" t="s">
        <v>934</v>
      </c>
      <c r="B2701" s="1" t="s">
        <v>1782</v>
      </c>
      <c r="D2701" s="1" t="s">
        <v>2682</v>
      </c>
      <c r="E2701" s="1" t="s">
        <v>2687</v>
      </c>
      <c r="F2701" s="3">
        <v>0</v>
      </c>
      <c r="G2701" s="24" t="s">
        <v>7907</v>
      </c>
      <c r="H2701" s="24" t="s">
        <v>5866</v>
      </c>
      <c r="I2701" s="24" t="s">
        <v>3286</v>
      </c>
      <c r="J2701" s="24" t="s">
        <v>2919</v>
      </c>
      <c r="K2701" s="3">
        <v>28</v>
      </c>
      <c r="L2701" s="3" t="s">
        <v>7059</v>
      </c>
      <c r="M2701" s="3" t="str">
        <f>HYPERLINK("http://ictvonline.org/taxonomyHistory.asp?taxnode_id=20153418","ICTVonline=20153418")</f>
        <v>ICTVonline=20153418</v>
      </c>
    </row>
    <row r="2702" spans="1:13" x14ac:dyDescent="0.15">
      <c r="A2702" s="1" t="s">
        <v>934</v>
      </c>
      <c r="B2702" s="1" t="s">
        <v>1782</v>
      </c>
      <c r="D2702" s="1" t="s">
        <v>2682</v>
      </c>
      <c r="E2702" s="1" t="s">
        <v>909</v>
      </c>
      <c r="F2702" s="3">
        <v>0</v>
      </c>
      <c r="G2702" s="24" t="s">
        <v>7908</v>
      </c>
      <c r="H2702" s="24" t="s">
        <v>4950</v>
      </c>
      <c r="I2702" s="24" t="s">
        <v>3286</v>
      </c>
      <c r="J2702" s="24" t="s">
        <v>2920</v>
      </c>
      <c r="K2702" s="3">
        <v>28</v>
      </c>
      <c r="L2702" s="3" t="s">
        <v>7059</v>
      </c>
      <c r="M2702" s="3" t="str">
        <f>HYPERLINK("http://ictvonline.org/taxonomyHistory.asp?taxnode_id=20153419","ICTVonline=20153419")</f>
        <v>ICTVonline=20153419</v>
      </c>
    </row>
    <row r="2703" spans="1:13" x14ac:dyDescent="0.15">
      <c r="A2703" s="1" t="s">
        <v>934</v>
      </c>
      <c r="B2703" s="1" t="s">
        <v>1782</v>
      </c>
      <c r="D2703" s="1" t="s">
        <v>2682</v>
      </c>
      <c r="E2703" s="1" t="s">
        <v>910</v>
      </c>
      <c r="F2703" s="3">
        <v>1</v>
      </c>
      <c r="G2703" s="24" t="s">
        <v>7909</v>
      </c>
      <c r="H2703" s="24" t="s">
        <v>5867</v>
      </c>
      <c r="I2703" s="24" t="s">
        <v>3286</v>
      </c>
      <c r="J2703" s="24" t="s">
        <v>2920</v>
      </c>
      <c r="K2703" s="3">
        <v>28</v>
      </c>
      <c r="L2703" s="3" t="s">
        <v>7059</v>
      </c>
      <c r="M2703" s="3" t="str">
        <f>HYPERLINK("http://ictvonline.org/taxonomyHistory.asp?taxnode_id=20153420","ICTVonline=20153420")</f>
        <v>ICTVonline=20153420</v>
      </c>
    </row>
    <row r="2704" spans="1:13" x14ac:dyDescent="0.15">
      <c r="A2704" s="1" t="s">
        <v>934</v>
      </c>
      <c r="B2704" s="1" t="s">
        <v>1782</v>
      </c>
      <c r="D2704" s="1" t="s">
        <v>2688</v>
      </c>
      <c r="E2704" s="1" t="s">
        <v>1705</v>
      </c>
      <c r="F2704" s="3">
        <v>1</v>
      </c>
      <c r="G2704" s="24" t="s">
        <v>7910</v>
      </c>
      <c r="H2704" s="24" t="s">
        <v>5868</v>
      </c>
      <c r="I2704" s="24" t="s">
        <v>3286</v>
      </c>
      <c r="J2704" s="24" t="s">
        <v>2920</v>
      </c>
      <c r="K2704" s="3">
        <v>28</v>
      </c>
      <c r="L2704" s="3" t="s">
        <v>7059</v>
      </c>
      <c r="M2704" s="3" t="str">
        <f>HYPERLINK("http://ictvonline.org/taxonomyHistory.asp?taxnode_id=20153425","ICTVonline=20153425")</f>
        <v>ICTVonline=20153425</v>
      </c>
    </row>
    <row r="2705" spans="1:13" x14ac:dyDescent="0.15">
      <c r="A2705" s="1" t="s">
        <v>934</v>
      </c>
      <c r="B2705" s="1" t="s">
        <v>1782</v>
      </c>
      <c r="D2705" s="1" t="s">
        <v>2688</v>
      </c>
      <c r="E2705" s="1" t="s">
        <v>2689</v>
      </c>
      <c r="F2705" s="3">
        <v>0</v>
      </c>
      <c r="G2705" s="24" t="s">
        <v>7911</v>
      </c>
      <c r="H2705" s="24" t="s">
        <v>5869</v>
      </c>
      <c r="I2705" s="24" t="s">
        <v>3286</v>
      </c>
      <c r="J2705" s="24" t="s">
        <v>2919</v>
      </c>
      <c r="K2705" s="3">
        <v>28</v>
      </c>
      <c r="L2705" s="3" t="s">
        <v>7059</v>
      </c>
      <c r="M2705" s="3" t="str">
        <f>HYPERLINK("http://ictvonline.org/taxonomyHistory.asp?taxnode_id=20153426","ICTVonline=20153426")</f>
        <v>ICTVonline=20153426</v>
      </c>
    </row>
    <row r="2706" spans="1:13" x14ac:dyDescent="0.15">
      <c r="A2706" s="1" t="s">
        <v>934</v>
      </c>
      <c r="B2706" s="1" t="s">
        <v>1782</v>
      </c>
      <c r="D2706" s="1" t="s">
        <v>2688</v>
      </c>
      <c r="E2706" s="1" t="s">
        <v>803</v>
      </c>
      <c r="F2706" s="3">
        <v>0</v>
      </c>
      <c r="G2706" s="24" t="s">
        <v>7912</v>
      </c>
      <c r="H2706" s="24" t="s">
        <v>5870</v>
      </c>
      <c r="I2706" s="24" t="s">
        <v>3286</v>
      </c>
      <c r="J2706" s="24" t="s">
        <v>2920</v>
      </c>
      <c r="K2706" s="3">
        <v>28</v>
      </c>
      <c r="L2706" s="3" t="s">
        <v>7059</v>
      </c>
      <c r="M2706" s="3" t="str">
        <f>HYPERLINK("http://ictvonline.org/taxonomyHistory.asp?taxnode_id=20153427","ICTVonline=20153427")</f>
        <v>ICTVonline=20153427</v>
      </c>
    </row>
    <row r="2707" spans="1:13" x14ac:dyDescent="0.15">
      <c r="A2707" s="1" t="s">
        <v>934</v>
      </c>
      <c r="B2707" s="1" t="s">
        <v>1782</v>
      </c>
      <c r="D2707" s="1" t="s">
        <v>2688</v>
      </c>
      <c r="E2707" s="1" t="s">
        <v>2690</v>
      </c>
      <c r="F2707" s="3">
        <v>0</v>
      </c>
      <c r="G2707" s="24" t="s">
        <v>7913</v>
      </c>
      <c r="H2707" s="24" t="s">
        <v>5871</v>
      </c>
      <c r="I2707" s="24" t="s">
        <v>3286</v>
      </c>
      <c r="J2707" s="24" t="s">
        <v>2919</v>
      </c>
      <c r="K2707" s="3">
        <v>28</v>
      </c>
      <c r="L2707" s="3" t="s">
        <v>7059</v>
      </c>
      <c r="M2707" s="3" t="str">
        <f>HYPERLINK("http://ictvonline.org/taxonomyHistory.asp?taxnode_id=20153428","ICTVonline=20153428")</f>
        <v>ICTVonline=20153428</v>
      </c>
    </row>
    <row r="2708" spans="1:13" x14ac:dyDescent="0.15">
      <c r="A2708" s="1" t="s">
        <v>934</v>
      </c>
      <c r="B2708" s="1" t="s">
        <v>1782</v>
      </c>
      <c r="D2708" s="1" t="s">
        <v>2688</v>
      </c>
      <c r="E2708" s="1" t="s">
        <v>2691</v>
      </c>
      <c r="F2708" s="3">
        <v>0</v>
      </c>
      <c r="G2708" s="24" t="s">
        <v>7914</v>
      </c>
      <c r="H2708" s="24" t="s">
        <v>5872</v>
      </c>
      <c r="I2708" s="24" t="s">
        <v>3286</v>
      </c>
      <c r="J2708" s="24" t="s">
        <v>2919</v>
      </c>
      <c r="K2708" s="3">
        <v>28</v>
      </c>
      <c r="L2708" s="3" t="s">
        <v>7059</v>
      </c>
      <c r="M2708" s="3" t="str">
        <f>HYPERLINK("http://ictvonline.org/taxonomyHistory.asp?taxnode_id=20153429","ICTVonline=20153429")</f>
        <v>ICTVonline=20153429</v>
      </c>
    </row>
    <row r="2709" spans="1:13" x14ac:dyDescent="0.15">
      <c r="A2709" s="1" t="s">
        <v>934</v>
      </c>
      <c r="B2709" s="1" t="s">
        <v>1782</v>
      </c>
      <c r="D2709" s="1" t="s">
        <v>2688</v>
      </c>
      <c r="E2709" s="1" t="s">
        <v>2044</v>
      </c>
      <c r="F2709" s="3">
        <v>0</v>
      </c>
      <c r="G2709" s="24" t="s">
        <v>7915</v>
      </c>
      <c r="H2709" s="24" t="s">
        <v>5873</v>
      </c>
      <c r="I2709" s="24" t="s">
        <v>3286</v>
      </c>
      <c r="J2709" s="24" t="s">
        <v>2920</v>
      </c>
      <c r="K2709" s="3">
        <v>28</v>
      </c>
      <c r="L2709" s="3" t="s">
        <v>7059</v>
      </c>
      <c r="M2709" s="3" t="str">
        <f>HYPERLINK("http://ictvonline.org/taxonomyHistory.asp?taxnode_id=20153430","ICTVonline=20153430")</f>
        <v>ICTVonline=20153430</v>
      </c>
    </row>
    <row r="2710" spans="1:13" x14ac:dyDescent="0.15">
      <c r="A2710" s="1" t="s">
        <v>934</v>
      </c>
      <c r="B2710" s="1" t="s">
        <v>1782</v>
      </c>
      <c r="D2710" s="1" t="s">
        <v>2688</v>
      </c>
      <c r="E2710" s="1" t="s">
        <v>2866</v>
      </c>
      <c r="F2710" s="3">
        <v>0</v>
      </c>
      <c r="G2710" s="24" t="s">
        <v>7916</v>
      </c>
      <c r="H2710" s="24" t="s">
        <v>5874</v>
      </c>
      <c r="I2710" s="24" t="s">
        <v>3286</v>
      </c>
      <c r="J2710" s="24" t="s">
        <v>2919</v>
      </c>
      <c r="K2710" s="3">
        <v>28</v>
      </c>
      <c r="L2710" s="3" t="s">
        <v>7059</v>
      </c>
      <c r="M2710" s="3" t="str">
        <f>HYPERLINK("http://ictvonline.org/taxonomyHistory.asp?taxnode_id=20153431","ICTVonline=20153431")</f>
        <v>ICTVonline=20153431</v>
      </c>
    </row>
    <row r="2711" spans="1:13" x14ac:dyDescent="0.15">
      <c r="A2711" s="1" t="s">
        <v>934</v>
      </c>
      <c r="B2711" s="1" t="s">
        <v>1782</v>
      </c>
      <c r="D2711" s="1" t="s">
        <v>2688</v>
      </c>
      <c r="E2711" s="1" t="s">
        <v>5875</v>
      </c>
      <c r="F2711" s="3">
        <v>0</v>
      </c>
      <c r="G2711" s="24" t="s">
        <v>7673</v>
      </c>
      <c r="H2711" s="24" t="s">
        <v>5876</v>
      </c>
      <c r="I2711" s="24" t="s">
        <v>3286</v>
      </c>
      <c r="J2711" s="24" t="s">
        <v>2919</v>
      </c>
      <c r="K2711" s="3">
        <v>30</v>
      </c>
      <c r="L2711" s="3" t="s">
        <v>5861</v>
      </c>
      <c r="M2711" s="3" t="str">
        <f>HYPERLINK("http://ictvonline.org/taxonomyHistory.asp?taxnode_id=20153441","ICTVonline=20153441")</f>
        <v>ICTVonline=20153441</v>
      </c>
    </row>
    <row r="2712" spans="1:13" x14ac:dyDescent="0.15">
      <c r="A2712" s="1" t="s">
        <v>934</v>
      </c>
      <c r="B2712" s="1" t="s">
        <v>1782</v>
      </c>
      <c r="D2712" s="1" t="s">
        <v>2688</v>
      </c>
      <c r="E2712" s="1" t="s">
        <v>2867</v>
      </c>
      <c r="F2712" s="3">
        <v>0</v>
      </c>
      <c r="G2712" s="24" t="s">
        <v>7917</v>
      </c>
      <c r="H2712" s="24" t="s">
        <v>5877</v>
      </c>
      <c r="I2712" s="24" t="s">
        <v>3286</v>
      </c>
      <c r="J2712" s="24" t="s">
        <v>2919</v>
      </c>
      <c r="K2712" s="3">
        <v>28</v>
      </c>
      <c r="L2712" s="3" t="s">
        <v>7059</v>
      </c>
      <c r="M2712" s="3" t="str">
        <f>HYPERLINK("http://ictvonline.org/taxonomyHistory.asp?taxnode_id=20153432","ICTVonline=20153432")</f>
        <v>ICTVonline=20153432</v>
      </c>
    </row>
    <row r="2713" spans="1:13" x14ac:dyDescent="0.15">
      <c r="A2713" s="1" t="s">
        <v>934</v>
      </c>
      <c r="B2713" s="1" t="s">
        <v>1782</v>
      </c>
      <c r="D2713" s="1" t="s">
        <v>2688</v>
      </c>
      <c r="E2713" s="1" t="s">
        <v>2868</v>
      </c>
      <c r="F2713" s="3">
        <v>0</v>
      </c>
      <c r="G2713" s="24" t="s">
        <v>5878</v>
      </c>
      <c r="H2713" s="24" t="s">
        <v>5879</v>
      </c>
      <c r="I2713" s="24" t="s">
        <v>3286</v>
      </c>
      <c r="J2713" s="24" t="s">
        <v>2923</v>
      </c>
      <c r="K2713" s="3">
        <v>28</v>
      </c>
      <c r="L2713" s="3" t="s">
        <v>7059</v>
      </c>
      <c r="M2713" s="3" t="str">
        <f>HYPERLINK("http://ictvonline.org/taxonomyHistory.asp?taxnode_id=20153433","ICTVonline=20153433")</f>
        <v>ICTVonline=20153433</v>
      </c>
    </row>
    <row r="2714" spans="1:13" x14ac:dyDescent="0.15">
      <c r="A2714" s="1" t="s">
        <v>934</v>
      </c>
      <c r="B2714" s="1" t="s">
        <v>1782</v>
      </c>
      <c r="D2714" s="1" t="s">
        <v>2688</v>
      </c>
      <c r="E2714" s="1" t="s">
        <v>633</v>
      </c>
      <c r="F2714" s="3">
        <v>0</v>
      </c>
      <c r="G2714" s="24" t="s">
        <v>7918</v>
      </c>
      <c r="H2714" s="24" t="s">
        <v>5880</v>
      </c>
      <c r="I2714" s="24" t="s">
        <v>3286</v>
      </c>
      <c r="J2714" s="24" t="s">
        <v>2920</v>
      </c>
      <c r="K2714" s="3">
        <v>28</v>
      </c>
      <c r="L2714" s="3" t="s">
        <v>7059</v>
      </c>
      <c r="M2714" s="3" t="str">
        <f>HYPERLINK("http://ictvonline.org/taxonomyHistory.asp?taxnode_id=20153434","ICTVonline=20153434")</f>
        <v>ICTVonline=20153434</v>
      </c>
    </row>
    <row r="2715" spans="1:13" x14ac:dyDescent="0.15">
      <c r="A2715" s="1" t="s">
        <v>934</v>
      </c>
      <c r="B2715" s="1" t="s">
        <v>1782</v>
      </c>
      <c r="D2715" s="1" t="s">
        <v>2688</v>
      </c>
      <c r="E2715" s="1" t="s">
        <v>1297</v>
      </c>
      <c r="F2715" s="3">
        <v>0</v>
      </c>
      <c r="G2715" s="24" t="s">
        <v>7919</v>
      </c>
      <c r="H2715" s="24" t="s">
        <v>4886</v>
      </c>
      <c r="I2715" s="24" t="s">
        <v>3286</v>
      </c>
      <c r="J2715" s="24" t="s">
        <v>2920</v>
      </c>
      <c r="K2715" s="3">
        <v>28</v>
      </c>
      <c r="L2715" s="3" t="s">
        <v>7059</v>
      </c>
      <c r="M2715" s="3" t="str">
        <f>HYPERLINK("http://ictvonline.org/taxonomyHistory.asp?taxnode_id=20153435","ICTVonline=20153435")</f>
        <v>ICTVonline=20153435</v>
      </c>
    </row>
    <row r="2716" spans="1:13" x14ac:dyDescent="0.15">
      <c r="A2716" s="1" t="s">
        <v>934</v>
      </c>
      <c r="B2716" s="1" t="s">
        <v>1782</v>
      </c>
      <c r="D2716" s="1" t="s">
        <v>2688</v>
      </c>
      <c r="E2716" s="1" t="s">
        <v>2692</v>
      </c>
      <c r="F2716" s="3">
        <v>0</v>
      </c>
      <c r="G2716" s="24" t="s">
        <v>7920</v>
      </c>
      <c r="H2716" s="24" t="s">
        <v>5382</v>
      </c>
      <c r="I2716" s="24" t="s">
        <v>3286</v>
      </c>
      <c r="J2716" s="24" t="s">
        <v>2919</v>
      </c>
      <c r="K2716" s="3">
        <v>28</v>
      </c>
      <c r="L2716" s="3" t="s">
        <v>7059</v>
      </c>
      <c r="M2716" s="3" t="str">
        <f>HYPERLINK("http://ictvonline.org/taxonomyHistory.asp?taxnode_id=20153436","ICTVonline=20153436")</f>
        <v>ICTVonline=20153436</v>
      </c>
    </row>
    <row r="2717" spans="1:13" x14ac:dyDescent="0.15">
      <c r="A2717" s="1" t="s">
        <v>934</v>
      </c>
      <c r="B2717" s="1" t="s">
        <v>1782</v>
      </c>
      <c r="D2717" s="1" t="s">
        <v>2688</v>
      </c>
      <c r="E2717" s="1" t="s">
        <v>634</v>
      </c>
      <c r="F2717" s="3">
        <v>0</v>
      </c>
      <c r="G2717" s="24" t="s">
        <v>7921</v>
      </c>
      <c r="H2717" s="24" t="s">
        <v>5881</v>
      </c>
      <c r="I2717" s="24" t="s">
        <v>3286</v>
      </c>
      <c r="J2717" s="24" t="s">
        <v>2920</v>
      </c>
      <c r="K2717" s="3">
        <v>28</v>
      </c>
      <c r="L2717" s="3" t="s">
        <v>7059</v>
      </c>
      <c r="M2717" s="3" t="str">
        <f>HYPERLINK("http://ictvonline.org/taxonomyHistory.asp?taxnode_id=20153437","ICTVonline=20153437")</f>
        <v>ICTVonline=20153437</v>
      </c>
    </row>
    <row r="2718" spans="1:13" x14ac:dyDescent="0.15">
      <c r="A2718" s="1" t="s">
        <v>934</v>
      </c>
      <c r="B2718" s="1" t="s">
        <v>1782</v>
      </c>
      <c r="D2718" s="1" t="s">
        <v>2688</v>
      </c>
      <c r="E2718" s="1" t="s">
        <v>919</v>
      </c>
      <c r="F2718" s="3">
        <v>0</v>
      </c>
      <c r="G2718" s="24" t="s">
        <v>7922</v>
      </c>
      <c r="H2718" s="24" t="s">
        <v>6736</v>
      </c>
      <c r="I2718" s="24" t="s">
        <v>3286</v>
      </c>
      <c r="J2718" s="24" t="s">
        <v>2920</v>
      </c>
      <c r="K2718" s="3">
        <v>28</v>
      </c>
      <c r="L2718" s="3" t="s">
        <v>7059</v>
      </c>
      <c r="M2718" s="3" t="str">
        <f>HYPERLINK("http://ictvonline.org/taxonomyHistory.asp?taxnode_id=20153438","ICTVonline=20153438")</f>
        <v>ICTVonline=20153438</v>
      </c>
    </row>
    <row r="2719" spans="1:13" x14ac:dyDescent="0.15">
      <c r="A2719" s="1" t="s">
        <v>934</v>
      </c>
      <c r="B2719" s="1" t="s">
        <v>1782</v>
      </c>
      <c r="D2719" s="1" t="s">
        <v>2688</v>
      </c>
      <c r="E2719" s="1" t="s">
        <v>1613</v>
      </c>
      <c r="F2719" s="3">
        <v>0</v>
      </c>
      <c r="G2719" s="24" t="s">
        <v>7923</v>
      </c>
      <c r="H2719" s="24" t="s">
        <v>5882</v>
      </c>
      <c r="I2719" s="24" t="s">
        <v>3286</v>
      </c>
      <c r="J2719" s="24" t="s">
        <v>2920</v>
      </c>
      <c r="K2719" s="3">
        <v>28</v>
      </c>
      <c r="L2719" s="3" t="s">
        <v>7059</v>
      </c>
      <c r="M2719" s="3" t="str">
        <f>HYPERLINK("http://ictvonline.org/taxonomyHistory.asp?taxnode_id=20153439","ICTVonline=20153439")</f>
        <v>ICTVonline=20153439</v>
      </c>
    </row>
    <row r="2720" spans="1:13" x14ac:dyDescent="0.15">
      <c r="A2720" s="1" t="s">
        <v>934</v>
      </c>
      <c r="B2720" s="1" t="s">
        <v>1782</v>
      </c>
      <c r="D2720" s="1" t="s">
        <v>2688</v>
      </c>
      <c r="E2720" s="1" t="s">
        <v>635</v>
      </c>
      <c r="F2720" s="3">
        <v>0</v>
      </c>
      <c r="G2720" s="24" t="s">
        <v>7924</v>
      </c>
      <c r="H2720" s="24" t="s">
        <v>5482</v>
      </c>
      <c r="I2720" s="24" t="s">
        <v>3286</v>
      </c>
      <c r="J2720" s="24" t="s">
        <v>2920</v>
      </c>
      <c r="K2720" s="3">
        <v>28</v>
      </c>
      <c r="L2720" s="3" t="s">
        <v>7059</v>
      </c>
      <c r="M2720" s="3" t="str">
        <f>HYPERLINK("http://ictvonline.org/taxonomyHistory.asp?taxnode_id=20153440","ICTVonline=20153440")</f>
        <v>ICTVonline=20153440</v>
      </c>
    </row>
    <row r="2721" spans="1:13" x14ac:dyDescent="0.15">
      <c r="A2721" s="1" t="s">
        <v>934</v>
      </c>
      <c r="B2721" s="1" t="s">
        <v>1782</v>
      </c>
      <c r="D2721" s="1" t="s">
        <v>1298</v>
      </c>
      <c r="E2721" s="1" t="s">
        <v>298</v>
      </c>
      <c r="F2721" s="3">
        <v>1</v>
      </c>
      <c r="G2721" s="24" t="s">
        <v>7925</v>
      </c>
      <c r="H2721" s="24" t="s">
        <v>5883</v>
      </c>
      <c r="I2721" s="24" t="s">
        <v>3286</v>
      </c>
      <c r="J2721" s="24" t="s">
        <v>2921</v>
      </c>
      <c r="K2721" s="3">
        <v>25</v>
      </c>
      <c r="L2721" s="3" t="s">
        <v>7060</v>
      </c>
      <c r="M2721" s="3" t="str">
        <f>HYPERLINK("http://ictvonline.org/taxonomyHistory.asp?taxnode_id=20153443","ICTVonline=20153443")</f>
        <v>ICTVonline=20153443</v>
      </c>
    </row>
    <row r="2722" spans="1:13" x14ac:dyDescent="0.15">
      <c r="A2722" s="1" t="s">
        <v>934</v>
      </c>
      <c r="B2722" s="1" t="s">
        <v>1782</v>
      </c>
      <c r="D2722" s="1" t="s">
        <v>2693</v>
      </c>
      <c r="E2722" s="1" t="s">
        <v>984</v>
      </c>
      <c r="F2722" s="3">
        <v>0</v>
      </c>
      <c r="G2722" s="24" t="s">
        <v>7926</v>
      </c>
      <c r="H2722" s="24" t="s">
        <v>5853</v>
      </c>
      <c r="I2722" s="24" t="s">
        <v>3286</v>
      </c>
      <c r="J2722" s="24" t="s">
        <v>2920</v>
      </c>
      <c r="K2722" s="3">
        <v>28</v>
      </c>
      <c r="L2722" s="3" t="s">
        <v>7059</v>
      </c>
      <c r="M2722" s="3" t="str">
        <f>HYPERLINK("http://ictvonline.org/taxonomyHistory.asp?taxnode_id=20153445","ICTVonline=20153445")</f>
        <v>ICTVonline=20153445</v>
      </c>
    </row>
    <row r="2723" spans="1:13" x14ac:dyDescent="0.15">
      <c r="A2723" s="1" t="s">
        <v>934</v>
      </c>
      <c r="B2723" s="1" t="s">
        <v>1782</v>
      </c>
      <c r="D2723" s="1" t="s">
        <v>2693</v>
      </c>
      <c r="E2723" s="1" t="s">
        <v>985</v>
      </c>
      <c r="F2723" s="3">
        <v>0</v>
      </c>
      <c r="G2723" s="24" t="s">
        <v>5884</v>
      </c>
      <c r="H2723" s="24" t="s">
        <v>5885</v>
      </c>
      <c r="I2723" s="24" t="s">
        <v>3286</v>
      </c>
      <c r="J2723" s="24" t="s">
        <v>2920</v>
      </c>
      <c r="K2723" s="3">
        <v>28</v>
      </c>
      <c r="L2723" s="3" t="s">
        <v>7059</v>
      </c>
      <c r="M2723" s="3" t="str">
        <f>HYPERLINK("http://ictvonline.org/taxonomyHistory.asp?taxnode_id=20153446","ICTVonline=20153446")</f>
        <v>ICTVonline=20153446</v>
      </c>
    </row>
    <row r="2724" spans="1:13" x14ac:dyDescent="0.15">
      <c r="A2724" s="1" t="s">
        <v>934</v>
      </c>
      <c r="B2724" s="1" t="s">
        <v>1782</v>
      </c>
      <c r="D2724" s="1" t="s">
        <v>2693</v>
      </c>
      <c r="E2724" s="1" t="s">
        <v>2694</v>
      </c>
      <c r="F2724" s="3">
        <v>0</v>
      </c>
      <c r="G2724" s="24" t="s">
        <v>7927</v>
      </c>
      <c r="H2724" s="24" t="s">
        <v>5886</v>
      </c>
      <c r="I2724" s="24" t="s">
        <v>3286</v>
      </c>
      <c r="J2724" s="24" t="s">
        <v>2919</v>
      </c>
      <c r="K2724" s="3">
        <v>28</v>
      </c>
      <c r="L2724" s="3" t="s">
        <v>7059</v>
      </c>
      <c r="M2724" s="3" t="str">
        <f>HYPERLINK("http://ictvonline.org/taxonomyHistory.asp?taxnode_id=20153447","ICTVonline=20153447")</f>
        <v>ICTVonline=20153447</v>
      </c>
    </row>
    <row r="2725" spans="1:13" x14ac:dyDescent="0.15">
      <c r="A2725" s="1" t="s">
        <v>934</v>
      </c>
      <c r="B2725" s="1" t="s">
        <v>1782</v>
      </c>
      <c r="D2725" s="1" t="s">
        <v>2693</v>
      </c>
      <c r="E2725" s="1" t="s">
        <v>2695</v>
      </c>
      <c r="F2725" s="3">
        <v>1</v>
      </c>
      <c r="G2725" s="24" t="s">
        <v>5887</v>
      </c>
      <c r="H2725" s="24" t="s">
        <v>5888</v>
      </c>
      <c r="I2725" s="24" t="s">
        <v>3286</v>
      </c>
      <c r="J2725" s="24" t="s">
        <v>2919</v>
      </c>
      <c r="K2725" s="3">
        <v>28</v>
      </c>
      <c r="L2725" s="3" t="s">
        <v>7059</v>
      </c>
      <c r="M2725" s="3" t="str">
        <f>HYPERLINK("http://ictvonline.org/taxonomyHistory.asp?taxnode_id=20153448","ICTVonline=20153448")</f>
        <v>ICTVonline=20153448</v>
      </c>
    </row>
    <row r="2726" spans="1:13" x14ac:dyDescent="0.15">
      <c r="A2726" s="1" t="s">
        <v>934</v>
      </c>
      <c r="B2726" s="1" t="s">
        <v>1782</v>
      </c>
      <c r="D2726" s="1" t="s">
        <v>2693</v>
      </c>
      <c r="E2726" s="1" t="s">
        <v>2696</v>
      </c>
      <c r="F2726" s="3">
        <v>0</v>
      </c>
      <c r="G2726" s="24" t="s">
        <v>7928</v>
      </c>
      <c r="H2726" s="24" t="s">
        <v>5889</v>
      </c>
      <c r="I2726" s="24" t="s">
        <v>3286</v>
      </c>
      <c r="J2726" s="24" t="s">
        <v>2919</v>
      </c>
      <c r="K2726" s="3">
        <v>28</v>
      </c>
      <c r="L2726" s="3" t="s">
        <v>7059</v>
      </c>
      <c r="M2726" s="3" t="str">
        <f>HYPERLINK("http://ictvonline.org/taxonomyHistory.asp?taxnode_id=20153449","ICTVonline=20153449")</f>
        <v>ICTVonline=20153449</v>
      </c>
    </row>
    <row r="2727" spans="1:13" x14ac:dyDescent="0.15">
      <c r="A2727" s="1" t="s">
        <v>934</v>
      </c>
      <c r="B2727" s="1" t="s">
        <v>1782</v>
      </c>
      <c r="D2727" s="1" t="s">
        <v>2697</v>
      </c>
      <c r="E2727" s="1" t="s">
        <v>637</v>
      </c>
      <c r="F2727" s="3">
        <v>0</v>
      </c>
      <c r="G2727" s="24" t="s">
        <v>7929</v>
      </c>
      <c r="H2727" s="24" t="s">
        <v>5890</v>
      </c>
      <c r="I2727" s="24" t="s">
        <v>3286</v>
      </c>
      <c r="J2727" s="24" t="s">
        <v>2920</v>
      </c>
      <c r="K2727" s="3">
        <v>28</v>
      </c>
      <c r="L2727" s="3" t="s">
        <v>7059</v>
      </c>
      <c r="M2727" s="3" t="str">
        <f>HYPERLINK("http://ictvonline.org/taxonomyHistory.asp?taxnode_id=20153451","ICTVonline=20153451")</f>
        <v>ICTVonline=20153451</v>
      </c>
    </row>
    <row r="2728" spans="1:13" x14ac:dyDescent="0.15">
      <c r="A2728" s="1" t="s">
        <v>934</v>
      </c>
      <c r="B2728" s="1" t="s">
        <v>1782</v>
      </c>
      <c r="D2728" s="1" t="s">
        <v>2697</v>
      </c>
      <c r="E2728" s="1" t="s">
        <v>1706</v>
      </c>
      <c r="F2728" s="3">
        <v>0</v>
      </c>
      <c r="G2728" s="24" t="s">
        <v>7930</v>
      </c>
      <c r="H2728" s="24" t="s">
        <v>6737</v>
      </c>
      <c r="I2728" s="24" t="s">
        <v>3286</v>
      </c>
      <c r="J2728" s="24" t="s">
        <v>2920</v>
      </c>
      <c r="K2728" s="3">
        <v>28</v>
      </c>
      <c r="L2728" s="3" t="s">
        <v>7059</v>
      </c>
      <c r="M2728" s="3" t="str">
        <f>HYPERLINK("http://ictvonline.org/taxonomyHistory.asp?taxnode_id=20153452","ICTVonline=20153452")</f>
        <v>ICTVonline=20153452</v>
      </c>
    </row>
    <row r="2729" spans="1:13" x14ac:dyDescent="0.15">
      <c r="A2729" s="1" t="s">
        <v>934</v>
      </c>
      <c r="B2729" s="1" t="s">
        <v>1782</v>
      </c>
      <c r="D2729" s="1" t="s">
        <v>2697</v>
      </c>
      <c r="E2729" s="1" t="s">
        <v>2043</v>
      </c>
      <c r="F2729" s="3">
        <v>0</v>
      </c>
      <c r="G2729" s="24" t="s">
        <v>7931</v>
      </c>
      <c r="H2729" s="24" t="s">
        <v>5891</v>
      </c>
      <c r="I2729" s="24" t="s">
        <v>3286</v>
      </c>
      <c r="J2729" s="24" t="s">
        <v>2920</v>
      </c>
      <c r="K2729" s="3">
        <v>28</v>
      </c>
      <c r="L2729" s="3" t="s">
        <v>7059</v>
      </c>
      <c r="M2729" s="3" t="str">
        <f>HYPERLINK("http://ictvonline.org/taxonomyHistory.asp?taxnode_id=20153453","ICTVonline=20153453")</f>
        <v>ICTVonline=20153453</v>
      </c>
    </row>
    <row r="2730" spans="1:13" x14ac:dyDescent="0.15">
      <c r="A2730" s="1" t="s">
        <v>934</v>
      </c>
      <c r="B2730" s="1" t="s">
        <v>1782</v>
      </c>
      <c r="D2730" s="1" t="s">
        <v>2697</v>
      </c>
      <c r="E2730" s="1" t="s">
        <v>2045</v>
      </c>
      <c r="F2730" s="3">
        <v>0</v>
      </c>
      <c r="G2730" s="24" t="s">
        <v>7932</v>
      </c>
      <c r="H2730" s="24" t="s">
        <v>5892</v>
      </c>
      <c r="I2730" s="24" t="s">
        <v>3286</v>
      </c>
      <c r="J2730" s="24" t="s">
        <v>2920</v>
      </c>
      <c r="K2730" s="3">
        <v>28</v>
      </c>
      <c r="L2730" s="3" t="s">
        <v>7059</v>
      </c>
      <c r="M2730" s="3" t="str">
        <f>HYPERLINK("http://ictvonline.org/taxonomyHistory.asp?taxnode_id=20153454","ICTVonline=20153454")</f>
        <v>ICTVonline=20153454</v>
      </c>
    </row>
    <row r="2731" spans="1:13" x14ac:dyDescent="0.15">
      <c r="A2731" s="1" t="s">
        <v>934</v>
      </c>
      <c r="B2731" s="1" t="s">
        <v>1782</v>
      </c>
      <c r="D2731" s="1" t="s">
        <v>2697</v>
      </c>
      <c r="E2731" s="1" t="s">
        <v>926</v>
      </c>
      <c r="F2731" s="3">
        <v>0</v>
      </c>
      <c r="G2731" s="24" t="s">
        <v>7933</v>
      </c>
      <c r="H2731" s="24" t="s">
        <v>5893</v>
      </c>
      <c r="I2731" s="24" t="s">
        <v>3286</v>
      </c>
      <c r="J2731" s="24" t="s">
        <v>2920</v>
      </c>
      <c r="K2731" s="3">
        <v>28</v>
      </c>
      <c r="L2731" s="3" t="s">
        <v>7059</v>
      </c>
      <c r="M2731" s="3" t="str">
        <f>HYPERLINK("http://ictvonline.org/taxonomyHistory.asp?taxnode_id=20153455","ICTVonline=20153455")</f>
        <v>ICTVonline=20153455</v>
      </c>
    </row>
    <row r="2732" spans="1:13" x14ac:dyDescent="0.15">
      <c r="A2732" s="1" t="s">
        <v>934</v>
      </c>
      <c r="B2732" s="1" t="s">
        <v>1782</v>
      </c>
      <c r="D2732" s="1" t="s">
        <v>2697</v>
      </c>
      <c r="E2732" s="1" t="s">
        <v>1295</v>
      </c>
      <c r="F2732" s="3">
        <v>0</v>
      </c>
      <c r="G2732" s="24" t="s">
        <v>7934</v>
      </c>
      <c r="H2732" s="24" t="s">
        <v>5894</v>
      </c>
      <c r="I2732" s="24" t="s">
        <v>3286</v>
      </c>
      <c r="J2732" s="24" t="s">
        <v>2920</v>
      </c>
      <c r="K2732" s="3">
        <v>28</v>
      </c>
      <c r="L2732" s="3" t="s">
        <v>7059</v>
      </c>
      <c r="M2732" s="3" t="str">
        <f>HYPERLINK("http://ictvonline.org/taxonomyHistory.asp?taxnode_id=20153456","ICTVonline=20153456")</f>
        <v>ICTVonline=20153456</v>
      </c>
    </row>
    <row r="2733" spans="1:13" x14ac:dyDescent="0.15">
      <c r="A2733" s="1" t="s">
        <v>934</v>
      </c>
      <c r="B2733" s="1" t="s">
        <v>1782</v>
      </c>
      <c r="D2733" s="1" t="s">
        <v>2697</v>
      </c>
      <c r="E2733" s="1" t="s">
        <v>1296</v>
      </c>
      <c r="F2733" s="3">
        <v>0</v>
      </c>
      <c r="G2733" s="24" t="s">
        <v>7935</v>
      </c>
      <c r="H2733" s="24" t="s">
        <v>4744</v>
      </c>
      <c r="I2733" s="24" t="s">
        <v>3286</v>
      </c>
      <c r="J2733" s="24" t="s">
        <v>2920</v>
      </c>
      <c r="K2733" s="3">
        <v>28</v>
      </c>
      <c r="L2733" s="3" t="s">
        <v>7059</v>
      </c>
      <c r="M2733" s="3" t="str">
        <f>HYPERLINK("http://ictvonline.org/taxonomyHistory.asp?taxnode_id=20153457","ICTVonline=20153457")</f>
        <v>ICTVonline=20153457</v>
      </c>
    </row>
    <row r="2734" spans="1:13" x14ac:dyDescent="0.15">
      <c r="A2734" s="1" t="s">
        <v>934</v>
      </c>
      <c r="B2734" s="1" t="s">
        <v>1782</v>
      </c>
      <c r="D2734" s="1" t="s">
        <v>2697</v>
      </c>
      <c r="E2734" s="1" t="s">
        <v>918</v>
      </c>
      <c r="F2734" s="3">
        <v>1</v>
      </c>
      <c r="G2734" s="24" t="s">
        <v>7936</v>
      </c>
      <c r="H2734" s="24" t="s">
        <v>5895</v>
      </c>
      <c r="I2734" s="24" t="s">
        <v>3286</v>
      </c>
      <c r="J2734" s="24" t="s">
        <v>2920</v>
      </c>
      <c r="K2734" s="3">
        <v>28</v>
      </c>
      <c r="L2734" s="3" t="s">
        <v>7059</v>
      </c>
      <c r="M2734" s="3" t="str">
        <f>HYPERLINK("http://ictvonline.org/taxonomyHistory.asp?taxnode_id=20153458","ICTVonline=20153458")</f>
        <v>ICTVonline=20153458</v>
      </c>
    </row>
    <row r="2735" spans="1:13" x14ac:dyDescent="0.15">
      <c r="A2735" s="1" t="s">
        <v>934</v>
      </c>
      <c r="B2735" s="1" t="s">
        <v>1782</v>
      </c>
      <c r="D2735" s="1" t="s">
        <v>934</v>
      </c>
      <c r="E2735" s="1" t="s">
        <v>636</v>
      </c>
      <c r="F2735" s="3">
        <v>0</v>
      </c>
      <c r="I2735" s="24" t="s">
        <v>3286</v>
      </c>
      <c r="J2735" s="24" t="s">
        <v>2920</v>
      </c>
      <c r="K2735" s="3">
        <v>28</v>
      </c>
      <c r="L2735" s="3" t="s">
        <v>7059</v>
      </c>
      <c r="M2735" s="3" t="str">
        <f>HYPERLINK("http://ictvonline.org/taxonomyHistory.asp?taxnode_id=20153460","ICTVonline=20153460")</f>
        <v>ICTVonline=20153460</v>
      </c>
    </row>
    <row r="2736" spans="1:13" x14ac:dyDescent="0.15">
      <c r="A2736" s="1" t="s">
        <v>934</v>
      </c>
      <c r="B2736" s="1" t="s">
        <v>1782</v>
      </c>
      <c r="D2736" s="1" t="s">
        <v>934</v>
      </c>
      <c r="E2736" s="1" t="s">
        <v>982</v>
      </c>
      <c r="F2736" s="3">
        <v>0</v>
      </c>
      <c r="I2736" s="24" t="s">
        <v>3286</v>
      </c>
      <c r="J2736" s="24" t="s">
        <v>2920</v>
      </c>
      <c r="K2736" s="3">
        <v>28</v>
      </c>
      <c r="L2736" s="3" t="s">
        <v>7059</v>
      </c>
      <c r="M2736" s="3" t="str">
        <f>HYPERLINK("http://ictvonline.org/taxonomyHistory.asp?taxnode_id=20153461","ICTVonline=20153461")</f>
        <v>ICTVonline=20153461</v>
      </c>
    </row>
    <row r="2737" spans="1:13" x14ac:dyDescent="0.15">
      <c r="A2737" s="1" t="s">
        <v>934</v>
      </c>
      <c r="B2737" s="1" t="s">
        <v>1782</v>
      </c>
      <c r="D2737" s="1" t="s">
        <v>934</v>
      </c>
      <c r="E2737" s="1" t="s">
        <v>986</v>
      </c>
      <c r="F2737" s="3">
        <v>0</v>
      </c>
      <c r="I2737" s="24" t="s">
        <v>3286</v>
      </c>
      <c r="J2737" s="24" t="s">
        <v>2920</v>
      </c>
      <c r="K2737" s="3">
        <v>28</v>
      </c>
      <c r="L2737" s="3" t="s">
        <v>7059</v>
      </c>
      <c r="M2737" s="3" t="str">
        <f>HYPERLINK("http://ictvonline.org/taxonomyHistory.asp?taxnode_id=20153462","ICTVonline=20153462")</f>
        <v>ICTVonline=20153462</v>
      </c>
    </row>
    <row r="2738" spans="1:13" x14ac:dyDescent="0.15">
      <c r="A2738" s="1" t="s">
        <v>934</v>
      </c>
      <c r="B2738" s="1" t="s">
        <v>1782</v>
      </c>
      <c r="D2738" s="1" t="s">
        <v>934</v>
      </c>
      <c r="E2738" s="1" t="s">
        <v>987</v>
      </c>
      <c r="F2738" s="3">
        <v>0</v>
      </c>
      <c r="I2738" s="24" t="s">
        <v>3286</v>
      </c>
      <c r="J2738" s="24" t="s">
        <v>2920</v>
      </c>
      <c r="K2738" s="3">
        <v>28</v>
      </c>
      <c r="L2738" s="3" t="s">
        <v>7059</v>
      </c>
      <c r="M2738" s="3" t="str">
        <f>HYPERLINK("http://ictvonline.org/taxonomyHistory.asp?taxnode_id=20153463","ICTVonline=20153463")</f>
        <v>ICTVonline=20153463</v>
      </c>
    </row>
    <row r="2739" spans="1:13" x14ac:dyDescent="0.15">
      <c r="A2739" s="1" t="s">
        <v>934</v>
      </c>
      <c r="B2739" s="1" t="s">
        <v>1782</v>
      </c>
      <c r="D2739" s="1" t="s">
        <v>934</v>
      </c>
      <c r="E2739" s="1" t="s">
        <v>632</v>
      </c>
      <c r="F2739" s="3">
        <v>0</v>
      </c>
      <c r="I2739" s="24" t="s">
        <v>3286</v>
      </c>
      <c r="J2739" s="24" t="s">
        <v>2920</v>
      </c>
      <c r="K2739" s="3">
        <v>28</v>
      </c>
      <c r="L2739" s="3" t="s">
        <v>7059</v>
      </c>
      <c r="M2739" s="3" t="str">
        <f>HYPERLINK("http://ictvonline.org/taxonomyHistory.asp?taxnode_id=20153464","ICTVonline=20153464")</f>
        <v>ICTVonline=20153464</v>
      </c>
    </row>
    <row r="2740" spans="1:13" x14ac:dyDescent="0.15">
      <c r="A2740" s="1" t="s">
        <v>934</v>
      </c>
      <c r="B2740" s="1" t="s">
        <v>1782</v>
      </c>
      <c r="D2740" s="1" t="s">
        <v>934</v>
      </c>
      <c r="E2740" s="1" t="s">
        <v>988</v>
      </c>
      <c r="F2740" s="3">
        <v>0</v>
      </c>
      <c r="I2740" s="24" t="s">
        <v>3286</v>
      </c>
      <c r="J2740" s="24" t="s">
        <v>2920</v>
      </c>
      <c r="K2740" s="3">
        <v>28</v>
      </c>
      <c r="L2740" s="3" t="s">
        <v>7059</v>
      </c>
      <c r="M2740" s="3" t="str">
        <f>HYPERLINK("http://ictvonline.org/taxonomyHistory.asp?taxnode_id=20153465","ICTVonline=20153465")</f>
        <v>ICTVonline=20153465</v>
      </c>
    </row>
    <row r="2741" spans="1:13" x14ac:dyDescent="0.15">
      <c r="A2741" s="1" t="s">
        <v>934</v>
      </c>
      <c r="B2741" s="1" t="s">
        <v>1782</v>
      </c>
      <c r="D2741" s="1" t="s">
        <v>934</v>
      </c>
      <c r="E2741" s="1" t="s">
        <v>989</v>
      </c>
      <c r="F2741" s="3">
        <v>0</v>
      </c>
      <c r="I2741" s="24" t="s">
        <v>3286</v>
      </c>
      <c r="J2741" s="24" t="s">
        <v>2920</v>
      </c>
      <c r="K2741" s="3">
        <v>28</v>
      </c>
      <c r="L2741" s="3" t="s">
        <v>7059</v>
      </c>
      <c r="M2741" s="3" t="str">
        <f>HYPERLINK("http://ictvonline.org/taxonomyHistory.asp?taxnode_id=20153466","ICTVonline=20153466")</f>
        <v>ICTVonline=20153466</v>
      </c>
    </row>
    <row r="2742" spans="1:13" x14ac:dyDescent="0.15">
      <c r="A2742" s="1" t="s">
        <v>934</v>
      </c>
      <c r="B2742" s="1" t="s">
        <v>1782</v>
      </c>
      <c r="D2742" s="1" t="s">
        <v>934</v>
      </c>
      <c r="E2742" s="1" t="s">
        <v>1710</v>
      </c>
      <c r="F2742" s="3">
        <v>0</v>
      </c>
      <c r="I2742" s="24" t="s">
        <v>3286</v>
      </c>
      <c r="J2742" s="24" t="s">
        <v>2920</v>
      </c>
      <c r="K2742" s="3">
        <v>28</v>
      </c>
      <c r="L2742" s="3" t="s">
        <v>7059</v>
      </c>
      <c r="M2742" s="3" t="str">
        <f>HYPERLINK("http://ictvonline.org/taxonomyHistory.asp?taxnode_id=20153467","ICTVonline=20153467")</f>
        <v>ICTVonline=20153467</v>
      </c>
    </row>
    <row r="2743" spans="1:13" x14ac:dyDescent="0.15">
      <c r="A2743" s="1" t="s">
        <v>934</v>
      </c>
      <c r="B2743" s="1" t="s">
        <v>1782</v>
      </c>
      <c r="D2743" s="1" t="s">
        <v>934</v>
      </c>
      <c r="E2743" s="1" t="s">
        <v>2049</v>
      </c>
      <c r="F2743" s="3">
        <v>0</v>
      </c>
      <c r="I2743" s="24" t="s">
        <v>3286</v>
      </c>
      <c r="J2743" s="24" t="s">
        <v>2920</v>
      </c>
      <c r="K2743" s="3">
        <v>28</v>
      </c>
      <c r="L2743" s="3" t="s">
        <v>7059</v>
      </c>
      <c r="M2743" s="3" t="str">
        <f>HYPERLINK("http://ictvonline.org/taxonomyHistory.asp?taxnode_id=20153468","ICTVonline=20153468")</f>
        <v>ICTVonline=20153468</v>
      </c>
    </row>
    <row r="2744" spans="1:13" x14ac:dyDescent="0.15">
      <c r="A2744" s="1" t="s">
        <v>934</v>
      </c>
      <c r="B2744" s="1" t="s">
        <v>1782</v>
      </c>
      <c r="D2744" s="1" t="s">
        <v>934</v>
      </c>
      <c r="E2744" s="1" t="s">
        <v>904</v>
      </c>
      <c r="F2744" s="3">
        <v>0</v>
      </c>
      <c r="I2744" s="24" t="s">
        <v>3286</v>
      </c>
      <c r="J2744" s="24" t="s">
        <v>2920</v>
      </c>
      <c r="K2744" s="3">
        <v>28</v>
      </c>
      <c r="L2744" s="3" t="s">
        <v>7059</v>
      </c>
      <c r="M2744" s="3" t="str">
        <f>HYPERLINK("http://ictvonline.org/taxonomyHistory.asp?taxnode_id=20153469","ICTVonline=20153469")</f>
        <v>ICTVonline=20153469</v>
      </c>
    </row>
    <row r="2745" spans="1:13" x14ac:dyDescent="0.15">
      <c r="A2745" s="1" t="s">
        <v>934</v>
      </c>
      <c r="B2745" s="1" t="s">
        <v>1782</v>
      </c>
      <c r="D2745" s="1" t="s">
        <v>934</v>
      </c>
      <c r="E2745" s="1" t="s">
        <v>905</v>
      </c>
      <c r="F2745" s="3">
        <v>0</v>
      </c>
      <c r="I2745" s="24" t="s">
        <v>3286</v>
      </c>
      <c r="J2745" s="24" t="s">
        <v>2920</v>
      </c>
      <c r="K2745" s="3">
        <v>28</v>
      </c>
      <c r="L2745" s="3" t="s">
        <v>7059</v>
      </c>
      <c r="M2745" s="3" t="str">
        <f>HYPERLINK("http://ictvonline.org/taxonomyHistory.asp?taxnode_id=20153470","ICTVonline=20153470")</f>
        <v>ICTVonline=20153470</v>
      </c>
    </row>
    <row r="2746" spans="1:13" x14ac:dyDescent="0.15">
      <c r="A2746" s="1" t="s">
        <v>934</v>
      </c>
      <c r="B2746" s="1" t="s">
        <v>1782</v>
      </c>
      <c r="D2746" s="1" t="s">
        <v>934</v>
      </c>
      <c r="E2746" s="1" t="s">
        <v>906</v>
      </c>
      <c r="F2746" s="3">
        <v>0</v>
      </c>
      <c r="I2746" s="24" t="s">
        <v>3286</v>
      </c>
      <c r="J2746" s="24" t="s">
        <v>2920</v>
      </c>
      <c r="K2746" s="3">
        <v>28</v>
      </c>
      <c r="L2746" s="3" t="s">
        <v>7059</v>
      </c>
      <c r="M2746" s="3" t="str">
        <f>HYPERLINK("http://ictvonline.org/taxonomyHistory.asp?taxnode_id=20153471","ICTVonline=20153471")</f>
        <v>ICTVonline=20153471</v>
      </c>
    </row>
    <row r="2747" spans="1:13" x14ac:dyDescent="0.15">
      <c r="A2747" s="1" t="s">
        <v>934</v>
      </c>
      <c r="B2747" s="1" t="s">
        <v>1782</v>
      </c>
      <c r="D2747" s="1" t="s">
        <v>934</v>
      </c>
      <c r="E2747" s="1" t="s">
        <v>907</v>
      </c>
      <c r="F2747" s="3">
        <v>0</v>
      </c>
      <c r="I2747" s="24" t="s">
        <v>3286</v>
      </c>
      <c r="J2747" s="24" t="s">
        <v>2920</v>
      </c>
      <c r="K2747" s="3">
        <v>28</v>
      </c>
      <c r="L2747" s="3" t="s">
        <v>7059</v>
      </c>
      <c r="M2747" s="3" t="str">
        <f>HYPERLINK("http://ictvonline.org/taxonomyHistory.asp?taxnode_id=20153472","ICTVonline=20153472")</f>
        <v>ICTVonline=20153472</v>
      </c>
    </row>
    <row r="2748" spans="1:13" x14ac:dyDescent="0.15">
      <c r="A2748" s="1" t="s">
        <v>934</v>
      </c>
      <c r="B2748" s="1" t="s">
        <v>1782</v>
      </c>
      <c r="D2748" s="1" t="s">
        <v>934</v>
      </c>
      <c r="E2748" s="1" t="s">
        <v>908</v>
      </c>
      <c r="F2748" s="3">
        <v>0</v>
      </c>
      <c r="I2748" s="24" t="s">
        <v>3286</v>
      </c>
      <c r="J2748" s="24" t="s">
        <v>2920</v>
      </c>
      <c r="K2748" s="3">
        <v>28</v>
      </c>
      <c r="L2748" s="3" t="s">
        <v>7059</v>
      </c>
      <c r="M2748" s="3" t="str">
        <f>HYPERLINK("http://ictvonline.org/taxonomyHistory.asp?taxnode_id=20153473","ICTVonline=20153473")</f>
        <v>ICTVonline=20153473</v>
      </c>
    </row>
    <row r="2749" spans="1:13" x14ac:dyDescent="0.15">
      <c r="A2749" s="1" t="s">
        <v>934</v>
      </c>
      <c r="B2749" s="1" t="s">
        <v>1782</v>
      </c>
      <c r="D2749" s="1" t="s">
        <v>934</v>
      </c>
      <c r="E2749" s="1" t="s">
        <v>911</v>
      </c>
      <c r="F2749" s="3">
        <v>0</v>
      </c>
      <c r="I2749" s="24" t="s">
        <v>3286</v>
      </c>
      <c r="J2749" s="24" t="s">
        <v>2920</v>
      </c>
      <c r="K2749" s="3">
        <v>28</v>
      </c>
      <c r="L2749" s="3" t="s">
        <v>7059</v>
      </c>
      <c r="M2749" s="3" t="str">
        <f>HYPERLINK("http://ictvonline.org/taxonomyHistory.asp?taxnode_id=20153474","ICTVonline=20153474")</f>
        <v>ICTVonline=20153474</v>
      </c>
    </row>
    <row r="2750" spans="1:13" x14ac:dyDescent="0.15">
      <c r="A2750" s="1" t="s">
        <v>934</v>
      </c>
      <c r="B2750" s="1" t="s">
        <v>2046</v>
      </c>
      <c r="C2750" s="1" t="s">
        <v>2047</v>
      </c>
      <c r="D2750" s="1" t="s">
        <v>2698</v>
      </c>
      <c r="E2750" s="1" t="s">
        <v>2699</v>
      </c>
      <c r="F2750" s="3">
        <v>0</v>
      </c>
      <c r="I2750" s="24" t="s">
        <v>5392</v>
      </c>
      <c r="J2750" s="24" t="s">
        <v>2919</v>
      </c>
      <c r="K2750" s="3">
        <v>28</v>
      </c>
      <c r="L2750" s="3" t="s">
        <v>7061</v>
      </c>
      <c r="M2750" s="3" t="str">
        <f>HYPERLINK("http://ictvonline.org/taxonomyHistory.asp?taxnode_id=20153478","ICTVonline=20153478")</f>
        <v>ICTVonline=20153478</v>
      </c>
    </row>
    <row r="2751" spans="1:13" x14ac:dyDescent="0.15">
      <c r="A2751" s="1" t="s">
        <v>934</v>
      </c>
      <c r="B2751" s="1" t="s">
        <v>2046</v>
      </c>
      <c r="C2751" s="1" t="s">
        <v>2047</v>
      </c>
      <c r="D2751" s="1" t="s">
        <v>2698</v>
      </c>
      <c r="E2751" s="1" t="s">
        <v>2700</v>
      </c>
      <c r="F2751" s="3">
        <v>0</v>
      </c>
      <c r="I2751" s="24" t="s">
        <v>5392</v>
      </c>
      <c r="J2751" s="24" t="s">
        <v>2919</v>
      </c>
      <c r="K2751" s="3">
        <v>28</v>
      </c>
      <c r="L2751" s="3" t="s">
        <v>7061</v>
      </c>
      <c r="M2751" s="3" t="str">
        <f>HYPERLINK("http://ictvonline.org/taxonomyHistory.asp?taxnode_id=20153479","ICTVonline=20153479")</f>
        <v>ICTVonline=20153479</v>
      </c>
    </row>
    <row r="2752" spans="1:13" x14ac:dyDescent="0.15">
      <c r="A2752" s="1" t="s">
        <v>934</v>
      </c>
      <c r="B2752" s="1" t="s">
        <v>2046</v>
      </c>
      <c r="C2752" s="1" t="s">
        <v>2047</v>
      </c>
      <c r="D2752" s="1" t="s">
        <v>2698</v>
      </c>
      <c r="E2752" s="1" t="s">
        <v>2701</v>
      </c>
      <c r="F2752" s="3">
        <v>0</v>
      </c>
      <c r="I2752" s="24" t="s">
        <v>5392</v>
      </c>
      <c r="J2752" s="24" t="s">
        <v>2919</v>
      </c>
      <c r="K2752" s="3">
        <v>28</v>
      </c>
      <c r="L2752" s="3" t="s">
        <v>7061</v>
      </c>
      <c r="M2752" s="3" t="str">
        <f>HYPERLINK("http://ictvonline.org/taxonomyHistory.asp?taxnode_id=20153480","ICTVonline=20153480")</f>
        <v>ICTVonline=20153480</v>
      </c>
    </row>
    <row r="2753" spans="1:13" x14ac:dyDescent="0.15">
      <c r="A2753" s="1" t="s">
        <v>934</v>
      </c>
      <c r="B2753" s="1" t="s">
        <v>2046</v>
      </c>
      <c r="C2753" s="1" t="s">
        <v>2047</v>
      </c>
      <c r="D2753" s="1" t="s">
        <v>2698</v>
      </c>
      <c r="E2753" s="1" t="s">
        <v>2702</v>
      </c>
      <c r="F2753" s="3">
        <v>0</v>
      </c>
      <c r="I2753" s="24" t="s">
        <v>5392</v>
      </c>
      <c r="J2753" s="24" t="s">
        <v>2919</v>
      </c>
      <c r="K2753" s="3">
        <v>28</v>
      </c>
      <c r="L2753" s="3" t="s">
        <v>7061</v>
      </c>
      <c r="M2753" s="3" t="str">
        <f>HYPERLINK("http://ictvonline.org/taxonomyHistory.asp?taxnode_id=20153481","ICTVonline=20153481")</f>
        <v>ICTVonline=20153481</v>
      </c>
    </row>
    <row r="2754" spans="1:13" x14ac:dyDescent="0.15">
      <c r="A2754" s="1" t="s">
        <v>934</v>
      </c>
      <c r="B2754" s="1" t="s">
        <v>2046</v>
      </c>
      <c r="C2754" s="1" t="s">
        <v>2047</v>
      </c>
      <c r="D2754" s="1" t="s">
        <v>2698</v>
      </c>
      <c r="E2754" s="1" t="s">
        <v>2703</v>
      </c>
      <c r="F2754" s="3">
        <v>1</v>
      </c>
      <c r="I2754" s="24" t="s">
        <v>5392</v>
      </c>
      <c r="J2754" s="24" t="s">
        <v>2919</v>
      </c>
      <c r="K2754" s="3">
        <v>28</v>
      </c>
      <c r="L2754" s="3" t="s">
        <v>7061</v>
      </c>
      <c r="M2754" s="3" t="str">
        <f>HYPERLINK("http://ictvonline.org/taxonomyHistory.asp?taxnode_id=20153482","ICTVonline=20153482")</f>
        <v>ICTVonline=20153482</v>
      </c>
    </row>
    <row r="2755" spans="1:13" x14ac:dyDescent="0.15">
      <c r="A2755" s="1" t="s">
        <v>934</v>
      </c>
      <c r="B2755" s="1" t="s">
        <v>2046</v>
      </c>
      <c r="C2755" s="1" t="s">
        <v>2047</v>
      </c>
      <c r="D2755" s="1" t="s">
        <v>2698</v>
      </c>
      <c r="E2755" s="1" t="s">
        <v>2704</v>
      </c>
      <c r="F2755" s="3">
        <v>0</v>
      </c>
      <c r="I2755" s="24" t="s">
        <v>5392</v>
      </c>
      <c r="J2755" s="24" t="s">
        <v>2919</v>
      </c>
      <c r="K2755" s="3">
        <v>28</v>
      </c>
      <c r="L2755" s="3" t="s">
        <v>7061</v>
      </c>
      <c r="M2755" s="3" t="str">
        <f>HYPERLINK("http://ictvonline.org/taxonomyHistory.asp?taxnode_id=20153483","ICTVonline=20153483")</f>
        <v>ICTVonline=20153483</v>
      </c>
    </row>
    <row r="2756" spans="1:13" x14ac:dyDescent="0.15">
      <c r="A2756" s="1" t="s">
        <v>934</v>
      </c>
      <c r="B2756" s="1" t="s">
        <v>2046</v>
      </c>
      <c r="C2756" s="1" t="s">
        <v>2047</v>
      </c>
      <c r="D2756" s="1" t="s">
        <v>2048</v>
      </c>
      <c r="E2756" s="1" t="s">
        <v>2705</v>
      </c>
      <c r="F2756" s="3">
        <v>1</v>
      </c>
      <c r="I2756" s="24" t="s">
        <v>5392</v>
      </c>
      <c r="J2756" s="24" t="s">
        <v>2919</v>
      </c>
      <c r="K2756" s="3">
        <v>28</v>
      </c>
      <c r="L2756" s="3" t="s">
        <v>7061</v>
      </c>
      <c r="M2756" s="3" t="str">
        <f>HYPERLINK("http://ictvonline.org/taxonomyHistory.asp?taxnode_id=20153485","ICTVonline=20153485")</f>
        <v>ICTVonline=20153485</v>
      </c>
    </row>
    <row r="2757" spans="1:13" x14ac:dyDescent="0.15">
      <c r="A2757" s="1" t="s">
        <v>934</v>
      </c>
      <c r="B2757" s="1" t="s">
        <v>2046</v>
      </c>
      <c r="C2757" s="1" t="s">
        <v>2047</v>
      </c>
      <c r="D2757" s="1" t="s">
        <v>2048</v>
      </c>
      <c r="E2757" s="1" t="s">
        <v>2706</v>
      </c>
      <c r="F2757" s="3">
        <v>0</v>
      </c>
      <c r="I2757" s="24" t="s">
        <v>5392</v>
      </c>
      <c r="J2757" s="24" t="s">
        <v>2919</v>
      </c>
      <c r="K2757" s="3">
        <v>28</v>
      </c>
      <c r="L2757" s="3" t="s">
        <v>7061</v>
      </c>
      <c r="M2757" s="3" t="str">
        <f>HYPERLINK("http://ictvonline.org/taxonomyHistory.asp?taxnode_id=20153486","ICTVonline=20153486")</f>
        <v>ICTVonline=20153486</v>
      </c>
    </row>
    <row r="2758" spans="1:13" x14ac:dyDescent="0.15">
      <c r="A2758" s="1" t="s">
        <v>934</v>
      </c>
      <c r="B2758" s="1" t="s">
        <v>2046</v>
      </c>
      <c r="C2758" s="1" t="s">
        <v>2047</v>
      </c>
      <c r="D2758" s="1" t="s">
        <v>2707</v>
      </c>
      <c r="E2758" s="1" t="s">
        <v>2708</v>
      </c>
      <c r="F2758" s="3">
        <v>1</v>
      </c>
      <c r="I2758" s="24" t="s">
        <v>5392</v>
      </c>
      <c r="J2758" s="24" t="s">
        <v>2919</v>
      </c>
      <c r="K2758" s="3">
        <v>28</v>
      </c>
      <c r="L2758" s="3" t="s">
        <v>7061</v>
      </c>
      <c r="M2758" s="3" t="str">
        <f>HYPERLINK("http://ictvonline.org/taxonomyHistory.asp?taxnode_id=20153488","ICTVonline=20153488")</f>
        <v>ICTVonline=20153488</v>
      </c>
    </row>
    <row r="2759" spans="1:13" x14ac:dyDescent="0.15">
      <c r="A2759" s="1" t="s">
        <v>934</v>
      </c>
      <c r="B2759" s="1" t="s">
        <v>2046</v>
      </c>
      <c r="C2759" s="1" t="s">
        <v>2047</v>
      </c>
      <c r="D2759" s="1" t="s">
        <v>2709</v>
      </c>
      <c r="E2759" s="1" t="s">
        <v>2710</v>
      </c>
      <c r="F2759" s="3">
        <v>1</v>
      </c>
      <c r="I2759" s="24" t="s">
        <v>5392</v>
      </c>
      <c r="J2759" s="24" t="s">
        <v>2919</v>
      </c>
      <c r="K2759" s="3">
        <v>28</v>
      </c>
      <c r="L2759" s="3" t="s">
        <v>7061</v>
      </c>
      <c r="M2759" s="3" t="str">
        <f>HYPERLINK("http://ictvonline.org/taxonomyHistory.asp?taxnode_id=20153490","ICTVonline=20153490")</f>
        <v>ICTVonline=20153490</v>
      </c>
    </row>
    <row r="2760" spans="1:13" x14ac:dyDescent="0.15">
      <c r="A2760" s="1" t="s">
        <v>934</v>
      </c>
      <c r="B2760" s="1" t="s">
        <v>2046</v>
      </c>
      <c r="C2760" s="1" t="s">
        <v>2047</v>
      </c>
      <c r="D2760" s="1" t="s">
        <v>2709</v>
      </c>
      <c r="E2760" s="1" t="s">
        <v>2711</v>
      </c>
      <c r="F2760" s="3">
        <v>0</v>
      </c>
      <c r="I2760" s="24" t="s">
        <v>5392</v>
      </c>
      <c r="J2760" s="24" t="s">
        <v>2919</v>
      </c>
      <c r="K2760" s="3">
        <v>28</v>
      </c>
      <c r="L2760" s="3" t="s">
        <v>7061</v>
      </c>
      <c r="M2760" s="3" t="str">
        <f>HYPERLINK("http://ictvonline.org/taxonomyHistory.asp?taxnode_id=20153491","ICTVonline=20153491")</f>
        <v>ICTVonline=20153491</v>
      </c>
    </row>
    <row r="2761" spans="1:13" x14ac:dyDescent="0.15">
      <c r="A2761" s="1" t="s">
        <v>934</v>
      </c>
      <c r="B2761" s="1" t="s">
        <v>2046</v>
      </c>
      <c r="C2761" s="1" t="s">
        <v>2047</v>
      </c>
      <c r="D2761" s="1" t="s">
        <v>2709</v>
      </c>
      <c r="E2761" s="1" t="s">
        <v>2712</v>
      </c>
      <c r="F2761" s="3">
        <v>0</v>
      </c>
      <c r="I2761" s="24" t="s">
        <v>5392</v>
      </c>
      <c r="J2761" s="24" t="s">
        <v>2919</v>
      </c>
      <c r="K2761" s="3">
        <v>28</v>
      </c>
      <c r="L2761" s="3" t="s">
        <v>7061</v>
      </c>
      <c r="M2761" s="3" t="str">
        <f>HYPERLINK("http://ictvonline.org/taxonomyHistory.asp?taxnode_id=20153492","ICTVonline=20153492")</f>
        <v>ICTVonline=20153492</v>
      </c>
    </row>
    <row r="2762" spans="1:13" x14ac:dyDescent="0.15">
      <c r="A2762" s="1" t="s">
        <v>934</v>
      </c>
      <c r="B2762" s="1" t="s">
        <v>2046</v>
      </c>
      <c r="C2762" s="1" t="s">
        <v>2047</v>
      </c>
      <c r="D2762" s="1" t="s">
        <v>2709</v>
      </c>
      <c r="E2762" s="1" t="s">
        <v>2713</v>
      </c>
      <c r="F2762" s="3">
        <v>0</v>
      </c>
      <c r="I2762" s="24" t="s">
        <v>5392</v>
      </c>
      <c r="J2762" s="24" t="s">
        <v>2919</v>
      </c>
      <c r="K2762" s="3">
        <v>28</v>
      </c>
      <c r="L2762" s="3" t="s">
        <v>7061</v>
      </c>
      <c r="M2762" s="3" t="str">
        <f>HYPERLINK("http://ictvonline.org/taxonomyHistory.asp?taxnode_id=20153493","ICTVonline=20153493")</f>
        <v>ICTVonline=20153493</v>
      </c>
    </row>
    <row r="2763" spans="1:13" x14ac:dyDescent="0.15">
      <c r="A2763" s="1" t="s">
        <v>934</v>
      </c>
      <c r="B2763" s="1" t="s">
        <v>2046</v>
      </c>
      <c r="C2763" s="1" t="s">
        <v>2047</v>
      </c>
      <c r="D2763" s="1" t="s">
        <v>2709</v>
      </c>
      <c r="E2763" s="1" t="s">
        <v>2714</v>
      </c>
      <c r="F2763" s="3">
        <v>0</v>
      </c>
      <c r="I2763" s="24" t="s">
        <v>5392</v>
      </c>
      <c r="J2763" s="24" t="s">
        <v>2919</v>
      </c>
      <c r="K2763" s="3">
        <v>28</v>
      </c>
      <c r="L2763" s="3" t="s">
        <v>7061</v>
      </c>
      <c r="M2763" s="3" t="str">
        <f>HYPERLINK("http://ictvonline.org/taxonomyHistory.asp?taxnode_id=20153494","ICTVonline=20153494")</f>
        <v>ICTVonline=20153494</v>
      </c>
    </row>
    <row r="2764" spans="1:13" x14ac:dyDescent="0.15">
      <c r="A2764" s="1" t="s">
        <v>934</v>
      </c>
      <c r="B2764" s="1" t="s">
        <v>2046</v>
      </c>
      <c r="C2764" s="1" t="s">
        <v>2047</v>
      </c>
      <c r="D2764" s="1" t="s">
        <v>2715</v>
      </c>
      <c r="E2764" s="1" t="s">
        <v>2716</v>
      </c>
      <c r="F2764" s="3">
        <v>1</v>
      </c>
      <c r="I2764" s="24" t="s">
        <v>5392</v>
      </c>
      <c r="J2764" s="24" t="s">
        <v>2919</v>
      </c>
      <c r="K2764" s="3">
        <v>28</v>
      </c>
      <c r="L2764" s="3" t="s">
        <v>7061</v>
      </c>
      <c r="M2764" s="3" t="str">
        <f>HYPERLINK("http://ictvonline.org/taxonomyHistory.asp?taxnode_id=20153496","ICTVonline=20153496")</f>
        <v>ICTVonline=20153496</v>
      </c>
    </row>
    <row r="2765" spans="1:13" x14ac:dyDescent="0.15">
      <c r="A2765" s="1" t="s">
        <v>934</v>
      </c>
      <c r="B2765" s="1" t="s">
        <v>2046</v>
      </c>
      <c r="C2765" s="1" t="s">
        <v>1722</v>
      </c>
      <c r="D2765" s="1" t="s">
        <v>2717</v>
      </c>
      <c r="E2765" s="1" t="s">
        <v>2718</v>
      </c>
      <c r="F2765" s="3">
        <v>1</v>
      </c>
      <c r="I2765" s="24" t="s">
        <v>5392</v>
      </c>
      <c r="J2765" s="24" t="s">
        <v>2919</v>
      </c>
      <c r="K2765" s="3">
        <v>28</v>
      </c>
      <c r="L2765" s="3" t="s">
        <v>7061</v>
      </c>
      <c r="M2765" s="3" t="str">
        <f>HYPERLINK("http://ictvonline.org/taxonomyHistory.asp?taxnode_id=20153499","ICTVonline=20153499")</f>
        <v>ICTVonline=20153499</v>
      </c>
    </row>
    <row r="2766" spans="1:13" x14ac:dyDescent="0.15">
      <c r="A2766" s="1" t="s">
        <v>934</v>
      </c>
      <c r="B2766" s="1" t="s">
        <v>2046</v>
      </c>
      <c r="C2766" s="1" t="s">
        <v>1722</v>
      </c>
      <c r="D2766" s="1" t="s">
        <v>2717</v>
      </c>
      <c r="E2766" s="1" t="s">
        <v>2719</v>
      </c>
      <c r="F2766" s="3">
        <v>0</v>
      </c>
      <c r="I2766" s="24" t="s">
        <v>5392</v>
      </c>
      <c r="J2766" s="24" t="s">
        <v>2919</v>
      </c>
      <c r="K2766" s="3">
        <v>28</v>
      </c>
      <c r="L2766" s="3" t="s">
        <v>7061</v>
      </c>
      <c r="M2766" s="3" t="str">
        <f>HYPERLINK("http://ictvonline.org/taxonomyHistory.asp?taxnode_id=20153500","ICTVonline=20153500")</f>
        <v>ICTVonline=20153500</v>
      </c>
    </row>
    <row r="2767" spans="1:13" x14ac:dyDescent="0.15">
      <c r="A2767" s="1" t="s">
        <v>934</v>
      </c>
      <c r="B2767" s="1" t="s">
        <v>2046</v>
      </c>
      <c r="C2767" s="1" t="s">
        <v>1722</v>
      </c>
      <c r="D2767" s="1" t="s">
        <v>2720</v>
      </c>
      <c r="E2767" s="1" t="s">
        <v>2721</v>
      </c>
      <c r="F2767" s="3">
        <v>1</v>
      </c>
      <c r="I2767" s="24" t="s">
        <v>5392</v>
      </c>
      <c r="J2767" s="24" t="s">
        <v>2919</v>
      </c>
      <c r="K2767" s="3">
        <v>28</v>
      </c>
      <c r="L2767" s="3" t="s">
        <v>7061</v>
      </c>
      <c r="M2767" s="3" t="str">
        <f>HYPERLINK("http://ictvonline.org/taxonomyHistory.asp?taxnode_id=20153502","ICTVonline=20153502")</f>
        <v>ICTVonline=20153502</v>
      </c>
    </row>
    <row r="2768" spans="1:13" x14ac:dyDescent="0.15">
      <c r="A2768" s="1" t="s">
        <v>934</v>
      </c>
      <c r="B2768" s="1" t="s">
        <v>2046</v>
      </c>
      <c r="C2768" s="1" t="s">
        <v>1722</v>
      </c>
      <c r="D2768" s="1" t="s">
        <v>2722</v>
      </c>
      <c r="E2768" s="1" t="s">
        <v>2723</v>
      </c>
      <c r="F2768" s="3">
        <v>0</v>
      </c>
      <c r="I2768" s="24" t="s">
        <v>5392</v>
      </c>
      <c r="J2768" s="24" t="s">
        <v>2919</v>
      </c>
      <c r="K2768" s="3">
        <v>28</v>
      </c>
      <c r="L2768" s="3" t="s">
        <v>7061</v>
      </c>
      <c r="M2768" s="3" t="str">
        <f>HYPERLINK("http://ictvonline.org/taxonomyHistory.asp?taxnode_id=20153504","ICTVonline=20153504")</f>
        <v>ICTVonline=20153504</v>
      </c>
    </row>
    <row r="2769" spans="1:13" x14ac:dyDescent="0.15">
      <c r="A2769" s="1" t="s">
        <v>934</v>
      </c>
      <c r="B2769" s="1" t="s">
        <v>2046</v>
      </c>
      <c r="C2769" s="1" t="s">
        <v>1722</v>
      </c>
      <c r="D2769" s="1" t="s">
        <v>2722</v>
      </c>
      <c r="E2769" s="1" t="s">
        <v>2724</v>
      </c>
      <c r="F2769" s="3">
        <v>0</v>
      </c>
      <c r="I2769" s="24" t="s">
        <v>5392</v>
      </c>
      <c r="J2769" s="24" t="s">
        <v>2919</v>
      </c>
      <c r="K2769" s="3">
        <v>28</v>
      </c>
      <c r="L2769" s="3" t="s">
        <v>7061</v>
      </c>
      <c r="M2769" s="3" t="str">
        <f>HYPERLINK("http://ictvonline.org/taxonomyHistory.asp?taxnode_id=20153505","ICTVonline=20153505")</f>
        <v>ICTVonline=20153505</v>
      </c>
    </row>
    <row r="2770" spans="1:13" x14ac:dyDescent="0.15">
      <c r="A2770" s="1" t="s">
        <v>934</v>
      </c>
      <c r="B2770" s="1" t="s">
        <v>2046</v>
      </c>
      <c r="C2770" s="1" t="s">
        <v>1722</v>
      </c>
      <c r="D2770" s="1" t="s">
        <v>2722</v>
      </c>
      <c r="E2770" s="1" t="s">
        <v>2725</v>
      </c>
      <c r="F2770" s="3">
        <v>0</v>
      </c>
      <c r="I2770" s="24" t="s">
        <v>5392</v>
      </c>
      <c r="J2770" s="24" t="s">
        <v>2919</v>
      </c>
      <c r="K2770" s="3">
        <v>28</v>
      </c>
      <c r="L2770" s="3" t="s">
        <v>7061</v>
      </c>
      <c r="M2770" s="3" t="str">
        <f>HYPERLINK("http://ictvonline.org/taxonomyHistory.asp?taxnode_id=20153506","ICTVonline=20153506")</f>
        <v>ICTVonline=20153506</v>
      </c>
    </row>
    <row r="2771" spans="1:13" x14ac:dyDescent="0.15">
      <c r="A2771" s="1" t="s">
        <v>934</v>
      </c>
      <c r="B2771" s="1" t="s">
        <v>2046</v>
      </c>
      <c r="C2771" s="1" t="s">
        <v>1722</v>
      </c>
      <c r="D2771" s="1" t="s">
        <v>2722</v>
      </c>
      <c r="E2771" s="1" t="s">
        <v>2726</v>
      </c>
      <c r="F2771" s="3">
        <v>0</v>
      </c>
      <c r="I2771" s="24" t="s">
        <v>5392</v>
      </c>
      <c r="J2771" s="24" t="s">
        <v>2919</v>
      </c>
      <c r="K2771" s="3">
        <v>28</v>
      </c>
      <c r="L2771" s="3" t="s">
        <v>7061</v>
      </c>
      <c r="M2771" s="3" t="str">
        <f>HYPERLINK("http://ictvonline.org/taxonomyHistory.asp?taxnode_id=20153507","ICTVonline=20153507")</f>
        <v>ICTVonline=20153507</v>
      </c>
    </row>
    <row r="2772" spans="1:13" x14ac:dyDescent="0.15">
      <c r="A2772" s="1" t="s">
        <v>934</v>
      </c>
      <c r="B2772" s="1" t="s">
        <v>2046</v>
      </c>
      <c r="C2772" s="1" t="s">
        <v>1722</v>
      </c>
      <c r="D2772" s="1" t="s">
        <v>2722</v>
      </c>
      <c r="E2772" s="1" t="s">
        <v>2727</v>
      </c>
      <c r="F2772" s="3">
        <v>0</v>
      </c>
      <c r="I2772" s="24" t="s">
        <v>5392</v>
      </c>
      <c r="J2772" s="24" t="s">
        <v>2919</v>
      </c>
      <c r="K2772" s="3">
        <v>28</v>
      </c>
      <c r="L2772" s="3" t="s">
        <v>7061</v>
      </c>
      <c r="M2772" s="3" t="str">
        <f>HYPERLINK("http://ictvonline.org/taxonomyHistory.asp?taxnode_id=20153508","ICTVonline=20153508")</f>
        <v>ICTVonline=20153508</v>
      </c>
    </row>
    <row r="2773" spans="1:13" x14ac:dyDescent="0.15">
      <c r="A2773" s="1" t="s">
        <v>934</v>
      </c>
      <c r="B2773" s="1" t="s">
        <v>2046</v>
      </c>
      <c r="C2773" s="1" t="s">
        <v>1722</v>
      </c>
      <c r="D2773" s="1" t="s">
        <v>2722</v>
      </c>
      <c r="E2773" s="1" t="s">
        <v>2728</v>
      </c>
      <c r="F2773" s="3">
        <v>0</v>
      </c>
      <c r="I2773" s="24" t="s">
        <v>5392</v>
      </c>
      <c r="J2773" s="24" t="s">
        <v>2919</v>
      </c>
      <c r="K2773" s="3">
        <v>28</v>
      </c>
      <c r="L2773" s="3" t="s">
        <v>7061</v>
      </c>
      <c r="M2773" s="3" t="str">
        <f>HYPERLINK("http://ictvonline.org/taxonomyHistory.asp?taxnode_id=20153509","ICTVonline=20153509")</f>
        <v>ICTVonline=20153509</v>
      </c>
    </row>
    <row r="2774" spans="1:13" x14ac:dyDescent="0.15">
      <c r="A2774" s="1" t="s">
        <v>934</v>
      </c>
      <c r="B2774" s="1" t="s">
        <v>2046</v>
      </c>
      <c r="C2774" s="1" t="s">
        <v>1722</v>
      </c>
      <c r="D2774" s="1" t="s">
        <v>2722</v>
      </c>
      <c r="E2774" s="1" t="s">
        <v>2729</v>
      </c>
      <c r="F2774" s="3">
        <v>0</v>
      </c>
      <c r="I2774" s="24" t="s">
        <v>5392</v>
      </c>
      <c r="J2774" s="24" t="s">
        <v>2919</v>
      </c>
      <c r="K2774" s="3">
        <v>28</v>
      </c>
      <c r="L2774" s="3" t="s">
        <v>7061</v>
      </c>
      <c r="M2774" s="3" t="str">
        <f>HYPERLINK("http://ictvonline.org/taxonomyHistory.asp?taxnode_id=20153510","ICTVonline=20153510")</f>
        <v>ICTVonline=20153510</v>
      </c>
    </row>
    <row r="2775" spans="1:13" x14ac:dyDescent="0.15">
      <c r="A2775" s="1" t="s">
        <v>934</v>
      </c>
      <c r="B2775" s="1" t="s">
        <v>2046</v>
      </c>
      <c r="C2775" s="1" t="s">
        <v>1722</v>
      </c>
      <c r="D2775" s="1" t="s">
        <v>2722</v>
      </c>
      <c r="E2775" s="1" t="s">
        <v>2730</v>
      </c>
      <c r="F2775" s="3">
        <v>1</v>
      </c>
      <c r="I2775" s="24" t="s">
        <v>5392</v>
      </c>
      <c r="J2775" s="24" t="s">
        <v>2919</v>
      </c>
      <c r="K2775" s="3">
        <v>28</v>
      </c>
      <c r="L2775" s="3" t="s">
        <v>7061</v>
      </c>
      <c r="M2775" s="3" t="str">
        <f>HYPERLINK("http://ictvonline.org/taxonomyHistory.asp?taxnode_id=20153511","ICTVonline=20153511")</f>
        <v>ICTVonline=20153511</v>
      </c>
    </row>
    <row r="2776" spans="1:13" x14ac:dyDescent="0.15">
      <c r="A2776" s="1" t="s">
        <v>934</v>
      </c>
      <c r="B2776" s="1" t="s">
        <v>2046</v>
      </c>
      <c r="C2776" s="1" t="s">
        <v>1722</v>
      </c>
      <c r="D2776" s="1" t="s">
        <v>2722</v>
      </c>
      <c r="E2776" s="1" t="s">
        <v>2731</v>
      </c>
      <c r="F2776" s="3">
        <v>0</v>
      </c>
      <c r="I2776" s="24" t="s">
        <v>5392</v>
      </c>
      <c r="J2776" s="24" t="s">
        <v>2919</v>
      </c>
      <c r="K2776" s="3">
        <v>28</v>
      </c>
      <c r="L2776" s="3" t="s">
        <v>7061</v>
      </c>
      <c r="M2776" s="3" t="str">
        <f>HYPERLINK("http://ictvonline.org/taxonomyHistory.asp?taxnode_id=20153512","ICTVonline=20153512")</f>
        <v>ICTVonline=20153512</v>
      </c>
    </row>
    <row r="2777" spans="1:13" x14ac:dyDescent="0.15">
      <c r="A2777" s="1" t="s">
        <v>934</v>
      </c>
      <c r="B2777" s="1" t="s">
        <v>2046</v>
      </c>
      <c r="C2777" s="1" t="s">
        <v>1722</v>
      </c>
      <c r="D2777" s="1" t="s">
        <v>2722</v>
      </c>
      <c r="E2777" s="1" t="s">
        <v>2732</v>
      </c>
      <c r="F2777" s="3">
        <v>0</v>
      </c>
      <c r="I2777" s="24" t="s">
        <v>5392</v>
      </c>
      <c r="J2777" s="24" t="s">
        <v>2919</v>
      </c>
      <c r="K2777" s="3">
        <v>28</v>
      </c>
      <c r="L2777" s="3" t="s">
        <v>7061</v>
      </c>
      <c r="M2777" s="3" t="str">
        <f>HYPERLINK("http://ictvonline.org/taxonomyHistory.asp?taxnode_id=20153513","ICTVonline=20153513")</f>
        <v>ICTVonline=20153513</v>
      </c>
    </row>
    <row r="2778" spans="1:13" x14ac:dyDescent="0.15">
      <c r="A2778" s="1" t="s">
        <v>934</v>
      </c>
      <c r="B2778" s="1" t="s">
        <v>2046</v>
      </c>
      <c r="C2778" s="1" t="s">
        <v>1722</v>
      </c>
      <c r="D2778" s="1" t="s">
        <v>2722</v>
      </c>
      <c r="E2778" s="1" t="s">
        <v>2733</v>
      </c>
      <c r="F2778" s="3">
        <v>0</v>
      </c>
      <c r="I2778" s="24" t="s">
        <v>5392</v>
      </c>
      <c r="J2778" s="24" t="s">
        <v>2919</v>
      </c>
      <c r="K2778" s="3">
        <v>28</v>
      </c>
      <c r="L2778" s="3" t="s">
        <v>7061</v>
      </c>
      <c r="M2778" s="3" t="str">
        <f>HYPERLINK("http://ictvonline.org/taxonomyHistory.asp?taxnode_id=20153514","ICTVonline=20153514")</f>
        <v>ICTVonline=20153514</v>
      </c>
    </row>
    <row r="2779" spans="1:13" x14ac:dyDescent="0.15">
      <c r="A2779" s="1" t="s">
        <v>934</v>
      </c>
      <c r="B2779" s="1" t="s">
        <v>2046</v>
      </c>
      <c r="C2779" s="1" t="s">
        <v>1722</v>
      </c>
      <c r="D2779" s="1" t="s">
        <v>2722</v>
      </c>
      <c r="E2779" s="1" t="s">
        <v>2734</v>
      </c>
      <c r="F2779" s="3">
        <v>0</v>
      </c>
      <c r="I2779" s="24" t="s">
        <v>5392</v>
      </c>
      <c r="J2779" s="24" t="s">
        <v>2919</v>
      </c>
      <c r="K2779" s="3">
        <v>28</v>
      </c>
      <c r="L2779" s="3" t="s">
        <v>7061</v>
      </c>
      <c r="M2779" s="3" t="str">
        <f>HYPERLINK("http://ictvonline.org/taxonomyHistory.asp?taxnode_id=20153515","ICTVonline=20153515")</f>
        <v>ICTVonline=20153515</v>
      </c>
    </row>
    <row r="2780" spans="1:13" x14ac:dyDescent="0.15">
      <c r="A2780" s="1" t="s">
        <v>934</v>
      </c>
      <c r="B2780" s="1" t="s">
        <v>2046</v>
      </c>
      <c r="C2780" s="1" t="s">
        <v>1722</v>
      </c>
      <c r="D2780" s="1" t="s">
        <v>2735</v>
      </c>
      <c r="E2780" s="1" t="s">
        <v>2736</v>
      </c>
      <c r="F2780" s="3">
        <v>1</v>
      </c>
      <c r="I2780" s="24" t="s">
        <v>5392</v>
      </c>
      <c r="J2780" s="24" t="s">
        <v>2919</v>
      </c>
      <c r="K2780" s="3">
        <v>28</v>
      </c>
      <c r="L2780" s="3" t="s">
        <v>7061</v>
      </c>
      <c r="M2780" s="3" t="str">
        <f>HYPERLINK("http://ictvonline.org/taxonomyHistory.asp?taxnode_id=20153517","ICTVonline=20153517")</f>
        <v>ICTVonline=20153517</v>
      </c>
    </row>
    <row r="2781" spans="1:13" x14ac:dyDescent="0.15">
      <c r="A2781" s="1" t="s">
        <v>934</v>
      </c>
      <c r="B2781" s="1" t="s">
        <v>2046</v>
      </c>
      <c r="C2781" s="1" t="s">
        <v>1722</v>
      </c>
      <c r="D2781" s="1" t="s">
        <v>2735</v>
      </c>
      <c r="E2781" s="1" t="s">
        <v>2737</v>
      </c>
      <c r="F2781" s="3">
        <v>0</v>
      </c>
      <c r="I2781" s="24" t="s">
        <v>5392</v>
      </c>
      <c r="J2781" s="24" t="s">
        <v>2919</v>
      </c>
      <c r="K2781" s="3">
        <v>28</v>
      </c>
      <c r="L2781" s="3" t="s">
        <v>7061</v>
      </c>
      <c r="M2781" s="3" t="str">
        <f>HYPERLINK("http://ictvonline.org/taxonomyHistory.asp?taxnode_id=20153518","ICTVonline=20153518")</f>
        <v>ICTVonline=20153518</v>
      </c>
    </row>
    <row r="2782" spans="1:13" x14ac:dyDescent="0.15">
      <c r="A2782" s="1" t="s">
        <v>934</v>
      </c>
      <c r="B2782" s="1" t="s">
        <v>2046</v>
      </c>
      <c r="C2782" s="1" t="s">
        <v>1722</v>
      </c>
      <c r="D2782" s="1" t="s">
        <v>2738</v>
      </c>
      <c r="E2782" s="1" t="s">
        <v>2739</v>
      </c>
      <c r="F2782" s="3">
        <v>1</v>
      </c>
      <c r="I2782" s="24" t="s">
        <v>5392</v>
      </c>
      <c r="J2782" s="24" t="s">
        <v>2919</v>
      </c>
      <c r="K2782" s="3">
        <v>28</v>
      </c>
      <c r="L2782" s="3" t="s">
        <v>7061</v>
      </c>
      <c r="M2782" s="3" t="str">
        <f>HYPERLINK("http://ictvonline.org/taxonomyHistory.asp?taxnode_id=20153520","ICTVonline=20153520")</f>
        <v>ICTVonline=20153520</v>
      </c>
    </row>
    <row r="2783" spans="1:13" x14ac:dyDescent="0.15">
      <c r="A2783" s="1" t="s">
        <v>934</v>
      </c>
      <c r="B2783" s="1" t="s">
        <v>2046</v>
      </c>
      <c r="C2783" s="1" t="s">
        <v>1722</v>
      </c>
      <c r="D2783" s="1" t="s">
        <v>2738</v>
      </c>
      <c r="E2783" s="1" t="s">
        <v>2740</v>
      </c>
      <c r="F2783" s="3">
        <v>0</v>
      </c>
      <c r="I2783" s="24" t="s">
        <v>5392</v>
      </c>
      <c r="J2783" s="24" t="s">
        <v>2919</v>
      </c>
      <c r="K2783" s="3">
        <v>28</v>
      </c>
      <c r="L2783" s="3" t="s">
        <v>7061</v>
      </c>
      <c r="M2783" s="3" t="str">
        <f>HYPERLINK("http://ictvonline.org/taxonomyHistory.asp?taxnode_id=20153521","ICTVonline=20153521")</f>
        <v>ICTVonline=20153521</v>
      </c>
    </row>
    <row r="2784" spans="1:13" x14ac:dyDescent="0.15">
      <c r="A2784" s="1" t="s">
        <v>934</v>
      </c>
      <c r="B2784" s="1" t="s">
        <v>2046</v>
      </c>
      <c r="C2784" s="1" t="s">
        <v>1722</v>
      </c>
      <c r="D2784" s="1" t="s">
        <v>2738</v>
      </c>
      <c r="E2784" s="1" t="s">
        <v>2741</v>
      </c>
      <c r="F2784" s="3">
        <v>0</v>
      </c>
      <c r="I2784" s="24" t="s">
        <v>5392</v>
      </c>
      <c r="J2784" s="24" t="s">
        <v>2919</v>
      </c>
      <c r="K2784" s="3">
        <v>28</v>
      </c>
      <c r="L2784" s="3" t="s">
        <v>7061</v>
      </c>
      <c r="M2784" s="3" t="str">
        <f>HYPERLINK("http://ictvonline.org/taxonomyHistory.asp?taxnode_id=20153522","ICTVonline=20153522")</f>
        <v>ICTVonline=20153522</v>
      </c>
    </row>
    <row r="2785" spans="1:13" x14ac:dyDescent="0.15">
      <c r="A2785" s="1" t="s">
        <v>934</v>
      </c>
      <c r="B2785" s="1" t="s">
        <v>2046</v>
      </c>
      <c r="C2785" s="1" t="s">
        <v>1722</v>
      </c>
      <c r="D2785" s="1" t="s">
        <v>2738</v>
      </c>
      <c r="E2785" s="1" t="s">
        <v>2742</v>
      </c>
      <c r="F2785" s="3">
        <v>0</v>
      </c>
      <c r="I2785" s="24" t="s">
        <v>5392</v>
      </c>
      <c r="J2785" s="24" t="s">
        <v>2919</v>
      </c>
      <c r="K2785" s="3">
        <v>28</v>
      </c>
      <c r="L2785" s="3" t="s">
        <v>7061</v>
      </c>
      <c r="M2785" s="3" t="str">
        <f>HYPERLINK("http://ictvonline.org/taxonomyHistory.asp?taxnode_id=20153523","ICTVonline=20153523")</f>
        <v>ICTVonline=20153523</v>
      </c>
    </row>
    <row r="2786" spans="1:13" x14ac:dyDescent="0.15">
      <c r="A2786" s="1" t="s">
        <v>934</v>
      </c>
      <c r="B2786" s="1" t="s">
        <v>2046</v>
      </c>
      <c r="C2786" s="1" t="s">
        <v>1722</v>
      </c>
      <c r="D2786" s="1" t="s">
        <v>2738</v>
      </c>
      <c r="E2786" s="1" t="s">
        <v>2743</v>
      </c>
      <c r="F2786" s="3">
        <v>0</v>
      </c>
      <c r="I2786" s="24" t="s">
        <v>5392</v>
      </c>
      <c r="J2786" s="24" t="s">
        <v>2919</v>
      </c>
      <c r="K2786" s="3">
        <v>28</v>
      </c>
      <c r="L2786" s="3" t="s">
        <v>7061</v>
      </c>
      <c r="M2786" s="3" t="str">
        <f>HYPERLINK("http://ictvonline.org/taxonomyHistory.asp?taxnode_id=20153524","ICTVonline=20153524")</f>
        <v>ICTVonline=20153524</v>
      </c>
    </row>
    <row r="2787" spans="1:13" x14ac:dyDescent="0.15">
      <c r="A2787" s="1" t="s">
        <v>934</v>
      </c>
      <c r="B2787" s="1" t="s">
        <v>2046</v>
      </c>
      <c r="C2787" s="1" t="s">
        <v>1722</v>
      </c>
      <c r="D2787" s="1" t="s">
        <v>2738</v>
      </c>
      <c r="E2787" s="1" t="s">
        <v>2744</v>
      </c>
      <c r="F2787" s="3">
        <v>0</v>
      </c>
      <c r="I2787" s="24" t="s">
        <v>5392</v>
      </c>
      <c r="J2787" s="24" t="s">
        <v>2919</v>
      </c>
      <c r="K2787" s="3">
        <v>28</v>
      </c>
      <c r="L2787" s="3" t="s">
        <v>7061</v>
      </c>
      <c r="M2787" s="3" t="str">
        <f>HYPERLINK("http://ictvonline.org/taxonomyHistory.asp?taxnode_id=20153525","ICTVonline=20153525")</f>
        <v>ICTVonline=20153525</v>
      </c>
    </row>
    <row r="2788" spans="1:13" x14ac:dyDescent="0.15">
      <c r="A2788" s="1" t="s">
        <v>934</v>
      </c>
      <c r="B2788" s="1" t="s">
        <v>2046</v>
      </c>
      <c r="C2788" s="1" t="s">
        <v>1722</v>
      </c>
      <c r="D2788" s="1" t="s">
        <v>2738</v>
      </c>
      <c r="E2788" s="1" t="s">
        <v>2745</v>
      </c>
      <c r="F2788" s="3">
        <v>0</v>
      </c>
      <c r="I2788" s="24" t="s">
        <v>5392</v>
      </c>
      <c r="J2788" s="24" t="s">
        <v>2919</v>
      </c>
      <c r="K2788" s="3">
        <v>28</v>
      </c>
      <c r="L2788" s="3" t="s">
        <v>7061</v>
      </c>
      <c r="M2788" s="3" t="str">
        <f>HYPERLINK("http://ictvonline.org/taxonomyHistory.asp?taxnode_id=20153526","ICTVonline=20153526")</f>
        <v>ICTVonline=20153526</v>
      </c>
    </row>
    <row r="2789" spans="1:13" x14ac:dyDescent="0.15">
      <c r="A2789" s="1" t="s">
        <v>934</v>
      </c>
      <c r="B2789" s="1" t="s">
        <v>2046</v>
      </c>
      <c r="C2789" s="1" t="s">
        <v>1722</v>
      </c>
      <c r="D2789" s="1" t="s">
        <v>2746</v>
      </c>
      <c r="E2789" s="1" t="s">
        <v>2747</v>
      </c>
      <c r="F2789" s="3">
        <v>1</v>
      </c>
      <c r="I2789" s="24" t="s">
        <v>5392</v>
      </c>
      <c r="J2789" s="24" t="s">
        <v>2919</v>
      </c>
      <c r="K2789" s="3">
        <v>28</v>
      </c>
      <c r="L2789" s="3" t="s">
        <v>7061</v>
      </c>
      <c r="M2789" s="3" t="str">
        <f>HYPERLINK("http://ictvonline.org/taxonomyHistory.asp?taxnode_id=20153528","ICTVonline=20153528")</f>
        <v>ICTVonline=20153528</v>
      </c>
    </row>
    <row r="2790" spans="1:13" x14ac:dyDescent="0.15">
      <c r="A2790" s="1" t="s">
        <v>934</v>
      </c>
      <c r="B2790" s="1" t="s">
        <v>2046</v>
      </c>
      <c r="C2790" s="1" t="s">
        <v>1722</v>
      </c>
      <c r="D2790" s="1" t="s">
        <v>2746</v>
      </c>
      <c r="E2790" s="1" t="s">
        <v>2748</v>
      </c>
      <c r="F2790" s="3">
        <v>0</v>
      </c>
      <c r="I2790" s="24" t="s">
        <v>5392</v>
      </c>
      <c r="J2790" s="24" t="s">
        <v>2919</v>
      </c>
      <c r="K2790" s="3">
        <v>28</v>
      </c>
      <c r="L2790" s="3" t="s">
        <v>7061</v>
      </c>
      <c r="M2790" s="3" t="str">
        <f>HYPERLINK("http://ictvonline.org/taxonomyHistory.asp?taxnode_id=20153529","ICTVonline=20153529")</f>
        <v>ICTVonline=20153529</v>
      </c>
    </row>
    <row r="2791" spans="1:13" x14ac:dyDescent="0.15">
      <c r="A2791" s="1" t="s">
        <v>934</v>
      </c>
      <c r="B2791" s="1" t="s">
        <v>2046</v>
      </c>
      <c r="C2791" s="1" t="s">
        <v>1722</v>
      </c>
      <c r="D2791" s="1" t="s">
        <v>2746</v>
      </c>
      <c r="E2791" s="1" t="s">
        <v>2749</v>
      </c>
      <c r="F2791" s="3">
        <v>0</v>
      </c>
      <c r="I2791" s="24" t="s">
        <v>5392</v>
      </c>
      <c r="J2791" s="24" t="s">
        <v>2919</v>
      </c>
      <c r="K2791" s="3">
        <v>28</v>
      </c>
      <c r="L2791" s="3" t="s">
        <v>7061</v>
      </c>
      <c r="M2791" s="3" t="str">
        <f>HYPERLINK("http://ictvonline.org/taxonomyHistory.asp?taxnode_id=20153530","ICTVonline=20153530")</f>
        <v>ICTVonline=20153530</v>
      </c>
    </row>
    <row r="2792" spans="1:13" x14ac:dyDescent="0.15">
      <c r="A2792" s="1" t="s">
        <v>934</v>
      </c>
      <c r="B2792" s="1" t="s">
        <v>2046</v>
      </c>
      <c r="C2792" s="1" t="s">
        <v>1722</v>
      </c>
      <c r="D2792" s="1" t="s">
        <v>2746</v>
      </c>
      <c r="E2792" s="1" t="s">
        <v>2750</v>
      </c>
      <c r="F2792" s="3">
        <v>0</v>
      </c>
      <c r="I2792" s="24" t="s">
        <v>5392</v>
      </c>
      <c r="J2792" s="24" t="s">
        <v>2919</v>
      </c>
      <c r="K2792" s="3">
        <v>28</v>
      </c>
      <c r="L2792" s="3" t="s">
        <v>7061</v>
      </c>
      <c r="M2792" s="3" t="str">
        <f>HYPERLINK("http://ictvonline.org/taxonomyHistory.asp?taxnode_id=20153531","ICTVonline=20153531")</f>
        <v>ICTVonline=20153531</v>
      </c>
    </row>
    <row r="2793" spans="1:13" x14ac:dyDescent="0.15">
      <c r="A2793" s="1" t="s">
        <v>934</v>
      </c>
      <c r="B2793" s="1" t="s">
        <v>2046</v>
      </c>
      <c r="C2793" s="1" t="s">
        <v>1722</v>
      </c>
      <c r="D2793" s="1" t="s">
        <v>2746</v>
      </c>
      <c r="E2793" s="1" t="s">
        <v>2751</v>
      </c>
      <c r="F2793" s="3">
        <v>0</v>
      </c>
      <c r="I2793" s="24" t="s">
        <v>5392</v>
      </c>
      <c r="J2793" s="24" t="s">
        <v>2919</v>
      </c>
      <c r="K2793" s="3">
        <v>28</v>
      </c>
      <c r="L2793" s="3" t="s">
        <v>7061</v>
      </c>
      <c r="M2793" s="3" t="str">
        <f>HYPERLINK("http://ictvonline.org/taxonomyHistory.asp?taxnode_id=20153532","ICTVonline=20153532")</f>
        <v>ICTVonline=20153532</v>
      </c>
    </row>
    <row r="2794" spans="1:13" x14ac:dyDescent="0.15">
      <c r="A2794" s="1" t="s">
        <v>934</v>
      </c>
      <c r="B2794" s="1" t="s">
        <v>2046</v>
      </c>
      <c r="C2794" s="1" t="s">
        <v>1722</v>
      </c>
      <c r="D2794" s="1" t="s">
        <v>2746</v>
      </c>
      <c r="E2794" s="1" t="s">
        <v>2752</v>
      </c>
      <c r="F2794" s="3">
        <v>0</v>
      </c>
      <c r="I2794" s="24" t="s">
        <v>5392</v>
      </c>
      <c r="J2794" s="24" t="s">
        <v>2919</v>
      </c>
      <c r="K2794" s="3">
        <v>28</v>
      </c>
      <c r="L2794" s="3" t="s">
        <v>7061</v>
      </c>
      <c r="M2794" s="3" t="str">
        <f>HYPERLINK("http://ictvonline.org/taxonomyHistory.asp?taxnode_id=20153533","ICTVonline=20153533")</f>
        <v>ICTVonline=20153533</v>
      </c>
    </row>
    <row r="2795" spans="1:13" x14ac:dyDescent="0.15">
      <c r="A2795" s="1" t="s">
        <v>934</v>
      </c>
      <c r="B2795" s="1" t="s">
        <v>2046</v>
      </c>
      <c r="C2795" s="1" t="s">
        <v>1722</v>
      </c>
      <c r="D2795" s="1" t="s">
        <v>2753</v>
      </c>
      <c r="E2795" s="1" t="s">
        <v>2754</v>
      </c>
      <c r="F2795" s="3">
        <v>0</v>
      </c>
      <c r="I2795" s="24" t="s">
        <v>5392</v>
      </c>
      <c r="J2795" s="24" t="s">
        <v>2919</v>
      </c>
      <c r="K2795" s="3">
        <v>28</v>
      </c>
      <c r="L2795" s="3" t="s">
        <v>7061</v>
      </c>
      <c r="M2795" s="3" t="str">
        <f>HYPERLINK("http://ictvonline.org/taxonomyHistory.asp?taxnode_id=20153535","ICTVonline=20153535")</f>
        <v>ICTVonline=20153535</v>
      </c>
    </row>
    <row r="2796" spans="1:13" x14ac:dyDescent="0.15">
      <c r="A2796" s="1" t="s">
        <v>934</v>
      </c>
      <c r="B2796" s="1" t="s">
        <v>2046</v>
      </c>
      <c r="C2796" s="1" t="s">
        <v>1722</v>
      </c>
      <c r="D2796" s="1" t="s">
        <v>2753</v>
      </c>
      <c r="E2796" s="1" t="s">
        <v>2755</v>
      </c>
      <c r="F2796" s="3">
        <v>0</v>
      </c>
      <c r="I2796" s="24" t="s">
        <v>5392</v>
      </c>
      <c r="J2796" s="24" t="s">
        <v>2919</v>
      </c>
      <c r="K2796" s="3">
        <v>28</v>
      </c>
      <c r="L2796" s="3" t="s">
        <v>7061</v>
      </c>
      <c r="M2796" s="3" t="str">
        <f>HYPERLINK("http://ictvonline.org/taxonomyHistory.asp?taxnode_id=20153536","ICTVonline=20153536")</f>
        <v>ICTVonline=20153536</v>
      </c>
    </row>
    <row r="2797" spans="1:13" x14ac:dyDescent="0.15">
      <c r="A2797" s="1" t="s">
        <v>934</v>
      </c>
      <c r="B2797" s="1" t="s">
        <v>2046</v>
      </c>
      <c r="C2797" s="1" t="s">
        <v>1722</v>
      </c>
      <c r="D2797" s="1" t="s">
        <v>2753</v>
      </c>
      <c r="E2797" s="1" t="s">
        <v>2756</v>
      </c>
      <c r="F2797" s="3">
        <v>1</v>
      </c>
      <c r="I2797" s="24" t="s">
        <v>5392</v>
      </c>
      <c r="J2797" s="24" t="s">
        <v>2919</v>
      </c>
      <c r="K2797" s="3">
        <v>28</v>
      </c>
      <c r="L2797" s="3" t="s">
        <v>7061</v>
      </c>
      <c r="M2797" s="3" t="str">
        <f>HYPERLINK("http://ictvonline.org/taxonomyHistory.asp?taxnode_id=20153537","ICTVonline=20153537")</f>
        <v>ICTVonline=20153537</v>
      </c>
    </row>
    <row r="2798" spans="1:13" x14ac:dyDescent="0.15">
      <c r="A2798" s="1" t="s">
        <v>934</v>
      </c>
      <c r="B2798" s="1" t="s">
        <v>2046</v>
      </c>
      <c r="C2798" s="1" t="s">
        <v>1722</v>
      </c>
      <c r="D2798" s="1" t="s">
        <v>2753</v>
      </c>
      <c r="E2798" s="1" t="s">
        <v>2757</v>
      </c>
      <c r="F2798" s="3">
        <v>0</v>
      </c>
      <c r="I2798" s="24" t="s">
        <v>5392</v>
      </c>
      <c r="J2798" s="24" t="s">
        <v>2919</v>
      </c>
      <c r="K2798" s="3">
        <v>28</v>
      </c>
      <c r="L2798" s="3" t="s">
        <v>7061</v>
      </c>
      <c r="M2798" s="3" t="str">
        <f>HYPERLINK("http://ictvonline.org/taxonomyHistory.asp?taxnode_id=20153538","ICTVonline=20153538")</f>
        <v>ICTVonline=20153538</v>
      </c>
    </row>
    <row r="2799" spans="1:13" x14ac:dyDescent="0.15">
      <c r="A2799" s="1" t="s">
        <v>934</v>
      </c>
      <c r="B2799" s="1" t="s">
        <v>2046</v>
      </c>
      <c r="C2799" s="1" t="s">
        <v>1722</v>
      </c>
      <c r="D2799" s="1" t="s">
        <v>2753</v>
      </c>
      <c r="E2799" s="1" t="s">
        <v>2758</v>
      </c>
      <c r="F2799" s="3">
        <v>0</v>
      </c>
      <c r="I2799" s="24" t="s">
        <v>5392</v>
      </c>
      <c r="J2799" s="24" t="s">
        <v>2919</v>
      </c>
      <c r="K2799" s="3">
        <v>28</v>
      </c>
      <c r="L2799" s="3" t="s">
        <v>7061</v>
      </c>
      <c r="M2799" s="3" t="str">
        <f>HYPERLINK("http://ictvonline.org/taxonomyHistory.asp?taxnode_id=20153539","ICTVonline=20153539")</f>
        <v>ICTVonline=20153539</v>
      </c>
    </row>
    <row r="2800" spans="1:13" x14ac:dyDescent="0.15">
      <c r="A2800" s="1" t="s">
        <v>934</v>
      </c>
      <c r="B2800" s="1" t="s">
        <v>2046</v>
      </c>
      <c r="C2800" s="1" t="s">
        <v>1722</v>
      </c>
      <c r="D2800" s="1" t="s">
        <v>2759</v>
      </c>
      <c r="E2800" s="1" t="s">
        <v>2760</v>
      </c>
      <c r="F2800" s="3">
        <v>0</v>
      </c>
      <c r="I2800" s="24" t="s">
        <v>5392</v>
      </c>
      <c r="J2800" s="24" t="s">
        <v>2919</v>
      </c>
      <c r="K2800" s="3">
        <v>28</v>
      </c>
      <c r="L2800" s="3" t="s">
        <v>7061</v>
      </c>
      <c r="M2800" s="3" t="str">
        <f>HYPERLINK("http://ictvonline.org/taxonomyHistory.asp?taxnode_id=20153541","ICTVonline=20153541")</f>
        <v>ICTVonline=20153541</v>
      </c>
    </row>
    <row r="2801" spans="1:13" x14ac:dyDescent="0.15">
      <c r="A2801" s="1" t="s">
        <v>934</v>
      </c>
      <c r="B2801" s="1" t="s">
        <v>2046</v>
      </c>
      <c r="C2801" s="1" t="s">
        <v>1722</v>
      </c>
      <c r="D2801" s="1" t="s">
        <v>2759</v>
      </c>
      <c r="E2801" s="1" t="s">
        <v>2761</v>
      </c>
      <c r="F2801" s="3">
        <v>1</v>
      </c>
      <c r="I2801" s="24" t="s">
        <v>5392</v>
      </c>
      <c r="J2801" s="24" t="s">
        <v>2919</v>
      </c>
      <c r="K2801" s="3">
        <v>28</v>
      </c>
      <c r="L2801" s="3" t="s">
        <v>7061</v>
      </c>
      <c r="M2801" s="3" t="str">
        <f>HYPERLINK("http://ictvonline.org/taxonomyHistory.asp?taxnode_id=20153542","ICTVonline=20153542")</f>
        <v>ICTVonline=20153542</v>
      </c>
    </row>
    <row r="2802" spans="1:13" x14ac:dyDescent="0.15">
      <c r="A2802" s="1" t="s">
        <v>934</v>
      </c>
      <c r="B2802" s="1" t="s">
        <v>2046</v>
      </c>
      <c r="C2802" s="1" t="s">
        <v>1722</v>
      </c>
      <c r="D2802" s="1" t="s">
        <v>2759</v>
      </c>
      <c r="E2802" s="1" t="s">
        <v>2762</v>
      </c>
      <c r="F2802" s="3">
        <v>0</v>
      </c>
      <c r="I2802" s="24" t="s">
        <v>5392</v>
      </c>
      <c r="J2802" s="24" t="s">
        <v>2919</v>
      </c>
      <c r="K2802" s="3">
        <v>28</v>
      </c>
      <c r="L2802" s="3" t="s">
        <v>7061</v>
      </c>
      <c r="M2802" s="3" t="str">
        <f>HYPERLINK("http://ictvonline.org/taxonomyHistory.asp?taxnode_id=20153543","ICTVonline=20153543")</f>
        <v>ICTVonline=20153543</v>
      </c>
    </row>
    <row r="2803" spans="1:13" x14ac:dyDescent="0.15">
      <c r="A2803" s="1" t="s">
        <v>934</v>
      </c>
      <c r="B2803" s="1" t="s">
        <v>2046</v>
      </c>
      <c r="C2803" s="1" t="s">
        <v>1722</v>
      </c>
      <c r="D2803" s="1" t="s">
        <v>2759</v>
      </c>
      <c r="E2803" s="1" t="s">
        <v>2763</v>
      </c>
      <c r="F2803" s="3">
        <v>0</v>
      </c>
      <c r="I2803" s="24" t="s">
        <v>5392</v>
      </c>
      <c r="J2803" s="24" t="s">
        <v>2919</v>
      </c>
      <c r="K2803" s="3">
        <v>28</v>
      </c>
      <c r="L2803" s="3" t="s">
        <v>7061</v>
      </c>
      <c r="M2803" s="3" t="str">
        <f>HYPERLINK("http://ictvonline.org/taxonomyHistory.asp?taxnode_id=20153544","ICTVonline=20153544")</f>
        <v>ICTVonline=20153544</v>
      </c>
    </row>
    <row r="2804" spans="1:13" x14ac:dyDescent="0.15">
      <c r="A2804" s="1" t="s">
        <v>934</v>
      </c>
      <c r="B2804" s="1" t="s">
        <v>2046</v>
      </c>
      <c r="C2804" s="1" t="s">
        <v>1722</v>
      </c>
      <c r="D2804" s="1" t="s">
        <v>2759</v>
      </c>
      <c r="E2804" s="1" t="s">
        <v>2764</v>
      </c>
      <c r="F2804" s="3">
        <v>0</v>
      </c>
      <c r="I2804" s="24" t="s">
        <v>5392</v>
      </c>
      <c r="J2804" s="24" t="s">
        <v>2919</v>
      </c>
      <c r="K2804" s="3">
        <v>28</v>
      </c>
      <c r="L2804" s="3" t="s">
        <v>7061</v>
      </c>
      <c r="M2804" s="3" t="str">
        <f>HYPERLINK("http://ictvonline.org/taxonomyHistory.asp?taxnode_id=20153545","ICTVonline=20153545")</f>
        <v>ICTVonline=20153545</v>
      </c>
    </row>
    <row r="2805" spans="1:13" x14ac:dyDescent="0.15">
      <c r="A2805" s="1" t="s">
        <v>934</v>
      </c>
      <c r="B2805" s="1" t="s">
        <v>2046</v>
      </c>
      <c r="C2805" s="1" t="s">
        <v>1722</v>
      </c>
      <c r="D2805" s="1" t="s">
        <v>2759</v>
      </c>
      <c r="E2805" s="1" t="s">
        <v>2765</v>
      </c>
      <c r="F2805" s="3">
        <v>0</v>
      </c>
      <c r="I2805" s="24" t="s">
        <v>5392</v>
      </c>
      <c r="J2805" s="24" t="s">
        <v>2919</v>
      </c>
      <c r="K2805" s="3">
        <v>28</v>
      </c>
      <c r="L2805" s="3" t="s">
        <v>7061</v>
      </c>
      <c r="M2805" s="3" t="str">
        <f>HYPERLINK("http://ictvonline.org/taxonomyHistory.asp?taxnode_id=20153546","ICTVonline=20153546")</f>
        <v>ICTVonline=20153546</v>
      </c>
    </row>
    <row r="2806" spans="1:13" x14ac:dyDescent="0.15">
      <c r="A2806" s="1" t="s">
        <v>934</v>
      </c>
      <c r="B2806" s="1" t="s">
        <v>190</v>
      </c>
      <c r="D2806" s="1" t="s">
        <v>191</v>
      </c>
      <c r="E2806" s="1" t="s">
        <v>1983</v>
      </c>
      <c r="F2806" s="3">
        <v>0</v>
      </c>
      <c r="I2806" s="24" t="s">
        <v>3265</v>
      </c>
      <c r="J2806" s="24" t="s">
        <v>2920</v>
      </c>
      <c r="K2806" s="3">
        <v>26</v>
      </c>
      <c r="L2806" s="3" t="s">
        <v>6917</v>
      </c>
      <c r="M2806" s="3" t="str">
        <f>HYPERLINK("http://ictvonline.org/taxonomyHistory.asp?taxnode_id=20153550","ICTVonline=20153550")</f>
        <v>ICTVonline=20153550</v>
      </c>
    </row>
    <row r="2807" spans="1:13" x14ac:dyDescent="0.15">
      <c r="A2807" s="1" t="s">
        <v>934</v>
      </c>
      <c r="B2807" s="1" t="s">
        <v>190</v>
      </c>
      <c r="D2807" s="1" t="s">
        <v>191</v>
      </c>
      <c r="E2807" s="1" t="s">
        <v>1987</v>
      </c>
      <c r="F2807" s="3">
        <v>1</v>
      </c>
      <c r="I2807" s="24" t="s">
        <v>3265</v>
      </c>
      <c r="J2807" s="24" t="s">
        <v>2922</v>
      </c>
      <c r="K2807" s="3">
        <v>26</v>
      </c>
      <c r="L2807" s="3" t="s">
        <v>6917</v>
      </c>
      <c r="M2807" s="3" t="str">
        <f>HYPERLINK("http://ictvonline.org/taxonomyHistory.asp?taxnode_id=20153551","ICTVonline=20153551")</f>
        <v>ICTVonline=20153551</v>
      </c>
    </row>
    <row r="2808" spans="1:13" x14ac:dyDescent="0.15">
      <c r="A2808" s="1" t="s">
        <v>934</v>
      </c>
      <c r="B2808" s="1" t="s">
        <v>1417</v>
      </c>
      <c r="D2808" s="1" t="s">
        <v>1418</v>
      </c>
      <c r="E2808" s="1" t="s">
        <v>192</v>
      </c>
      <c r="F2808" s="3">
        <v>0</v>
      </c>
      <c r="I2808" s="24" t="s">
        <v>2965</v>
      </c>
      <c r="J2808" s="24" t="s">
        <v>2919</v>
      </c>
      <c r="K2808" s="3">
        <v>26</v>
      </c>
      <c r="L2808" s="3" t="s">
        <v>7062</v>
      </c>
      <c r="M2808" s="3" t="str">
        <f>HYPERLINK("http://ictvonline.org/taxonomyHistory.asp?taxnode_id=20153555","ICTVonline=20153555")</f>
        <v>ICTVonline=20153555</v>
      </c>
    </row>
    <row r="2809" spans="1:13" x14ac:dyDescent="0.15">
      <c r="A2809" s="1" t="s">
        <v>934</v>
      </c>
      <c r="B2809" s="1" t="s">
        <v>1417</v>
      </c>
      <c r="D2809" s="1" t="s">
        <v>1418</v>
      </c>
      <c r="E2809" s="1" t="s">
        <v>1419</v>
      </c>
      <c r="F2809" s="3">
        <v>0</v>
      </c>
      <c r="I2809" s="24" t="s">
        <v>2965</v>
      </c>
      <c r="J2809" s="24" t="s">
        <v>2920</v>
      </c>
      <c r="K2809" s="3">
        <v>17</v>
      </c>
      <c r="L2809" s="3" t="s">
        <v>2928</v>
      </c>
      <c r="M2809" s="3" t="str">
        <f>HYPERLINK("http://ictvonline.org/taxonomyHistory.asp?taxnode_id=20153556","ICTVonline=20153556")</f>
        <v>ICTVonline=20153556</v>
      </c>
    </row>
    <row r="2810" spans="1:13" x14ac:dyDescent="0.15">
      <c r="A2810" s="1" t="s">
        <v>934</v>
      </c>
      <c r="B2810" s="1" t="s">
        <v>1417</v>
      </c>
      <c r="D2810" s="1" t="s">
        <v>1418</v>
      </c>
      <c r="E2810" s="1" t="s">
        <v>1420</v>
      </c>
      <c r="F2810" s="3">
        <v>1</v>
      </c>
      <c r="I2810" s="24" t="s">
        <v>2965</v>
      </c>
      <c r="J2810" s="24" t="s">
        <v>2920</v>
      </c>
      <c r="K2810" s="3">
        <v>17</v>
      </c>
      <c r="L2810" s="3" t="s">
        <v>2928</v>
      </c>
      <c r="M2810" s="3" t="str">
        <f>HYPERLINK("http://ictvonline.org/taxonomyHistory.asp?taxnode_id=20153557","ICTVonline=20153557")</f>
        <v>ICTVonline=20153557</v>
      </c>
    </row>
    <row r="2811" spans="1:13" x14ac:dyDescent="0.15">
      <c r="A2811" s="1" t="s">
        <v>934</v>
      </c>
      <c r="B2811" s="1" t="s">
        <v>1417</v>
      </c>
      <c r="D2811" s="1" t="s">
        <v>1418</v>
      </c>
      <c r="E2811" s="1" t="s">
        <v>1421</v>
      </c>
      <c r="F2811" s="3">
        <v>0</v>
      </c>
      <c r="I2811" s="24" t="s">
        <v>2965</v>
      </c>
      <c r="J2811" s="24" t="s">
        <v>2920</v>
      </c>
      <c r="K2811" s="3">
        <v>17</v>
      </c>
      <c r="L2811" s="3" t="s">
        <v>2928</v>
      </c>
      <c r="M2811" s="3" t="str">
        <f>HYPERLINK("http://ictvonline.org/taxonomyHistory.asp?taxnode_id=20153558","ICTVonline=20153558")</f>
        <v>ICTVonline=20153558</v>
      </c>
    </row>
    <row r="2812" spans="1:13" x14ac:dyDescent="0.15">
      <c r="A2812" s="1" t="s">
        <v>934</v>
      </c>
      <c r="B2812" s="1" t="s">
        <v>1417</v>
      </c>
      <c r="D2812" s="1" t="s">
        <v>1418</v>
      </c>
      <c r="E2812" s="1" t="s">
        <v>1422</v>
      </c>
      <c r="F2812" s="3">
        <v>0</v>
      </c>
      <c r="I2812" s="24" t="s">
        <v>2965</v>
      </c>
      <c r="J2812" s="24" t="s">
        <v>2920</v>
      </c>
      <c r="K2812" s="3">
        <v>17</v>
      </c>
      <c r="L2812" s="3" t="s">
        <v>2928</v>
      </c>
      <c r="M2812" s="3" t="str">
        <f>HYPERLINK("http://ictvonline.org/taxonomyHistory.asp?taxnode_id=20153559","ICTVonline=20153559")</f>
        <v>ICTVonline=20153559</v>
      </c>
    </row>
    <row r="2813" spans="1:13" x14ac:dyDescent="0.15">
      <c r="A2813" s="1" t="s">
        <v>934</v>
      </c>
      <c r="B2813" s="1" t="s">
        <v>1417</v>
      </c>
      <c r="D2813" s="1" t="s">
        <v>1418</v>
      </c>
      <c r="E2813" s="1" t="s">
        <v>1028</v>
      </c>
      <c r="F2813" s="3">
        <v>0</v>
      </c>
      <c r="I2813" s="24" t="s">
        <v>2965</v>
      </c>
      <c r="J2813" s="24" t="s">
        <v>2920</v>
      </c>
      <c r="K2813" s="3">
        <v>17</v>
      </c>
      <c r="L2813" s="3" t="s">
        <v>2928</v>
      </c>
      <c r="M2813" s="3" t="str">
        <f>HYPERLINK("http://ictvonline.org/taxonomyHistory.asp?taxnode_id=20153560","ICTVonline=20153560")</f>
        <v>ICTVonline=20153560</v>
      </c>
    </row>
    <row r="2814" spans="1:13" x14ac:dyDescent="0.15">
      <c r="A2814" s="1" t="s">
        <v>934</v>
      </c>
      <c r="B2814" s="1" t="s">
        <v>1417</v>
      </c>
      <c r="D2814" s="1" t="s">
        <v>1418</v>
      </c>
      <c r="E2814" s="1" t="s">
        <v>1029</v>
      </c>
      <c r="F2814" s="3">
        <v>0</v>
      </c>
      <c r="I2814" s="24" t="s">
        <v>2965</v>
      </c>
      <c r="J2814" s="24" t="s">
        <v>2920</v>
      </c>
      <c r="K2814" s="3">
        <v>17</v>
      </c>
      <c r="L2814" s="3" t="s">
        <v>2928</v>
      </c>
      <c r="M2814" s="3" t="str">
        <f>HYPERLINK("http://ictvonline.org/taxonomyHistory.asp?taxnode_id=20153561","ICTVonline=20153561")</f>
        <v>ICTVonline=20153561</v>
      </c>
    </row>
    <row r="2815" spans="1:13" x14ac:dyDescent="0.15">
      <c r="A2815" s="1" t="s">
        <v>934</v>
      </c>
      <c r="B2815" s="1" t="s">
        <v>1417</v>
      </c>
      <c r="D2815" s="1" t="s">
        <v>1418</v>
      </c>
      <c r="E2815" s="1" t="s">
        <v>673</v>
      </c>
      <c r="F2815" s="3">
        <v>0</v>
      </c>
      <c r="I2815" s="24" t="s">
        <v>2965</v>
      </c>
      <c r="J2815" s="24" t="s">
        <v>2920</v>
      </c>
      <c r="K2815" s="3">
        <v>17</v>
      </c>
      <c r="L2815" s="3" t="s">
        <v>2928</v>
      </c>
      <c r="M2815" s="3" t="str">
        <f>HYPERLINK("http://ictvonline.org/taxonomyHistory.asp?taxnode_id=20153562","ICTVonline=20153562")</f>
        <v>ICTVonline=20153562</v>
      </c>
    </row>
    <row r="2816" spans="1:13" x14ac:dyDescent="0.15">
      <c r="A2816" s="1" t="s">
        <v>934</v>
      </c>
      <c r="B2816" s="1" t="s">
        <v>1417</v>
      </c>
      <c r="D2816" s="1" t="s">
        <v>1418</v>
      </c>
      <c r="E2816" s="1" t="s">
        <v>674</v>
      </c>
      <c r="F2816" s="3">
        <v>0</v>
      </c>
      <c r="I2816" s="24" t="s">
        <v>2965</v>
      </c>
      <c r="J2816" s="24" t="s">
        <v>2920</v>
      </c>
      <c r="K2816" s="3">
        <v>17</v>
      </c>
      <c r="L2816" s="3" t="s">
        <v>2928</v>
      </c>
      <c r="M2816" s="3" t="str">
        <f>HYPERLINK("http://ictvonline.org/taxonomyHistory.asp?taxnode_id=20153563","ICTVonline=20153563")</f>
        <v>ICTVonline=20153563</v>
      </c>
    </row>
    <row r="2817" spans="1:13" x14ac:dyDescent="0.15">
      <c r="A2817" s="1" t="s">
        <v>934</v>
      </c>
      <c r="B2817" s="1" t="s">
        <v>1417</v>
      </c>
      <c r="D2817" s="1" t="s">
        <v>1418</v>
      </c>
      <c r="E2817" s="1" t="s">
        <v>675</v>
      </c>
      <c r="F2817" s="3">
        <v>0</v>
      </c>
      <c r="I2817" s="24" t="s">
        <v>2965</v>
      </c>
      <c r="J2817" s="24" t="s">
        <v>2920</v>
      </c>
      <c r="K2817" s="3">
        <v>17</v>
      </c>
      <c r="L2817" s="3" t="s">
        <v>2928</v>
      </c>
      <c r="M2817" s="3" t="str">
        <f>HYPERLINK("http://ictvonline.org/taxonomyHistory.asp?taxnode_id=20153564","ICTVonline=20153564")</f>
        <v>ICTVonline=20153564</v>
      </c>
    </row>
    <row r="2818" spans="1:13" x14ac:dyDescent="0.15">
      <c r="A2818" s="1" t="s">
        <v>934</v>
      </c>
      <c r="B2818" s="1" t="s">
        <v>1417</v>
      </c>
      <c r="D2818" s="1" t="s">
        <v>1418</v>
      </c>
      <c r="E2818" s="1" t="s">
        <v>859</v>
      </c>
      <c r="F2818" s="3">
        <v>0</v>
      </c>
      <c r="I2818" s="24" t="s">
        <v>2965</v>
      </c>
      <c r="J2818" s="24" t="s">
        <v>2920</v>
      </c>
      <c r="K2818" s="3">
        <v>17</v>
      </c>
      <c r="L2818" s="3" t="s">
        <v>2928</v>
      </c>
      <c r="M2818" s="3" t="str">
        <f>HYPERLINK("http://ictvonline.org/taxonomyHistory.asp?taxnode_id=20153565","ICTVonline=20153565")</f>
        <v>ICTVonline=20153565</v>
      </c>
    </row>
    <row r="2819" spans="1:13" x14ac:dyDescent="0.15">
      <c r="A2819" s="1" t="s">
        <v>934</v>
      </c>
      <c r="B2819" s="1" t="s">
        <v>1417</v>
      </c>
      <c r="D2819" s="1" t="s">
        <v>1418</v>
      </c>
      <c r="E2819" s="1" t="s">
        <v>1979</v>
      </c>
      <c r="F2819" s="3">
        <v>0</v>
      </c>
      <c r="I2819" s="24" t="s">
        <v>2965</v>
      </c>
      <c r="J2819" s="24" t="s">
        <v>2920</v>
      </c>
      <c r="K2819" s="3">
        <v>17</v>
      </c>
      <c r="L2819" s="3" t="s">
        <v>2928</v>
      </c>
      <c r="M2819" s="3" t="str">
        <f>HYPERLINK("http://ictvonline.org/taxonomyHistory.asp?taxnode_id=20153566","ICTVonline=20153566")</f>
        <v>ICTVonline=20153566</v>
      </c>
    </row>
    <row r="2820" spans="1:13" x14ac:dyDescent="0.15">
      <c r="A2820" s="1" t="s">
        <v>934</v>
      </c>
      <c r="B2820" s="1" t="s">
        <v>1417</v>
      </c>
      <c r="D2820" s="1" t="s">
        <v>1418</v>
      </c>
      <c r="E2820" s="1" t="s">
        <v>1980</v>
      </c>
      <c r="F2820" s="3">
        <v>0</v>
      </c>
      <c r="I2820" s="24" t="s">
        <v>2965</v>
      </c>
      <c r="J2820" s="24" t="s">
        <v>2920</v>
      </c>
      <c r="K2820" s="3">
        <v>17</v>
      </c>
      <c r="L2820" s="3" t="s">
        <v>2928</v>
      </c>
      <c r="M2820" s="3" t="str">
        <f>HYPERLINK("http://ictvonline.org/taxonomyHistory.asp?taxnode_id=20153567","ICTVonline=20153567")</f>
        <v>ICTVonline=20153567</v>
      </c>
    </row>
    <row r="2821" spans="1:13" x14ac:dyDescent="0.15">
      <c r="A2821" s="1" t="s">
        <v>934</v>
      </c>
      <c r="B2821" s="1" t="s">
        <v>1417</v>
      </c>
      <c r="D2821" s="1" t="s">
        <v>1418</v>
      </c>
      <c r="E2821" s="1" t="s">
        <v>1981</v>
      </c>
      <c r="F2821" s="3">
        <v>0</v>
      </c>
      <c r="I2821" s="24" t="s">
        <v>2965</v>
      </c>
      <c r="J2821" s="24" t="s">
        <v>2920</v>
      </c>
      <c r="K2821" s="3">
        <v>17</v>
      </c>
      <c r="L2821" s="3" t="s">
        <v>2928</v>
      </c>
      <c r="M2821" s="3" t="str">
        <f>HYPERLINK("http://ictvonline.org/taxonomyHistory.asp?taxnode_id=20153568","ICTVonline=20153568")</f>
        <v>ICTVonline=20153568</v>
      </c>
    </row>
    <row r="2822" spans="1:13" x14ac:dyDescent="0.15">
      <c r="A2822" s="1" t="s">
        <v>934</v>
      </c>
      <c r="B2822" s="1" t="s">
        <v>1417</v>
      </c>
      <c r="D2822" s="1" t="s">
        <v>1418</v>
      </c>
      <c r="E2822" s="1" t="s">
        <v>863</v>
      </c>
      <c r="F2822" s="3">
        <v>0</v>
      </c>
      <c r="I2822" s="24" t="s">
        <v>2965</v>
      </c>
      <c r="J2822" s="24" t="s">
        <v>2920</v>
      </c>
      <c r="K2822" s="3">
        <v>17</v>
      </c>
      <c r="L2822" s="3" t="s">
        <v>2928</v>
      </c>
      <c r="M2822" s="3" t="str">
        <f>HYPERLINK("http://ictvonline.org/taxonomyHistory.asp?taxnode_id=20153569","ICTVonline=20153569")</f>
        <v>ICTVonline=20153569</v>
      </c>
    </row>
    <row r="2823" spans="1:13" x14ac:dyDescent="0.15">
      <c r="A2823" s="1" t="s">
        <v>934</v>
      </c>
      <c r="B2823" s="1" t="s">
        <v>1417</v>
      </c>
      <c r="D2823" s="1" t="s">
        <v>1418</v>
      </c>
      <c r="E2823" s="1" t="s">
        <v>864</v>
      </c>
      <c r="F2823" s="3">
        <v>0</v>
      </c>
      <c r="I2823" s="24" t="s">
        <v>2965</v>
      </c>
      <c r="J2823" s="24" t="s">
        <v>2920</v>
      </c>
      <c r="K2823" s="3">
        <v>17</v>
      </c>
      <c r="L2823" s="3" t="s">
        <v>2928</v>
      </c>
      <c r="M2823" s="3" t="str">
        <f>HYPERLINK("http://ictvonline.org/taxonomyHistory.asp?taxnode_id=20153570","ICTVonline=20153570")</f>
        <v>ICTVonline=20153570</v>
      </c>
    </row>
    <row r="2824" spans="1:13" x14ac:dyDescent="0.15">
      <c r="A2824" s="1" t="s">
        <v>934</v>
      </c>
      <c r="B2824" s="1" t="s">
        <v>1417</v>
      </c>
      <c r="D2824" s="1" t="s">
        <v>1418</v>
      </c>
      <c r="E2824" s="1" t="s">
        <v>1985</v>
      </c>
      <c r="F2824" s="3">
        <v>0</v>
      </c>
      <c r="I2824" s="24" t="s">
        <v>2965</v>
      </c>
      <c r="J2824" s="24" t="s">
        <v>2920</v>
      </c>
      <c r="K2824" s="3">
        <v>17</v>
      </c>
      <c r="L2824" s="3" t="s">
        <v>2928</v>
      </c>
      <c r="M2824" s="3" t="str">
        <f>HYPERLINK("http://ictvonline.org/taxonomyHistory.asp?taxnode_id=20153571","ICTVonline=20153571")</f>
        <v>ICTVonline=20153571</v>
      </c>
    </row>
    <row r="2825" spans="1:13" x14ac:dyDescent="0.15">
      <c r="A2825" s="1" t="s">
        <v>934</v>
      </c>
      <c r="B2825" s="1" t="s">
        <v>1417</v>
      </c>
      <c r="D2825" s="1" t="s">
        <v>1418</v>
      </c>
      <c r="E2825" s="1" t="s">
        <v>860</v>
      </c>
      <c r="F2825" s="3">
        <v>0</v>
      </c>
      <c r="I2825" s="24" t="s">
        <v>2965</v>
      </c>
      <c r="J2825" s="24" t="s">
        <v>2920</v>
      </c>
      <c r="K2825" s="3">
        <v>17</v>
      </c>
      <c r="L2825" s="3" t="s">
        <v>2928</v>
      </c>
      <c r="M2825" s="3" t="str">
        <f>HYPERLINK("http://ictvonline.org/taxonomyHistory.asp?taxnode_id=20153572","ICTVonline=20153572")</f>
        <v>ICTVonline=20153572</v>
      </c>
    </row>
    <row r="2826" spans="1:13" x14ac:dyDescent="0.15">
      <c r="A2826" s="1" t="s">
        <v>934</v>
      </c>
      <c r="B2826" s="1" t="s">
        <v>1417</v>
      </c>
      <c r="D2826" s="1" t="s">
        <v>1418</v>
      </c>
      <c r="E2826" s="1" t="s">
        <v>861</v>
      </c>
      <c r="F2826" s="3">
        <v>0</v>
      </c>
      <c r="I2826" s="24" t="s">
        <v>2965</v>
      </c>
      <c r="J2826" s="24" t="s">
        <v>2920</v>
      </c>
      <c r="K2826" s="3">
        <v>17</v>
      </c>
      <c r="L2826" s="3" t="s">
        <v>2928</v>
      </c>
      <c r="M2826" s="3" t="str">
        <f>HYPERLINK("http://ictvonline.org/taxonomyHistory.asp?taxnode_id=20153573","ICTVonline=20153573")</f>
        <v>ICTVonline=20153573</v>
      </c>
    </row>
    <row r="2827" spans="1:13" x14ac:dyDescent="0.15">
      <c r="A2827" s="1" t="s">
        <v>934</v>
      </c>
      <c r="B2827" s="1" t="s">
        <v>1417</v>
      </c>
      <c r="D2827" s="1" t="s">
        <v>862</v>
      </c>
      <c r="E2827" s="1" t="s">
        <v>942</v>
      </c>
      <c r="F2827" s="3">
        <v>1</v>
      </c>
      <c r="I2827" s="24" t="s">
        <v>2965</v>
      </c>
      <c r="J2827" s="24" t="s">
        <v>2921</v>
      </c>
      <c r="K2827" s="3">
        <v>22</v>
      </c>
      <c r="L2827" s="3" t="s">
        <v>7063</v>
      </c>
      <c r="M2827" s="3" t="str">
        <f>HYPERLINK("http://ictvonline.org/taxonomyHistory.asp?taxnode_id=20153575","ICTVonline=20153575")</f>
        <v>ICTVonline=20153575</v>
      </c>
    </row>
    <row r="2828" spans="1:13" x14ac:dyDescent="0.15">
      <c r="A2828" s="1" t="s">
        <v>934</v>
      </c>
      <c r="B2828" s="1" t="s">
        <v>1417</v>
      </c>
      <c r="D2828" s="1" t="s">
        <v>943</v>
      </c>
      <c r="E2828" s="1" t="s">
        <v>944</v>
      </c>
      <c r="F2828" s="3">
        <v>0</v>
      </c>
      <c r="I2828" s="24" t="s">
        <v>2965</v>
      </c>
      <c r="J2828" s="24" t="s">
        <v>2919</v>
      </c>
      <c r="K2828" s="3">
        <v>18</v>
      </c>
      <c r="L2828" s="3" t="s">
        <v>2929</v>
      </c>
      <c r="M2828" s="3" t="str">
        <f>HYPERLINK("http://ictvonline.org/taxonomyHistory.asp?taxnode_id=20153577","ICTVonline=20153577")</f>
        <v>ICTVonline=20153577</v>
      </c>
    </row>
    <row r="2829" spans="1:13" x14ac:dyDescent="0.15">
      <c r="A2829" s="1" t="s">
        <v>934</v>
      </c>
      <c r="B2829" s="1" t="s">
        <v>1417</v>
      </c>
      <c r="D2829" s="1" t="s">
        <v>943</v>
      </c>
      <c r="E2829" s="1" t="s">
        <v>960</v>
      </c>
      <c r="F2829" s="3">
        <v>1</v>
      </c>
      <c r="I2829" s="24" t="s">
        <v>2965</v>
      </c>
      <c r="J2829" s="24" t="s">
        <v>2921</v>
      </c>
      <c r="K2829" s="3">
        <v>17</v>
      </c>
      <c r="L2829" s="3" t="s">
        <v>2928</v>
      </c>
      <c r="M2829" s="3" t="str">
        <f>HYPERLINK("http://ictvonline.org/taxonomyHistory.asp?taxnode_id=20153578","ICTVonline=20153578")</f>
        <v>ICTVonline=20153578</v>
      </c>
    </row>
    <row r="2830" spans="1:13" x14ac:dyDescent="0.15">
      <c r="A2830" s="1" t="s">
        <v>934</v>
      </c>
      <c r="B2830" s="1" t="s">
        <v>1417</v>
      </c>
      <c r="D2830" s="1" t="s">
        <v>943</v>
      </c>
      <c r="E2830" s="1" t="s">
        <v>961</v>
      </c>
      <c r="F2830" s="3">
        <v>0</v>
      </c>
      <c r="I2830" s="24" t="s">
        <v>2965</v>
      </c>
      <c r="J2830" s="24" t="s">
        <v>2919</v>
      </c>
      <c r="K2830" s="3">
        <v>18</v>
      </c>
      <c r="L2830" s="3" t="s">
        <v>2929</v>
      </c>
      <c r="M2830" s="3" t="str">
        <f>HYPERLINK("http://ictvonline.org/taxonomyHistory.asp?taxnode_id=20153579","ICTVonline=20153579")</f>
        <v>ICTVonline=20153579</v>
      </c>
    </row>
    <row r="2831" spans="1:13" x14ac:dyDescent="0.15">
      <c r="A2831" s="1" t="s">
        <v>934</v>
      </c>
      <c r="B2831" s="1" t="s">
        <v>1417</v>
      </c>
      <c r="D2831" s="1" t="s">
        <v>943</v>
      </c>
      <c r="E2831" s="1" t="s">
        <v>962</v>
      </c>
      <c r="F2831" s="3">
        <v>0</v>
      </c>
      <c r="I2831" s="24" t="s">
        <v>2965</v>
      </c>
      <c r="J2831" s="24" t="s">
        <v>2919</v>
      </c>
      <c r="K2831" s="3">
        <v>18</v>
      </c>
      <c r="L2831" s="3" t="s">
        <v>2929</v>
      </c>
      <c r="M2831" s="3" t="str">
        <f>HYPERLINK("http://ictvonline.org/taxonomyHistory.asp?taxnode_id=20153580","ICTVonline=20153580")</f>
        <v>ICTVonline=20153580</v>
      </c>
    </row>
    <row r="2832" spans="1:13" x14ac:dyDescent="0.15">
      <c r="A2832" s="1" t="s">
        <v>934</v>
      </c>
      <c r="B2832" s="1" t="s">
        <v>1417</v>
      </c>
      <c r="D2832" s="1" t="s">
        <v>943</v>
      </c>
      <c r="E2832" s="1" t="s">
        <v>963</v>
      </c>
      <c r="F2832" s="3">
        <v>0</v>
      </c>
      <c r="I2832" s="24" t="s">
        <v>2965</v>
      </c>
      <c r="J2832" s="24" t="s">
        <v>2919</v>
      </c>
      <c r="K2832" s="3">
        <v>18</v>
      </c>
      <c r="L2832" s="3" t="s">
        <v>2929</v>
      </c>
      <c r="M2832" s="3" t="str">
        <f>HYPERLINK("http://ictvonline.org/taxonomyHistory.asp?taxnode_id=20153581","ICTVonline=20153581")</f>
        <v>ICTVonline=20153581</v>
      </c>
    </row>
    <row r="2833" spans="1:13" x14ac:dyDescent="0.15">
      <c r="A2833" s="1" t="s">
        <v>934</v>
      </c>
      <c r="B2833" s="1" t="s">
        <v>1417</v>
      </c>
      <c r="D2833" s="1" t="s">
        <v>943</v>
      </c>
      <c r="E2833" s="1" t="s">
        <v>964</v>
      </c>
      <c r="F2833" s="3">
        <v>0</v>
      </c>
      <c r="I2833" s="24" t="s">
        <v>2965</v>
      </c>
      <c r="J2833" s="24" t="s">
        <v>2919</v>
      </c>
      <c r="K2833" s="3">
        <v>18</v>
      </c>
      <c r="L2833" s="3" t="s">
        <v>2929</v>
      </c>
      <c r="M2833" s="3" t="str">
        <f>HYPERLINK("http://ictvonline.org/taxonomyHistory.asp?taxnode_id=20153582","ICTVonline=20153582")</f>
        <v>ICTVonline=20153582</v>
      </c>
    </row>
    <row r="2834" spans="1:13" x14ac:dyDescent="0.15">
      <c r="A2834" s="1" t="s">
        <v>934</v>
      </c>
      <c r="B2834" s="1" t="s">
        <v>1417</v>
      </c>
      <c r="D2834" s="1" t="s">
        <v>943</v>
      </c>
      <c r="E2834" s="1" t="s">
        <v>965</v>
      </c>
      <c r="F2834" s="3">
        <v>0</v>
      </c>
      <c r="I2834" s="24" t="s">
        <v>2965</v>
      </c>
      <c r="J2834" s="24" t="s">
        <v>2919</v>
      </c>
      <c r="K2834" s="3">
        <v>18</v>
      </c>
      <c r="L2834" s="3" t="s">
        <v>2929</v>
      </c>
      <c r="M2834" s="3" t="str">
        <f>HYPERLINK("http://ictvonline.org/taxonomyHistory.asp?taxnode_id=20153583","ICTVonline=20153583")</f>
        <v>ICTVonline=20153583</v>
      </c>
    </row>
    <row r="2835" spans="1:13" x14ac:dyDescent="0.15">
      <c r="A2835" s="1" t="s">
        <v>934</v>
      </c>
      <c r="B2835" s="1" t="s">
        <v>1417</v>
      </c>
      <c r="D2835" s="1" t="s">
        <v>943</v>
      </c>
      <c r="E2835" s="1" t="s">
        <v>966</v>
      </c>
      <c r="F2835" s="3">
        <v>0</v>
      </c>
      <c r="I2835" s="24" t="s">
        <v>2965</v>
      </c>
      <c r="J2835" s="24" t="s">
        <v>2919</v>
      </c>
      <c r="K2835" s="3">
        <v>18</v>
      </c>
      <c r="L2835" s="3" t="s">
        <v>2929</v>
      </c>
      <c r="M2835" s="3" t="str">
        <f>HYPERLINK("http://ictvonline.org/taxonomyHistory.asp?taxnode_id=20153584","ICTVonline=20153584")</f>
        <v>ICTVonline=20153584</v>
      </c>
    </row>
    <row r="2836" spans="1:13" x14ac:dyDescent="0.15">
      <c r="A2836" s="1" t="s">
        <v>934</v>
      </c>
      <c r="B2836" s="1" t="s">
        <v>1417</v>
      </c>
      <c r="D2836" s="1" t="s">
        <v>943</v>
      </c>
      <c r="E2836" s="1" t="s">
        <v>967</v>
      </c>
      <c r="F2836" s="3">
        <v>0</v>
      </c>
      <c r="I2836" s="24" t="s">
        <v>2965</v>
      </c>
      <c r="J2836" s="24" t="s">
        <v>2919</v>
      </c>
      <c r="K2836" s="3">
        <v>22</v>
      </c>
      <c r="L2836" s="3" t="s">
        <v>7064</v>
      </c>
      <c r="M2836" s="3" t="str">
        <f>HYPERLINK("http://ictvonline.org/taxonomyHistory.asp?taxnode_id=20153585","ICTVonline=20153585")</f>
        <v>ICTVonline=20153585</v>
      </c>
    </row>
    <row r="2837" spans="1:13" x14ac:dyDescent="0.15">
      <c r="A2837" s="1" t="s">
        <v>934</v>
      </c>
      <c r="B2837" s="1" t="s">
        <v>1417</v>
      </c>
      <c r="D2837" s="1" t="s">
        <v>968</v>
      </c>
      <c r="E2837" s="1" t="s">
        <v>969</v>
      </c>
      <c r="F2837" s="3">
        <v>1</v>
      </c>
      <c r="I2837" s="24" t="s">
        <v>2965</v>
      </c>
      <c r="J2837" s="24" t="s">
        <v>2921</v>
      </c>
      <c r="K2837" s="3">
        <v>17</v>
      </c>
      <c r="L2837" s="3" t="s">
        <v>2928</v>
      </c>
      <c r="M2837" s="3" t="str">
        <f>HYPERLINK("http://ictvonline.org/taxonomyHistory.asp?taxnode_id=20153587","ICTVonline=20153587")</f>
        <v>ICTVonline=20153587</v>
      </c>
    </row>
    <row r="2838" spans="1:13" x14ac:dyDescent="0.15">
      <c r="A2838" s="1" t="s">
        <v>934</v>
      </c>
      <c r="B2838" s="1" t="s">
        <v>1417</v>
      </c>
      <c r="D2838" s="1" t="s">
        <v>968</v>
      </c>
      <c r="E2838" s="1" t="s">
        <v>193</v>
      </c>
      <c r="F2838" s="3">
        <v>0</v>
      </c>
      <c r="I2838" s="24" t="s">
        <v>2965</v>
      </c>
      <c r="J2838" s="24" t="s">
        <v>2919</v>
      </c>
      <c r="K2838" s="3">
        <v>26</v>
      </c>
      <c r="L2838" s="3" t="s">
        <v>7065</v>
      </c>
      <c r="M2838" s="3" t="str">
        <f>HYPERLINK("http://ictvonline.org/taxonomyHistory.asp?taxnode_id=20153588","ICTVonline=20153588")</f>
        <v>ICTVonline=20153588</v>
      </c>
    </row>
    <row r="2839" spans="1:13" x14ac:dyDescent="0.15">
      <c r="A2839" s="1" t="s">
        <v>934</v>
      </c>
      <c r="B2839" s="1" t="s">
        <v>1417</v>
      </c>
      <c r="D2839" s="1" t="s">
        <v>970</v>
      </c>
      <c r="E2839" s="1" t="s">
        <v>971</v>
      </c>
      <c r="F2839" s="3">
        <v>1</v>
      </c>
      <c r="I2839" s="24" t="s">
        <v>2965</v>
      </c>
      <c r="J2839" s="24" t="s">
        <v>2921</v>
      </c>
      <c r="K2839" s="3">
        <v>17</v>
      </c>
      <c r="L2839" s="3" t="s">
        <v>2928</v>
      </c>
      <c r="M2839" s="3" t="str">
        <f>HYPERLINK("http://ictvonline.org/taxonomyHistory.asp?taxnode_id=20153590","ICTVonline=20153590")</f>
        <v>ICTVonline=20153590</v>
      </c>
    </row>
    <row r="2840" spans="1:13" x14ac:dyDescent="0.15">
      <c r="A2840" s="1" t="s">
        <v>934</v>
      </c>
      <c r="B2840" s="1" t="s">
        <v>1417</v>
      </c>
      <c r="D2840" s="1" t="s">
        <v>972</v>
      </c>
      <c r="E2840" s="1" t="s">
        <v>973</v>
      </c>
      <c r="F2840" s="3">
        <v>1</v>
      </c>
      <c r="I2840" s="24" t="s">
        <v>2965</v>
      </c>
      <c r="J2840" s="24" t="s">
        <v>2921</v>
      </c>
      <c r="K2840" s="3">
        <v>22</v>
      </c>
      <c r="L2840" s="3" t="s">
        <v>7066</v>
      </c>
      <c r="M2840" s="3" t="str">
        <f>HYPERLINK("http://ictvonline.org/taxonomyHistory.asp?taxnode_id=20153592","ICTVonline=20153592")</f>
        <v>ICTVonline=20153592</v>
      </c>
    </row>
    <row r="2841" spans="1:13" x14ac:dyDescent="0.15">
      <c r="A2841" s="1" t="s">
        <v>934</v>
      </c>
      <c r="B2841" s="1" t="s">
        <v>892</v>
      </c>
      <c r="D2841" s="1" t="s">
        <v>893</v>
      </c>
      <c r="E2841" s="1" t="s">
        <v>894</v>
      </c>
      <c r="F2841" s="3">
        <v>1</v>
      </c>
      <c r="I2841" s="24" t="s">
        <v>3286</v>
      </c>
      <c r="J2841" s="24" t="s">
        <v>2921</v>
      </c>
      <c r="K2841" s="3">
        <v>24</v>
      </c>
      <c r="L2841" s="3" t="s">
        <v>7067</v>
      </c>
      <c r="M2841" s="3" t="str">
        <f>HYPERLINK("http://ictvonline.org/taxonomyHistory.asp?taxnode_id=20153596","ICTVonline=20153596")</f>
        <v>ICTVonline=20153596</v>
      </c>
    </row>
    <row r="2842" spans="1:13" x14ac:dyDescent="0.15">
      <c r="A2842" s="1" t="s">
        <v>934</v>
      </c>
      <c r="B2842" s="1" t="s">
        <v>892</v>
      </c>
      <c r="D2842" s="1" t="s">
        <v>893</v>
      </c>
      <c r="E2842" s="1" t="s">
        <v>895</v>
      </c>
      <c r="F2842" s="3">
        <v>0</v>
      </c>
      <c r="I2842" s="24" t="s">
        <v>3286</v>
      </c>
      <c r="J2842" s="24" t="s">
        <v>2919</v>
      </c>
      <c r="K2842" s="3">
        <v>24</v>
      </c>
      <c r="L2842" s="3" t="s">
        <v>7067</v>
      </c>
      <c r="M2842" s="3" t="str">
        <f>HYPERLINK("http://ictvonline.org/taxonomyHistory.asp?taxnode_id=20153597","ICTVonline=20153597")</f>
        <v>ICTVonline=20153597</v>
      </c>
    </row>
    <row r="2843" spans="1:13" x14ac:dyDescent="0.15">
      <c r="A2843" s="1" t="s">
        <v>934</v>
      </c>
      <c r="B2843" s="1" t="s">
        <v>978</v>
      </c>
      <c r="D2843" s="1" t="s">
        <v>979</v>
      </c>
      <c r="E2843" s="1" t="s">
        <v>5896</v>
      </c>
      <c r="F2843" s="3">
        <v>1</v>
      </c>
      <c r="I2843" s="24" t="s">
        <v>2965</v>
      </c>
      <c r="J2843" s="24" t="s">
        <v>2924</v>
      </c>
      <c r="K2843" s="3">
        <v>30</v>
      </c>
      <c r="L2843" s="3" t="s">
        <v>6745</v>
      </c>
      <c r="M2843" s="3" t="str">
        <f>HYPERLINK("http://ictvonline.org/taxonomyHistory.asp?taxnode_id=20153601","ICTVonline=20153601")</f>
        <v>ICTVonline=20153601</v>
      </c>
    </row>
    <row r="2844" spans="1:13" x14ac:dyDescent="0.15">
      <c r="A2844" s="1" t="s">
        <v>934</v>
      </c>
      <c r="B2844" s="1" t="s">
        <v>5897</v>
      </c>
      <c r="D2844" s="1" t="s">
        <v>5898</v>
      </c>
      <c r="E2844" s="1" t="s">
        <v>5899</v>
      </c>
      <c r="F2844" s="3">
        <v>0</v>
      </c>
      <c r="G2844" s="24" t="s">
        <v>5900</v>
      </c>
      <c r="H2844" s="24" t="s">
        <v>5901</v>
      </c>
      <c r="I2844" s="24" t="s">
        <v>2965</v>
      </c>
      <c r="J2844" s="24" t="s">
        <v>2919</v>
      </c>
      <c r="K2844" s="3">
        <v>30</v>
      </c>
      <c r="L2844" s="3" t="s">
        <v>7068</v>
      </c>
      <c r="M2844" s="3" t="str">
        <f>HYPERLINK("http://ictvonline.org/taxonomyHistory.asp?taxnode_id=20154625","ICTVonline=20154625")</f>
        <v>ICTVonline=20154625</v>
      </c>
    </row>
    <row r="2845" spans="1:13" x14ac:dyDescent="0.15">
      <c r="A2845" s="1" t="s">
        <v>934</v>
      </c>
      <c r="B2845" s="1" t="s">
        <v>5897</v>
      </c>
      <c r="D2845" s="1" t="s">
        <v>5898</v>
      </c>
      <c r="E2845" s="1" t="s">
        <v>5902</v>
      </c>
      <c r="F2845" s="3">
        <v>0</v>
      </c>
      <c r="G2845" s="24" t="s">
        <v>5903</v>
      </c>
      <c r="H2845" s="24" t="s">
        <v>5904</v>
      </c>
      <c r="I2845" s="24" t="s">
        <v>3274</v>
      </c>
      <c r="J2845" s="24" t="s">
        <v>2919</v>
      </c>
      <c r="K2845" s="3">
        <v>30</v>
      </c>
      <c r="L2845" s="3" t="s">
        <v>7068</v>
      </c>
      <c r="M2845" s="3" t="str">
        <f>HYPERLINK("http://ictvonline.org/taxonomyHistory.asp?taxnode_id=20154626","ICTVonline=20154626")</f>
        <v>ICTVonline=20154626</v>
      </c>
    </row>
    <row r="2846" spans="1:13" x14ac:dyDescent="0.15">
      <c r="A2846" s="1" t="s">
        <v>934</v>
      </c>
      <c r="B2846" s="1" t="s">
        <v>5897</v>
      </c>
      <c r="D2846" s="1" t="s">
        <v>5898</v>
      </c>
      <c r="E2846" s="1" t="s">
        <v>5905</v>
      </c>
      <c r="F2846" s="3">
        <v>1</v>
      </c>
      <c r="G2846" s="24" t="s">
        <v>5906</v>
      </c>
      <c r="H2846" s="24" t="s">
        <v>5907</v>
      </c>
      <c r="I2846" s="24" t="s">
        <v>3274</v>
      </c>
      <c r="J2846" s="24" t="s">
        <v>2919</v>
      </c>
      <c r="K2846" s="3">
        <v>30</v>
      </c>
      <c r="L2846" s="3" t="s">
        <v>7068</v>
      </c>
      <c r="M2846" s="3" t="str">
        <f>HYPERLINK("http://ictvonline.org/taxonomyHistory.asp?taxnode_id=20154622","ICTVonline=20154622")</f>
        <v>ICTVonline=20154622</v>
      </c>
    </row>
    <row r="2847" spans="1:13" x14ac:dyDescent="0.15">
      <c r="A2847" s="1" t="s">
        <v>934</v>
      </c>
      <c r="B2847" s="1" t="s">
        <v>5897</v>
      </c>
      <c r="D2847" s="1" t="s">
        <v>5898</v>
      </c>
      <c r="E2847" s="1" t="s">
        <v>5908</v>
      </c>
      <c r="F2847" s="3">
        <v>0</v>
      </c>
      <c r="G2847" s="24" t="s">
        <v>5909</v>
      </c>
      <c r="H2847" s="24" t="s">
        <v>5910</v>
      </c>
      <c r="I2847" s="24" t="s">
        <v>3274</v>
      </c>
      <c r="J2847" s="24" t="s">
        <v>2919</v>
      </c>
      <c r="K2847" s="3">
        <v>30</v>
      </c>
      <c r="L2847" s="3" t="s">
        <v>7068</v>
      </c>
      <c r="M2847" s="3" t="str">
        <f>HYPERLINK("http://ictvonline.org/taxonomyHistory.asp?taxnode_id=20154623","ICTVonline=20154623")</f>
        <v>ICTVonline=20154623</v>
      </c>
    </row>
    <row r="2848" spans="1:13" x14ac:dyDescent="0.15">
      <c r="A2848" s="1" t="s">
        <v>934</v>
      </c>
      <c r="B2848" s="1" t="s">
        <v>5897</v>
      </c>
      <c r="D2848" s="1" t="s">
        <v>5898</v>
      </c>
      <c r="E2848" s="1" t="s">
        <v>5911</v>
      </c>
      <c r="F2848" s="3">
        <v>0</v>
      </c>
      <c r="G2848" s="24" t="s">
        <v>5912</v>
      </c>
      <c r="H2848" s="24" t="s">
        <v>5913</v>
      </c>
      <c r="I2848" s="24" t="s">
        <v>3274</v>
      </c>
      <c r="J2848" s="24" t="s">
        <v>2919</v>
      </c>
      <c r="K2848" s="3">
        <v>30</v>
      </c>
      <c r="L2848" s="3" t="s">
        <v>7068</v>
      </c>
      <c r="M2848" s="3" t="str">
        <f>HYPERLINK("http://ictvonline.org/taxonomyHistory.asp?taxnode_id=20154624","ICTVonline=20154624")</f>
        <v>ICTVonline=20154624</v>
      </c>
    </row>
    <row r="2849" spans="1:13" x14ac:dyDescent="0.15">
      <c r="A2849" s="1" t="s">
        <v>934</v>
      </c>
      <c r="B2849" s="1" t="s">
        <v>5897</v>
      </c>
      <c r="D2849" s="1" t="s">
        <v>5914</v>
      </c>
      <c r="E2849" s="1" t="s">
        <v>5915</v>
      </c>
      <c r="F2849" s="3">
        <v>0</v>
      </c>
      <c r="G2849" s="24" t="s">
        <v>5916</v>
      </c>
      <c r="H2849" s="24" t="s">
        <v>5917</v>
      </c>
      <c r="I2849" s="24" t="s">
        <v>2965</v>
      </c>
      <c r="J2849" s="24" t="s">
        <v>2919</v>
      </c>
      <c r="K2849" s="3">
        <v>30</v>
      </c>
      <c r="L2849" s="3" t="s">
        <v>7068</v>
      </c>
      <c r="M2849" s="3" t="str">
        <f>HYPERLINK("http://ictvonline.org/taxonomyHistory.asp?taxnode_id=20154629","ICTVonline=20154629")</f>
        <v>ICTVonline=20154629</v>
      </c>
    </row>
    <row r="2850" spans="1:13" x14ac:dyDescent="0.15">
      <c r="A2850" s="1" t="s">
        <v>934</v>
      </c>
      <c r="B2850" s="1" t="s">
        <v>5897</v>
      </c>
      <c r="D2850" s="1" t="s">
        <v>5914</v>
      </c>
      <c r="E2850" s="1" t="s">
        <v>5918</v>
      </c>
      <c r="F2850" s="3">
        <v>1</v>
      </c>
      <c r="G2850" s="24" t="s">
        <v>5919</v>
      </c>
      <c r="H2850" s="24" t="s">
        <v>5920</v>
      </c>
      <c r="I2850" s="24" t="s">
        <v>2965</v>
      </c>
      <c r="J2850" s="24" t="s">
        <v>2919</v>
      </c>
      <c r="K2850" s="3">
        <v>30</v>
      </c>
      <c r="L2850" s="3" t="s">
        <v>7068</v>
      </c>
      <c r="M2850" s="3" t="str">
        <f>HYPERLINK("http://ictvonline.org/taxonomyHistory.asp?taxnode_id=20154628","ICTVonline=20154628")</f>
        <v>ICTVonline=20154628</v>
      </c>
    </row>
    <row r="2851" spans="1:13" x14ac:dyDescent="0.15">
      <c r="A2851" s="1" t="s">
        <v>934</v>
      </c>
      <c r="B2851" s="1" t="s">
        <v>5897</v>
      </c>
      <c r="D2851" s="1" t="s">
        <v>5921</v>
      </c>
      <c r="E2851" s="1" t="s">
        <v>5922</v>
      </c>
      <c r="F2851" s="3">
        <v>1</v>
      </c>
      <c r="G2851" s="24" t="s">
        <v>5923</v>
      </c>
      <c r="H2851" s="24" t="s">
        <v>5924</v>
      </c>
      <c r="I2851" s="24" t="s">
        <v>2965</v>
      </c>
      <c r="J2851" s="24" t="s">
        <v>2919</v>
      </c>
      <c r="K2851" s="3">
        <v>30</v>
      </c>
      <c r="L2851" s="3" t="s">
        <v>7068</v>
      </c>
      <c r="M2851" s="3" t="str">
        <f>HYPERLINK("http://ictvonline.org/taxonomyHistory.asp?taxnode_id=20154631","ICTVonline=20154631")</f>
        <v>ICTVonline=20154631</v>
      </c>
    </row>
    <row r="2852" spans="1:13" x14ac:dyDescent="0.15">
      <c r="A2852" s="1" t="s">
        <v>934</v>
      </c>
      <c r="B2852" s="1" t="s">
        <v>980</v>
      </c>
      <c r="D2852" s="1" t="s">
        <v>629</v>
      </c>
      <c r="E2852" s="1" t="s">
        <v>981</v>
      </c>
      <c r="F2852" s="3">
        <v>0</v>
      </c>
      <c r="I2852" s="24" t="s">
        <v>2965</v>
      </c>
      <c r="J2852" s="24" t="s">
        <v>2924</v>
      </c>
      <c r="K2852" s="3">
        <v>18</v>
      </c>
      <c r="L2852" s="3" t="s">
        <v>2929</v>
      </c>
      <c r="M2852" s="3" t="str">
        <f>HYPERLINK("http://ictvonline.org/taxonomyHistory.asp?taxnode_id=20153605","ICTVonline=20153605")</f>
        <v>ICTVonline=20153605</v>
      </c>
    </row>
    <row r="2853" spans="1:13" x14ac:dyDescent="0.15">
      <c r="A2853" s="1" t="s">
        <v>934</v>
      </c>
      <c r="B2853" s="1" t="s">
        <v>980</v>
      </c>
      <c r="D2853" s="1" t="s">
        <v>629</v>
      </c>
      <c r="E2853" s="1" t="s">
        <v>622</v>
      </c>
      <c r="F2853" s="3">
        <v>0</v>
      </c>
      <c r="I2853" s="24" t="s">
        <v>2965</v>
      </c>
      <c r="J2853" s="24" t="s">
        <v>2924</v>
      </c>
      <c r="K2853" s="3">
        <v>18</v>
      </c>
      <c r="L2853" s="3" t="s">
        <v>2929</v>
      </c>
      <c r="M2853" s="3" t="str">
        <f>HYPERLINK("http://ictvonline.org/taxonomyHistory.asp?taxnode_id=20153606","ICTVonline=20153606")</f>
        <v>ICTVonline=20153606</v>
      </c>
    </row>
    <row r="2854" spans="1:13" x14ac:dyDescent="0.15">
      <c r="A2854" s="1" t="s">
        <v>934</v>
      </c>
      <c r="B2854" s="1" t="s">
        <v>980</v>
      </c>
      <c r="D2854" s="1" t="s">
        <v>629</v>
      </c>
      <c r="E2854" s="1" t="s">
        <v>623</v>
      </c>
      <c r="F2854" s="3">
        <v>0</v>
      </c>
      <c r="I2854" s="24" t="s">
        <v>2965</v>
      </c>
      <c r="J2854" s="24" t="s">
        <v>2924</v>
      </c>
      <c r="K2854" s="3">
        <v>18</v>
      </c>
      <c r="L2854" s="3" t="s">
        <v>2929</v>
      </c>
      <c r="M2854" s="3" t="str">
        <f>HYPERLINK("http://ictvonline.org/taxonomyHistory.asp?taxnode_id=20153607","ICTVonline=20153607")</f>
        <v>ICTVonline=20153607</v>
      </c>
    </row>
    <row r="2855" spans="1:13" x14ac:dyDescent="0.15">
      <c r="A2855" s="1" t="s">
        <v>934</v>
      </c>
      <c r="B2855" s="1" t="s">
        <v>980</v>
      </c>
      <c r="D2855" s="1" t="s">
        <v>629</v>
      </c>
      <c r="E2855" s="1" t="s">
        <v>624</v>
      </c>
      <c r="F2855" s="3">
        <v>0</v>
      </c>
      <c r="I2855" s="24" t="s">
        <v>2965</v>
      </c>
      <c r="J2855" s="24" t="s">
        <v>2924</v>
      </c>
      <c r="K2855" s="3">
        <v>18</v>
      </c>
      <c r="L2855" s="3" t="s">
        <v>2929</v>
      </c>
      <c r="M2855" s="3" t="str">
        <f>HYPERLINK("http://ictvonline.org/taxonomyHistory.asp?taxnode_id=20153608","ICTVonline=20153608")</f>
        <v>ICTVonline=20153608</v>
      </c>
    </row>
    <row r="2856" spans="1:13" x14ac:dyDescent="0.15">
      <c r="A2856" s="1" t="s">
        <v>934</v>
      </c>
      <c r="B2856" s="1" t="s">
        <v>980</v>
      </c>
      <c r="D2856" s="1" t="s">
        <v>629</v>
      </c>
      <c r="E2856" s="1" t="s">
        <v>625</v>
      </c>
      <c r="F2856" s="3">
        <v>0</v>
      </c>
      <c r="I2856" s="24" t="s">
        <v>2965</v>
      </c>
      <c r="J2856" s="24" t="s">
        <v>2924</v>
      </c>
      <c r="K2856" s="3">
        <v>18</v>
      </c>
      <c r="L2856" s="3" t="s">
        <v>2929</v>
      </c>
      <c r="M2856" s="3" t="str">
        <f>HYPERLINK("http://ictvonline.org/taxonomyHistory.asp?taxnode_id=20153609","ICTVonline=20153609")</f>
        <v>ICTVonline=20153609</v>
      </c>
    </row>
    <row r="2857" spans="1:13" x14ac:dyDescent="0.15">
      <c r="A2857" s="1" t="s">
        <v>934</v>
      </c>
      <c r="B2857" s="1" t="s">
        <v>980</v>
      </c>
      <c r="D2857" s="1" t="s">
        <v>629</v>
      </c>
      <c r="E2857" s="1" t="s">
        <v>974</v>
      </c>
      <c r="F2857" s="3">
        <v>0</v>
      </c>
      <c r="I2857" s="24" t="s">
        <v>2965</v>
      </c>
      <c r="J2857" s="24" t="s">
        <v>2924</v>
      </c>
      <c r="K2857" s="3">
        <v>18</v>
      </c>
      <c r="L2857" s="3" t="s">
        <v>2929</v>
      </c>
      <c r="M2857" s="3" t="str">
        <f>HYPERLINK("http://ictvonline.org/taxonomyHistory.asp?taxnode_id=20153610","ICTVonline=20153610")</f>
        <v>ICTVonline=20153610</v>
      </c>
    </row>
    <row r="2858" spans="1:13" x14ac:dyDescent="0.15">
      <c r="A2858" s="1" t="s">
        <v>934</v>
      </c>
      <c r="B2858" s="1" t="s">
        <v>980</v>
      </c>
      <c r="D2858" s="1" t="s">
        <v>629</v>
      </c>
      <c r="E2858" s="1" t="s">
        <v>975</v>
      </c>
      <c r="F2858" s="3">
        <v>0</v>
      </c>
      <c r="I2858" s="24" t="s">
        <v>2965</v>
      </c>
      <c r="J2858" s="24" t="s">
        <v>2924</v>
      </c>
      <c r="K2858" s="3">
        <v>18</v>
      </c>
      <c r="L2858" s="3" t="s">
        <v>2929</v>
      </c>
      <c r="M2858" s="3" t="str">
        <f>HYPERLINK("http://ictvonline.org/taxonomyHistory.asp?taxnode_id=20153611","ICTVonline=20153611")</f>
        <v>ICTVonline=20153611</v>
      </c>
    </row>
    <row r="2859" spans="1:13" x14ac:dyDescent="0.15">
      <c r="A2859" s="1" t="s">
        <v>934</v>
      </c>
      <c r="B2859" s="1" t="s">
        <v>980</v>
      </c>
      <c r="D2859" s="1" t="s">
        <v>629</v>
      </c>
      <c r="E2859" s="1" t="s">
        <v>976</v>
      </c>
      <c r="F2859" s="3">
        <v>0</v>
      </c>
      <c r="I2859" s="24" t="s">
        <v>2965</v>
      </c>
      <c r="J2859" s="24" t="s">
        <v>2919</v>
      </c>
      <c r="K2859" s="3">
        <v>18</v>
      </c>
      <c r="L2859" s="3" t="s">
        <v>2929</v>
      </c>
      <c r="M2859" s="3" t="str">
        <f>HYPERLINK("http://ictvonline.org/taxonomyHistory.asp?taxnode_id=20153612","ICTVonline=20153612")</f>
        <v>ICTVonline=20153612</v>
      </c>
    </row>
    <row r="2860" spans="1:13" x14ac:dyDescent="0.15">
      <c r="A2860" s="1" t="s">
        <v>934</v>
      </c>
      <c r="B2860" s="1" t="s">
        <v>980</v>
      </c>
      <c r="D2860" s="1" t="s">
        <v>629</v>
      </c>
      <c r="E2860" s="1" t="s">
        <v>977</v>
      </c>
      <c r="F2860" s="3">
        <v>0</v>
      </c>
      <c r="I2860" s="24" t="s">
        <v>2965</v>
      </c>
      <c r="J2860" s="24" t="s">
        <v>2924</v>
      </c>
      <c r="K2860" s="3">
        <v>18</v>
      </c>
      <c r="L2860" s="3" t="s">
        <v>2929</v>
      </c>
      <c r="M2860" s="3" t="str">
        <f>HYPERLINK("http://ictvonline.org/taxonomyHistory.asp?taxnode_id=20153613","ICTVonline=20153613")</f>
        <v>ICTVonline=20153613</v>
      </c>
    </row>
    <row r="2861" spans="1:13" x14ac:dyDescent="0.15">
      <c r="A2861" s="1" t="s">
        <v>934</v>
      </c>
      <c r="B2861" s="1" t="s">
        <v>980</v>
      </c>
      <c r="D2861" s="1" t="s">
        <v>629</v>
      </c>
      <c r="E2861" s="1" t="s">
        <v>7069</v>
      </c>
      <c r="F2861" s="3">
        <v>0</v>
      </c>
      <c r="I2861" s="24" t="s">
        <v>2965</v>
      </c>
      <c r="J2861" s="24" t="s">
        <v>2924</v>
      </c>
      <c r="K2861" s="3">
        <v>18</v>
      </c>
      <c r="L2861" s="3" t="s">
        <v>2929</v>
      </c>
      <c r="M2861" s="3" t="str">
        <f>HYPERLINK("http://ictvonline.org/taxonomyHistory.asp?taxnode_id=20153614","ICTVonline=20153614")</f>
        <v>ICTVonline=20153614</v>
      </c>
    </row>
    <row r="2862" spans="1:13" x14ac:dyDescent="0.15">
      <c r="A2862" s="1" t="s">
        <v>934</v>
      </c>
      <c r="B2862" s="1" t="s">
        <v>980</v>
      </c>
      <c r="D2862" s="1" t="s">
        <v>629</v>
      </c>
      <c r="E2862" s="1" t="s">
        <v>1863</v>
      </c>
      <c r="F2862" s="3">
        <v>0</v>
      </c>
      <c r="I2862" s="24" t="s">
        <v>2965</v>
      </c>
      <c r="J2862" s="24" t="s">
        <v>2924</v>
      </c>
      <c r="K2862" s="3">
        <v>18</v>
      </c>
      <c r="L2862" s="3" t="s">
        <v>2929</v>
      </c>
      <c r="M2862" s="3" t="str">
        <f>HYPERLINK("http://ictvonline.org/taxonomyHistory.asp?taxnode_id=20153615","ICTVonline=20153615")</f>
        <v>ICTVonline=20153615</v>
      </c>
    </row>
    <row r="2863" spans="1:13" x14ac:dyDescent="0.15">
      <c r="A2863" s="1" t="s">
        <v>934</v>
      </c>
      <c r="B2863" s="1" t="s">
        <v>980</v>
      </c>
      <c r="D2863" s="1" t="s">
        <v>629</v>
      </c>
      <c r="E2863" s="1" t="s">
        <v>630</v>
      </c>
      <c r="F2863" s="3">
        <v>0</v>
      </c>
      <c r="I2863" s="24" t="s">
        <v>2965</v>
      </c>
      <c r="J2863" s="24" t="s">
        <v>2924</v>
      </c>
      <c r="K2863" s="3">
        <v>18</v>
      </c>
      <c r="L2863" s="3" t="s">
        <v>2929</v>
      </c>
      <c r="M2863" s="3" t="str">
        <f>HYPERLINK("http://ictvonline.org/taxonomyHistory.asp?taxnode_id=20153616","ICTVonline=20153616")</f>
        <v>ICTVonline=20153616</v>
      </c>
    </row>
    <row r="2864" spans="1:13" x14ac:dyDescent="0.15">
      <c r="A2864" s="1" t="s">
        <v>934</v>
      </c>
      <c r="B2864" s="1" t="s">
        <v>980</v>
      </c>
      <c r="D2864" s="1" t="s">
        <v>629</v>
      </c>
      <c r="E2864" s="1" t="s">
        <v>631</v>
      </c>
      <c r="F2864" s="3">
        <v>0</v>
      </c>
      <c r="I2864" s="24" t="s">
        <v>2965</v>
      </c>
      <c r="J2864" s="24" t="s">
        <v>2924</v>
      </c>
      <c r="K2864" s="3">
        <v>18</v>
      </c>
      <c r="L2864" s="3" t="s">
        <v>2929</v>
      </c>
      <c r="M2864" s="3" t="str">
        <f>HYPERLINK("http://ictvonline.org/taxonomyHistory.asp?taxnode_id=20153617","ICTVonline=20153617")</f>
        <v>ICTVonline=20153617</v>
      </c>
    </row>
    <row r="2865" spans="1:13" x14ac:dyDescent="0.15">
      <c r="A2865" s="1" t="s">
        <v>934</v>
      </c>
      <c r="B2865" s="1" t="s">
        <v>980</v>
      </c>
      <c r="D2865" s="1" t="s">
        <v>629</v>
      </c>
      <c r="E2865" s="1" t="s">
        <v>1859</v>
      </c>
      <c r="F2865" s="3">
        <v>0</v>
      </c>
      <c r="I2865" s="24" t="s">
        <v>2965</v>
      </c>
      <c r="J2865" s="24" t="s">
        <v>2924</v>
      </c>
      <c r="K2865" s="3">
        <v>18</v>
      </c>
      <c r="L2865" s="3" t="s">
        <v>2929</v>
      </c>
      <c r="M2865" s="3" t="str">
        <f>HYPERLINK("http://ictvonline.org/taxonomyHistory.asp?taxnode_id=20153618","ICTVonline=20153618")</f>
        <v>ICTVonline=20153618</v>
      </c>
    </row>
    <row r="2866" spans="1:13" x14ac:dyDescent="0.15">
      <c r="A2866" s="1" t="s">
        <v>934</v>
      </c>
      <c r="B2866" s="1" t="s">
        <v>980</v>
      </c>
      <c r="D2866" s="1" t="s">
        <v>629</v>
      </c>
      <c r="E2866" s="1" t="s">
        <v>1860</v>
      </c>
      <c r="F2866" s="3">
        <v>0</v>
      </c>
      <c r="I2866" s="24" t="s">
        <v>2965</v>
      </c>
      <c r="J2866" s="24" t="s">
        <v>2924</v>
      </c>
      <c r="K2866" s="3">
        <v>18</v>
      </c>
      <c r="L2866" s="3" t="s">
        <v>2929</v>
      </c>
      <c r="M2866" s="3" t="str">
        <f>HYPERLINK("http://ictvonline.org/taxonomyHistory.asp?taxnode_id=20153619","ICTVonline=20153619")</f>
        <v>ICTVonline=20153619</v>
      </c>
    </row>
    <row r="2867" spans="1:13" x14ac:dyDescent="0.15">
      <c r="A2867" s="1" t="s">
        <v>934</v>
      </c>
      <c r="B2867" s="1" t="s">
        <v>980</v>
      </c>
      <c r="D2867" s="1" t="s">
        <v>629</v>
      </c>
      <c r="E2867" s="1" t="s">
        <v>1861</v>
      </c>
      <c r="F2867" s="3">
        <v>0</v>
      </c>
      <c r="I2867" s="24" t="s">
        <v>2965</v>
      </c>
      <c r="J2867" s="24" t="s">
        <v>2924</v>
      </c>
      <c r="K2867" s="3">
        <v>18</v>
      </c>
      <c r="L2867" s="3" t="s">
        <v>2929</v>
      </c>
      <c r="M2867" s="3" t="str">
        <f>HYPERLINK("http://ictvonline.org/taxonomyHistory.asp?taxnode_id=20153620","ICTVonline=20153620")</f>
        <v>ICTVonline=20153620</v>
      </c>
    </row>
    <row r="2868" spans="1:13" x14ac:dyDescent="0.15">
      <c r="A2868" s="1" t="s">
        <v>934</v>
      </c>
      <c r="B2868" s="1" t="s">
        <v>980</v>
      </c>
      <c r="D2868" s="1" t="s">
        <v>629</v>
      </c>
      <c r="E2868" s="1" t="s">
        <v>626</v>
      </c>
      <c r="F2868" s="3">
        <v>0</v>
      </c>
      <c r="I2868" s="24" t="s">
        <v>2965</v>
      </c>
      <c r="J2868" s="24" t="s">
        <v>2924</v>
      </c>
      <c r="K2868" s="3">
        <v>18</v>
      </c>
      <c r="L2868" s="3" t="s">
        <v>2929</v>
      </c>
      <c r="M2868" s="3" t="str">
        <f>HYPERLINK("http://ictvonline.org/taxonomyHistory.asp?taxnode_id=20153621","ICTVonline=20153621")</f>
        <v>ICTVonline=20153621</v>
      </c>
    </row>
    <row r="2869" spans="1:13" x14ac:dyDescent="0.15">
      <c r="A2869" s="1" t="s">
        <v>934</v>
      </c>
      <c r="B2869" s="1" t="s">
        <v>980</v>
      </c>
      <c r="D2869" s="1" t="s">
        <v>629</v>
      </c>
      <c r="E2869" s="1" t="s">
        <v>627</v>
      </c>
      <c r="F2869" s="3">
        <v>1</v>
      </c>
      <c r="I2869" s="24" t="s">
        <v>2965</v>
      </c>
      <c r="J2869" s="24" t="s">
        <v>2924</v>
      </c>
      <c r="K2869" s="3">
        <v>18</v>
      </c>
      <c r="L2869" s="3" t="s">
        <v>2929</v>
      </c>
      <c r="M2869" s="3" t="str">
        <f>HYPERLINK("http://ictvonline.org/taxonomyHistory.asp?taxnode_id=20153622","ICTVonline=20153622")</f>
        <v>ICTVonline=20153622</v>
      </c>
    </row>
    <row r="2870" spans="1:13" x14ac:dyDescent="0.15">
      <c r="A2870" s="1" t="s">
        <v>934</v>
      </c>
      <c r="B2870" s="1" t="s">
        <v>980</v>
      </c>
      <c r="D2870" s="1" t="s">
        <v>629</v>
      </c>
      <c r="E2870" s="1" t="s">
        <v>628</v>
      </c>
      <c r="F2870" s="3">
        <v>0</v>
      </c>
      <c r="I2870" s="24" t="s">
        <v>2965</v>
      </c>
      <c r="J2870" s="24" t="s">
        <v>2924</v>
      </c>
      <c r="K2870" s="3">
        <v>18</v>
      </c>
      <c r="L2870" s="3" t="s">
        <v>2929</v>
      </c>
      <c r="M2870" s="3" t="str">
        <f>HYPERLINK("http://ictvonline.org/taxonomyHistory.asp?taxnode_id=20153623","ICTVonline=20153623")</f>
        <v>ICTVonline=20153623</v>
      </c>
    </row>
    <row r="2871" spans="1:13" x14ac:dyDescent="0.15">
      <c r="A2871" s="1" t="s">
        <v>934</v>
      </c>
      <c r="B2871" s="1" t="s">
        <v>980</v>
      </c>
      <c r="D2871" s="1" t="s">
        <v>629</v>
      </c>
      <c r="E2871" s="1" t="s">
        <v>638</v>
      </c>
      <c r="F2871" s="3">
        <v>0</v>
      </c>
      <c r="I2871" s="24" t="s">
        <v>2965</v>
      </c>
      <c r="J2871" s="24" t="s">
        <v>2924</v>
      </c>
      <c r="K2871" s="3">
        <v>18</v>
      </c>
      <c r="L2871" s="3" t="s">
        <v>2929</v>
      </c>
      <c r="M2871" s="3" t="str">
        <f>HYPERLINK("http://ictvonline.org/taxonomyHistory.asp?taxnode_id=20153624","ICTVonline=20153624")</f>
        <v>ICTVonline=20153624</v>
      </c>
    </row>
    <row r="2872" spans="1:13" x14ac:dyDescent="0.15">
      <c r="A2872" s="1" t="s">
        <v>934</v>
      </c>
      <c r="B2872" s="1" t="s">
        <v>980</v>
      </c>
      <c r="D2872" s="1" t="s">
        <v>629</v>
      </c>
      <c r="E2872" s="1" t="s">
        <v>639</v>
      </c>
      <c r="F2872" s="3">
        <v>0</v>
      </c>
      <c r="I2872" s="24" t="s">
        <v>2965</v>
      </c>
      <c r="J2872" s="24" t="s">
        <v>2924</v>
      </c>
      <c r="K2872" s="3">
        <v>18</v>
      </c>
      <c r="L2872" s="3" t="s">
        <v>2929</v>
      </c>
      <c r="M2872" s="3" t="str">
        <f>HYPERLINK("http://ictvonline.org/taxonomyHistory.asp?taxnode_id=20153625","ICTVonline=20153625")</f>
        <v>ICTVonline=20153625</v>
      </c>
    </row>
    <row r="2873" spans="1:13" x14ac:dyDescent="0.15">
      <c r="A2873" s="1" t="s">
        <v>934</v>
      </c>
      <c r="B2873" s="1" t="s">
        <v>980</v>
      </c>
      <c r="D2873" s="1" t="s">
        <v>629</v>
      </c>
      <c r="E2873" s="1" t="s">
        <v>913</v>
      </c>
      <c r="F2873" s="3">
        <v>0</v>
      </c>
      <c r="I2873" s="24" t="s">
        <v>2965</v>
      </c>
      <c r="J2873" s="24" t="s">
        <v>2924</v>
      </c>
      <c r="K2873" s="3">
        <v>18</v>
      </c>
      <c r="L2873" s="3" t="s">
        <v>2929</v>
      </c>
      <c r="M2873" s="3" t="str">
        <f>HYPERLINK("http://ictvonline.org/taxonomyHistory.asp?taxnode_id=20153626","ICTVonline=20153626")</f>
        <v>ICTVonline=20153626</v>
      </c>
    </row>
    <row r="2874" spans="1:13" x14ac:dyDescent="0.15">
      <c r="A2874" s="1" t="s">
        <v>934</v>
      </c>
      <c r="B2874" s="1" t="s">
        <v>980</v>
      </c>
      <c r="D2874" s="1" t="s">
        <v>629</v>
      </c>
      <c r="E2874" s="1" t="s">
        <v>992</v>
      </c>
      <c r="F2874" s="3">
        <v>0</v>
      </c>
      <c r="I2874" s="24" t="s">
        <v>2965</v>
      </c>
      <c r="J2874" s="24" t="s">
        <v>2924</v>
      </c>
      <c r="K2874" s="3">
        <v>18</v>
      </c>
      <c r="L2874" s="3" t="s">
        <v>2929</v>
      </c>
      <c r="M2874" s="3" t="str">
        <f>HYPERLINK("http://ictvonline.org/taxonomyHistory.asp?taxnode_id=20153627","ICTVonline=20153627")</f>
        <v>ICTVonline=20153627</v>
      </c>
    </row>
    <row r="2875" spans="1:13" x14ac:dyDescent="0.15">
      <c r="A2875" s="1" t="s">
        <v>934</v>
      </c>
      <c r="B2875" s="1" t="s">
        <v>980</v>
      </c>
      <c r="D2875" s="1" t="s">
        <v>629</v>
      </c>
      <c r="E2875" s="1" t="s">
        <v>993</v>
      </c>
      <c r="F2875" s="3">
        <v>0</v>
      </c>
      <c r="I2875" s="24" t="s">
        <v>2965</v>
      </c>
      <c r="J2875" s="24" t="s">
        <v>2924</v>
      </c>
      <c r="K2875" s="3">
        <v>18</v>
      </c>
      <c r="L2875" s="3" t="s">
        <v>2929</v>
      </c>
      <c r="M2875" s="3" t="str">
        <f>HYPERLINK("http://ictvonline.org/taxonomyHistory.asp?taxnode_id=20153628","ICTVonline=20153628")</f>
        <v>ICTVonline=20153628</v>
      </c>
    </row>
    <row r="2876" spans="1:13" x14ac:dyDescent="0.15">
      <c r="A2876" s="1" t="s">
        <v>934</v>
      </c>
      <c r="B2876" s="1" t="s">
        <v>980</v>
      </c>
      <c r="D2876" s="1" t="s">
        <v>629</v>
      </c>
      <c r="E2876" s="1" t="s">
        <v>2040</v>
      </c>
      <c r="F2876" s="3">
        <v>0</v>
      </c>
      <c r="I2876" s="24" t="s">
        <v>2965</v>
      </c>
      <c r="J2876" s="24" t="s">
        <v>2924</v>
      </c>
      <c r="K2876" s="3">
        <v>18</v>
      </c>
      <c r="L2876" s="3" t="s">
        <v>2929</v>
      </c>
      <c r="M2876" s="3" t="str">
        <f>HYPERLINK("http://ictvonline.org/taxonomyHistory.asp?taxnode_id=20153629","ICTVonline=20153629")</f>
        <v>ICTVonline=20153629</v>
      </c>
    </row>
    <row r="2877" spans="1:13" x14ac:dyDescent="0.15">
      <c r="A2877" s="1" t="s">
        <v>934</v>
      </c>
      <c r="B2877" s="1" t="s">
        <v>980</v>
      </c>
      <c r="D2877" s="1" t="s">
        <v>629</v>
      </c>
      <c r="E2877" s="1" t="s">
        <v>2041</v>
      </c>
      <c r="F2877" s="3">
        <v>0</v>
      </c>
      <c r="I2877" s="24" t="s">
        <v>2965</v>
      </c>
      <c r="J2877" s="24" t="s">
        <v>2924</v>
      </c>
      <c r="K2877" s="3">
        <v>18</v>
      </c>
      <c r="L2877" s="3" t="s">
        <v>2929</v>
      </c>
      <c r="M2877" s="3" t="str">
        <f>HYPERLINK("http://ictvonline.org/taxonomyHistory.asp?taxnode_id=20153630","ICTVonline=20153630")</f>
        <v>ICTVonline=20153630</v>
      </c>
    </row>
    <row r="2878" spans="1:13" x14ac:dyDescent="0.15">
      <c r="A2878" s="1" t="s">
        <v>934</v>
      </c>
      <c r="B2878" s="1" t="s">
        <v>980</v>
      </c>
      <c r="D2878" s="1" t="s">
        <v>629</v>
      </c>
      <c r="E2878" s="1" t="s">
        <v>2042</v>
      </c>
      <c r="F2878" s="3">
        <v>0</v>
      </c>
      <c r="I2878" s="24" t="s">
        <v>2965</v>
      </c>
      <c r="J2878" s="24" t="s">
        <v>2924</v>
      </c>
      <c r="K2878" s="3">
        <v>18</v>
      </c>
      <c r="L2878" s="3" t="s">
        <v>2929</v>
      </c>
      <c r="M2878" s="3" t="str">
        <f>HYPERLINK("http://ictvonline.org/taxonomyHistory.asp?taxnode_id=20153631","ICTVonline=20153631")</f>
        <v>ICTVonline=20153631</v>
      </c>
    </row>
    <row r="2879" spans="1:13" x14ac:dyDescent="0.15">
      <c r="A2879" s="1" t="s">
        <v>934</v>
      </c>
      <c r="B2879" s="1" t="s">
        <v>980</v>
      </c>
      <c r="D2879" s="1" t="s">
        <v>629</v>
      </c>
      <c r="E2879" s="1" t="s">
        <v>917</v>
      </c>
      <c r="F2879" s="3">
        <v>0</v>
      </c>
      <c r="I2879" s="24" t="s">
        <v>2965</v>
      </c>
      <c r="J2879" s="24" t="s">
        <v>2924</v>
      </c>
      <c r="K2879" s="3">
        <v>18</v>
      </c>
      <c r="L2879" s="3" t="s">
        <v>2929</v>
      </c>
      <c r="M2879" s="3" t="str">
        <f>HYPERLINK("http://ictvonline.org/taxonomyHistory.asp?taxnode_id=20153632","ICTVonline=20153632")</f>
        <v>ICTVonline=20153632</v>
      </c>
    </row>
    <row r="2880" spans="1:13" x14ac:dyDescent="0.15">
      <c r="A2880" s="1" t="s">
        <v>934</v>
      </c>
      <c r="B2880" s="1" t="s">
        <v>980</v>
      </c>
      <c r="D2880" s="1" t="s">
        <v>629</v>
      </c>
      <c r="E2880" s="1" t="s">
        <v>990</v>
      </c>
      <c r="F2880" s="3">
        <v>0</v>
      </c>
      <c r="I2880" s="24" t="s">
        <v>2965</v>
      </c>
      <c r="J2880" s="24" t="s">
        <v>2924</v>
      </c>
      <c r="K2880" s="3">
        <v>18</v>
      </c>
      <c r="L2880" s="3" t="s">
        <v>2929</v>
      </c>
      <c r="M2880" s="3" t="str">
        <f>HYPERLINK("http://ictvonline.org/taxonomyHistory.asp?taxnode_id=20153633","ICTVonline=20153633")</f>
        <v>ICTVonline=20153633</v>
      </c>
    </row>
    <row r="2881" spans="1:13" x14ac:dyDescent="0.15">
      <c r="A2881" s="1" t="s">
        <v>934</v>
      </c>
      <c r="B2881" s="1" t="s">
        <v>980</v>
      </c>
      <c r="D2881" s="1" t="s">
        <v>629</v>
      </c>
      <c r="E2881" s="1" t="s">
        <v>991</v>
      </c>
      <c r="F2881" s="3">
        <v>0</v>
      </c>
      <c r="I2881" s="24" t="s">
        <v>2965</v>
      </c>
      <c r="J2881" s="24" t="s">
        <v>2924</v>
      </c>
      <c r="K2881" s="3">
        <v>18</v>
      </c>
      <c r="L2881" s="3" t="s">
        <v>2929</v>
      </c>
      <c r="M2881" s="3" t="str">
        <f>HYPERLINK("http://ictvonline.org/taxonomyHistory.asp?taxnode_id=20153634","ICTVonline=20153634")</f>
        <v>ICTVonline=20153634</v>
      </c>
    </row>
    <row r="2882" spans="1:13" x14ac:dyDescent="0.15">
      <c r="A2882" s="1" t="s">
        <v>934</v>
      </c>
      <c r="B2882" s="1" t="s">
        <v>980</v>
      </c>
      <c r="D2882" s="1" t="s">
        <v>629</v>
      </c>
      <c r="E2882" s="1" t="s">
        <v>1871</v>
      </c>
      <c r="F2882" s="3">
        <v>0</v>
      </c>
      <c r="I2882" s="24" t="s">
        <v>2965</v>
      </c>
      <c r="J2882" s="24" t="s">
        <v>2924</v>
      </c>
      <c r="K2882" s="3">
        <v>18</v>
      </c>
      <c r="L2882" s="3" t="s">
        <v>2929</v>
      </c>
      <c r="M2882" s="3" t="str">
        <f>HYPERLINK("http://ictvonline.org/taxonomyHistory.asp?taxnode_id=20153635","ICTVonline=20153635")</f>
        <v>ICTVonline=20153635</v>
      </c>
    </row>
    <row r="2883" spans="1:13" x14ac:dyDescent="0.15">
      <c r="A2883" s="1" t="s">
        <v>934</v>
      </c>
      <c r="B2883" s="1" t="s">
        <v>980</v>
      </c>
      <c r="D2883" s="1" t="s">
        <v>629</v>
      </c>
      <c r="E2883" s="1" t="s">
        <v>640</v>
      </c>
      <c r="F2883" s="3">
        <v>0</v>
      </c>
      <c r="I2883" s="24" t="s">
        <v>2965</v>
      </c>
      <c r="J2883" s="24" t="s">
        <v>2919</v>
      </c>
      <c r="K2883" s="3">
        <v>18</v>
      </c>
      <c r="L2883" s="3" t="s">
        <v>2929</v>
      </c>
      <c r="M2883" s="3" t="str">
        <f>HYPERLINK("http://ictvonline.org/taxonomyHistory.asp?taxnode_id=20153636","ICTVonline=20153636")</f>
        <v>ICTVonline=20153636</v>
      </c>
    </row>
    <row r="2884" spans="1:13" x14ac:dyDescent="0.15">
      <c r="A2884" s="1" t="s">
        <v>934</v>
      </c>
      <c r="B2884" s="1" t="s">
        <v>980</v>
      </c>
      <c r="D2884" s="1" t="s">
        <v>641</v>
      </c>
      <c r="E2884" s="1" t="s">
        <v>994</v>
      </c>
      <c r="F2884" s="3">
        <v>0</v>
      </c>
      <c r="I2884" s="24" t="s">
        <v>2965</v>
      </c>
      <c r="J2884" s="24" t="s">
        <v>2924</v>
      </c>
      <c r="K2884" s="3">
        <v>18</v>
      </c>
      <c r="L2884" s="3" t="s">
        <v>2929</v>
      </c>
      <c r="M2884" s="3" t="str">
        <f>HYPERLINK("http://ictvonline.org/taxonomyHistory.asp?taxnode_id=20153638","ICTVonline=20153638")</f>
        <v>ICTVonline=20153638</v>
      </c>
    </row>
    <row r="2885" spans="1:13" x14ac:dyDescent="0.15">
      <c r="A2885" s="1" t="s">
        <v>934</v>
      </c>
      <c r="B2885" s="1" t="s">
        <v>980</v>
      </c>
      <c r="D2885" s="1" t="s">
        <v>641</v>
      </c>
      <c r="E2885" s="1" t="s">
        <v>923</v>
      </c>
      <c r="F2885" s="3">
        <v>0</v>
      </c>
      <c r="I2885" s="24" t="s">
        <v>2965</v>
      </c>
      <c r="J2885" s="24" t="s">
        <v>2924</v>
      </c>
      <c r="K2885" s="3">
        <v>18</v>
      </c>
      <c r="L2885" s="3" t="s">
        <v>2929</v>
      </c>
      <c r="M2885" s="3" t="str">
        <f>HYPERLINK("http://ictvonline.org/taxonomyHistory.asp?taxnode_id=20153639","ICTVonline=20153639")</f>
        <v>ICTVonline=20153639</v>
      </c>
    </row>
    <row r="2886" spans="1:13" x14ac:dyDescent="0.15">
      <c r="A2886" s="1" t="s">
        <v>934</v>
      </c>
      <c r="B2886" s="1" t="s">
        <v>980</v>
      </c>
      <c r="D2886" s="1" t="s">
        <v>641</v>
      </c>
      <c r="E2886" s="1" t="s">
        <v>924</v>
      </c>
      <c r="F2886" s="3">
        <v>1</v>
      </c>
      <c r="I2886" s="24" t="s">
        <v>2965</v>
      </c>
      <c r="J2886" s="24" t="s">
        <v>2924</v>
      </c>
      <c r="K2886" s="3">
        <v>18</v>
      </c>
      <c r="L2886" s="3" t="s">
        <v>2929</v>
      </c>
      <c r="M2886" s="3" t="str">
        <f>HYPERLINK("http://ictvonline.org/taxonomyHistory.asp?taxnode_id=20153640","ICTVonline=20153640")</f>
        <v>ICTVonline=20153640</v>
      </c>
    </row>
    <row r="2887" spans="1:13" x14ac:dyDescent="0.15">
      <c r="A2887" s="1" t="s">
        <v>934</v>
      </c>
      <c r="B2887" s="1" t="s">
        <v>980</v>
      </c>
      <c r="D2887" s="1" t="s">
        <v>641</v>
      </c>
      <c r="E2887" s="1" t="s">
        <v>925</v>
      </c>
      <c r="F2887" s="3">
        <v>0</v>
      </c>
      <c r="I2887" s="24" t="s">
        <v>2965</v>
      </c>
      <c r="J2887" s="24" t="s">
        <v>2924</v>
      </c>
      <c r="K2887" s="3">
        <v>18</v>
      </c>
      <c r="L2887" s="3" t="s">
        <v>2929</v>
      </c>
      <c r="M2887" s="3" t="str">
        <f>HYPERLINK("http://ictvonline.org/taxonomyHistory.asp?taxnode_id=20153641","ICTVonline=20153641")</f>
        <v>ICTVonline=20153641</v>
      </c>
    </row>
    <row r="2888" spans="1:13" x14ac:dyDescent="0.15">
      <c r="A2888" s="1" t="s">
        <v>934</v>
      </c>
      <c r="B2888" s="1" t="s">
        <v>980</v>
      </c>
      <c r="D2888" s="1" t="s">
        <v>641</v>
      </c>
      <c r="E2888" s="1" t="s">
        <v>1010</v>
      </c>
      <c r="F2888" s="3">
        <v>0</v>
      </c>
      <c r="I2888" s="24" t="s">
        <v>2965</v>
      </c>
      <c r="J2888" s="24" t="s">
        <v>2924</v>
      </c>
      <c r="K2888" s="3">
        <v>18</v>
      </c>
      <c r="L2888" s="3" t="s">
        <v>2929</v>
      </c>
      <c r="M2888" s="3" t="str">
        <f>HYPERLINK("http://ictvonline.org/taxonomyHistory.asp?taxnode_id=20153642","ICTVonline=20153642")</f>
        <v>ICTVonline=20153642</v>
      </c>
    </row>
    <row r="2889" spans="1:13" x14ac:dyDescent="0.15">
      <c r="A2889" s="1" t="s">
        <v>934</v>
      </c>
      <c r="B2889" s="1" t="s">
        <v>980</v>
      </c>
      <c r="D2889" s="1" t="s">
        <v>641</v>
      </c>
      <c r="E2889" s="1" t="s">
        <v>1011</v>
      </c>
      <c r="F2889" s="3">
        <v>0</v>
      </c>
      <c r="I2889" s="24" t="s">
        <v>2965</v>
      </c>
      <c r="J2889" s="24" t="s">
        <v>2924</v>
      </c>
      <c r="K2889" s="3">
        <v>18</v>
      </c>
      <c r="L2889" s="3" t="s">
        <v>2929</v>
      </c>
      <c r="M2889" s="3" t="str">
        <f>HYPERLINK("http://ictvonline.org/taxonomyHistory.asp?taxnode_id=20153643","ICTVonline=20153643")</f>
        <v>ICTVonline=20153643</v>
      </c>
    </row>
    <row r="2890" spans="1:13" x14ac:dyDescent="0.15">
      <c r="A2890" s="1" t="s">
        <v>934</v>
      </c>
      <c r="B2890" s="1" t="s">
        <v>980</v>
      </c>
      <c r="D2890" s="1" t="s">
        <v>641</v>
      </c>
      <c r="E2890" s="1" t="s">
        <v>1012</v>
      </c>
      <c r="F2890" s="3">
        <v>0</v>
      </c>
      <c r="I2890" s="24" t="s">
        <v>2965</v>
      </c>
      <c r="J2890" s="24" t="s">
        <v>2924</v>
      </c>
      <c r="K2890" s="3">
        <v>18</v>
      </c>
      <c r="L2890" s="3" t="s">
        <v>2929</v>
      </c>
      <c r="M2890" s="3" t="str">
        <f>HYPERLINK("http://ictvonline.org/taxonomyHistory.asp?taxnode_id=20153644","ICTVonline=20153644")</f>
        <v>ICTVonline=20153644</v>
      </c>
    </row>
    <row r="2891" spans="1:13" x14ac:dyDescent="0.15">
      <c r="A2891" s="1" t="s">
        <v>934</v>
      </c>
      <c r="B2891" s="1" t="s">
        <v>980</v>
      </c>
      <c r="D2891" s="1" t="s">
        <v>641</v>
      </c>
      <c r="E2891" s="1" t="s">
        <v>1013</v>
      </c>
      <c r="F2891" s="3">
        <v>0</v>
      </c>
      <c r="I2891" s="24" t="s">
        <v>2965</v>
      </c>
      <c r="J2891" s="24" t="s">
        <v>2924</v>
      </c>
      <c r="K2891" s="3">
        <v>18</v>
      </c>
      <c r="L2891" s="3" t="s">
        <v>2929</v>
      </c>
      <c r="M2891" s="3" t="str">
        <f>HYPERLINK("http://ictvonline.org/taxonomyHistory.asp?taxnode_id=20153645","ICTVonline=20153645")</f>
        <v>ICTVonline=20153645</v>
      </c>
    </row>
    <row r="2892" spans="1:13" x14ac:dyDescent="0.15">
      <c r="A2892" s="1" t="s">
        <v>934</v>
      </c>
      <c r="B2892" s="1" t="s">
        <v>980</v>
      </c>
      <c r="D2892" s="1" t="s">
        <v>641</v>
      </c>
      <c r="E2892" s="1" t="s">
        <v>1014</v>
      </c>
      <c r="F2892" s="3">
        <v>0</v>
      </c>
      <c r="I2892" s="24" t="s">
        <v>2965</v>
      </c>
      <c r="J2892" s="24" t="s">
        <v>2924</v>
      </c>
      <c r="K2892" s="3">
        <v>18</v>
      </c>
      <c r="L2892" s="3" t="s">
        <v>2929</v>
      </c>
      <c r="M2892" s="3" t="str">
        <f>HYPERLINK("http://ictvonline.org/taxonomyHistory.asp?taxnode_id=20153646","ICTVonline=20153646")</f>
        <v>ICTVonline=20153646</v>
      </c>
    </row>
    <row r="2893" spans="1:13" x14ac:dyDescent="0.15">
      <c r="A2893" s="1" t="s">
        <v>934</v>
      </c>
      <c r="B2893" s="1" t="s">
        <v>980</v>
      </c>
      <c r="D2893" s="1" t="s">
        <v>641</v>
      </c>
      <c r="E2893" s="1" t="s">
        <v>1015</v>
      </c>
      <c r="F2893" s="3">
        <v>0</v>
      </c>
      <c r="I2893" s="24" t="s">
        <v>2965</v>
      </c>
      <c r="J2893" s="24" t="s">
        <v>2924</v>
      </c>
      <c r="K2893" s="3">
        <v>18</v>
      </c>
      <c r="L2893" s="3" t="s">
        <v>2929</v>
      </c>
      <c r="M2893" s="3" t="str">
        <f>HYPERLINK("http://ictvonline.org/taxonomyHistory.asp?taxnode_id=20153647","ICTVonline=20153647")</f>
        <v>ICTVonline=20153647</v>
      </c>
    </row>
    <row r="2894" spans="1:13" x14ac:dyDescent="0.15">
      <c r="A2894" s="1" t="s">
        <v>934</v>
      </c>
      <c r="B2894" s="1" t="s">
        <v>980</v>
      </c>
      <c r="D2894" s="1" t="s">
        <v>641</v>
      </c>
      <c r="E2894" s="1" t="s">
        <v>1016</v>
      </c>
      <c r="F2894" s="3">
        <v>0</v>
      </c>
      <c r="I2894" s="24" t="s">
        <v>2965</v>
      </c>
      <c r="J2894" s="24" t="s">
        <v>2924</v>
      </c>
      <c r="K2894" s="3">
        <v>18</v>
      </c>
      <c r="L2894" s="3" t="s">
        <v>2929</v>
      </c>
      <c r="M2894" s="3" t="str">
        <f>HYPERLINK("http://ictvonline.org/taxonomyHistory.asp?taxnode_id=20153648","ICTVonline=20153648")</f>
        <v>ICTVonline=20153648</v>
      </c>
    </row>
    <row r="2895" spans="1:13" x14ac:dyDescent="0.15">
      <c r="A2895" s="1" t="s">
        <v>934</v>
      </c>
      <c r="B2895" s="1" t="s">
        <v>980</v>
      </c>
      <c r="D2895" s="1" t="s">
        <v>641</v>
      </c>
      <c r="E2895" s="1" t="s">
        <v>1017</v>
      </c>
      <c r="F2895" s="3">
        <v>0</v>
      </c>
      <c r="I2895" s="24" t="s">
        <v>2965</v>
      </c>
      <c r="J2895" s="24" t="s">
        <v>2924</v>
      </c>
      <c r="K2895" s="3">
        <v>18</v>
      </c>
      <c r="L2895" s="3" t="s">
        <v>2929</v>
      </c>
      <c r="M2895" s="3" t="str">
        <f>HYPERLINK("http://ictvonline.org/taxonomyHistory.asp?taxnode_id=20153649","ICTVonline=20153649")</f>
        <v>ICTVonline=20153649</v>
      </c>
    </row>
    <row r="2896" spans="1:13" x14ac:dyDescent="0.15">
      <c r="A2896" s="1" t="s">
        <v>934</v>
      </c>
      <c r="B2896" s="1" t="s">
        <v>980</v>
      </c>
      <c r="D2896" s="1" t="s">
        <v>641</v>
      </c>
      <c r="E2896" s="1" t="s">
        <v>1018</v>
      </c>
      <c r="F2896" s="3">
        <v>0</v>
      </c>
      <c r="I2896" s="24" t="s">
        <v>2965</v>
      </c>
      <c r="J2896" s="24" t="s">
        <v>2924</v>
      </c>
      <c r="K2896" s="3">
        <v>18</v>
      </c>
      <c r="L2896" s="3" t="s">
        <v>2929</v>
      </c>
      <c r="M2896" s="3" t="str">
        <f>HYPERLINK("http://ictvonline.org/taxonomyHistory.asp?taxnode_id=20153650","ICTVonline=20153650")</f>
        <v>ICTVonline=20153650</v>
      </c>
    </row>
    <row r="2897" spans="1:13" x14ac:dyDescent="0.15">
      <c r="A2897" s="1" t="s">
        <v>934</v>
      </c>
      <c r="B2897" s="1" t="s">
        <v>980</v>
      </c>
      <c r="D2897" s="1" t="s">
        <v>641</v>
      </c>
      <c r="E2897" s="1" t="s">
        <v>1019</v>
      </c>
      <c r="F2897" s="3">
        <v>0</v>
      </c>
      <c r="I2897" s="24" t="s">
        <v>2965</v>
      </c>
      <c r="J2897" s="24" t="s">
        <v>2924</v>
      </c>
      <c r="K2897" s="3">
        <v>18</v>
      </c>
      <c r="L2897" s="3" t="s">
        <v>2929</v>
      </c>
      <c r="M2897" s="3" t="str">
        <f>HYPERLINK("http://ictvonline.org/taxonomyHistory.asp?taxnode_id=20153651","ICTVonline=20153651")</f>
        <v>ICTVonline=20153651</v>
      </c>
    </row>
    <row r="2898" spans="1:13" x14ac:dyDescent="0.15">
      <c r="A2898" s="1" t="s">
        <v>934</v>
      </c>
      <c r="B2898" s="1" t="s">
        <v>980</v>
      </c>
      <c r="D2898" s="1" t="s">
        <v>641</v>
      </c>
      <c r="E2898" s="1" t="s">
        <v>1020</v>
      </c>
      <c r="F2898" s="3">
        <v>0</v>
      </c>
      <c r="I2898" s="24" t="s">
        <v>2965</v>
      </c>
      <c r="J2898" s="24" t="s">
        <v>2924</v>
      </c>
      <c r="K2898" s="3">
        <v>18</v>
      </c>
      <c r="L2898" s="3" t="s">
        <v>2929</v>
      </c>
      <c r="M2898" s="3" t="str">
        <f>HYPERLINK("http://ictvonline.org/taxonomyHistory.asp?taxnode_id=20153652","ICTVonline=20153652")</f>
        <v>ICTVonline=20153652</v>
      </c>
    </row>
    <row r="2899" spans="1:13" x14ac:dyDescent="0.15">
      <c r="A2899" s="1" t="s">
        <v>934</v>
      </c>
      <c r="B2899" s="1" t="s">
        <v>980</v>
      </c>
      <c r="D2899" s="1" t="s">
        <v>641</v>
      </c>
      <c r="E2899" s="1" t="s">
        <v>1021</v>
      </c>
      <c r="F2899" s="3">
        <v>0</v>
      </c>
      <c r="I2899" s="24" t="s">
        <v>2965</v>
      </c>
      <c r="J2899" s="24" t="s">
        <v>2924</v>
      </c>
      <c r="K2899" s="3">
        <v>18</v>
      </c>
      <c r="L2899" s="3" t="s">
        <v>2929</v>
      </c>
      <c r="M2899" s="3" t="str">
        <f>HYPERLINK("http://ictvonline.org/taxonomyHistory.asp?taxnode_id=20153653","ICTVonline=20153653")</f>
        <v>ICTVonline=20153653</v>
      </c>
    </row>
    <row r="2900" spans="1:13" x14ac:dyDescent="0.15">
      <c r="A2900" s="1" t="s">
        <v>934</v>
      </c>
      <c r="B2900" s="1" t="s">
        <v>980</v>
      </c>
      <c r="D2900" s="1" t="s">
        <v>641</v>
      </c>
      <c r="E2900" s="1" t="s">
        <v>1022</v>
      </c>
      <c r="F2900" s="3">
        <v>0</v>
      </c>
      <c r="I2900" s="24" t="s">
        <v>2965</v>
      </c>
      <c r="J2900" s="24" t="s">
        <v>2924</v>
      </c>
      <c r="K2900" s="3">
        <v>18</v>
      </c>
      <c r="L2900" s="3" t="s">
        <v>2929</v>
      </c>
      <c r="M2900" s="3" t="str">
        <f>HYPERLINK("http://ictvonline.org/taxonomyHistory.asp?taxnode_id=20153654","ICTVonline=20153654")</f>
        <v>ICTVonline=20153654</v>
      </c>
    </row>
    <row r="2901" spans="1:13" x14ac:dyDescent="0.15">
      <c r="A2901" s="1" t="s">
        <v>934</v>
      </c>
      <c r="B2901" s="1" t="s">
        <v>980</v>
      </c>
      <c r="D2901" s="1" t="s">
        <v>641</v>
      </c>
      <c r="E2901" s="1" t="s">
        <v>1023</v>
      </c>
      <c r="F2901" s="3">
        <v>0</v>
      </c>
      <c r="I2901" s="24" t="s">
        <v>2965</v>
      </c>
      <c r="J2901" s="24" t="s">
        <v>2924</v>
      </c>
      <c r="K2901" s="3">
        <v>18</v>
      </c>
      <c r="L2901" s="3" t="s">
        <v>2929</v>
      </c>
      <c r="M2901" s="3" t="str">
        <f>HYPERLINK("http://ictvonline.org/taxonomyHistory.asp?taxnode_id=20153655","ICTVonline=20153655")</f>
        <v>ICTVonline=20153655</v>
      </c>
    </row>
    <row r="2902" spans="1:13" x14ac:dyDescent="0.15">
      <c r="A2902" s="1" t="s">
        <v>934</v>
      </c>
      <c r="B2902" s="1" t="s">
        <v>980</v>
      </c>
      <c r="D2902" s="1" t="s">
        <v>641</v>
      </c>
      <c r="E2902" s="1" t="s">
        <v>1024</v>
      </c>
      <c r="F2902" s="3">
        <v>0</v>
      </c>
      <c r="I2902" s="24" t="s">
        <v>2965</v>
      </c>
      <c r="J2902" s="24" t="s">
        <v>2924</v>
      </c>
      <c r="K2902" s="3">
        <v>18</v>
      </c>
      <c r="L2902" s="3" t="s">
        <v>2929</v>
      </c>
      <c r="M2902" s="3" t="str">
        <f>HYPERLINK("http://ictvonline.org/taxonomyHistory.asp?taxnode_id=20153656","ICTVonline=20153656")</f>
        <v>ICTVonline=20153656</v>
      </c>
    </row>
    <row r="2903" spans="1:13" x14ac:dyDescent="0.15">
      <c r="A2903" s="1" t="s">
        <v>934</v>
      </c>
      <c r="B2903" s="1" t="s">
        <v>980</v>
      </c>
      <c r="D2903" s="1" t="s">
        <v>641</v>
      </c>
      <c r="E2903" s="1" t="s">
        <v>1025</v>
      </c>
      <c r="F2903" s="3">
        <v>0</v>
      </c>
      <c r="I2903" s="24" t="s">
        <v>2965</v>
      </c>
      <c r="J2903" s="24" t="s">
        <v>2924</v>
      </c>
      <c r="K2903" s="3">
        <v>18</v>
      </c>
      <c r="L2903" s="3" t="s">
        <v>2929</v>
      </c>
      <c r="M2903" s="3" t="str">
        <f>HYPERLINK("http://ictvonline.org/taxonomyHistory.asp?taxnode_id=20153657","ICTVonline=20153657")</f>
        <v>ICTVonline=20153657</v>
      </c>
    </row>
    <row r="2904" spans="1:13" x14ac:dyDescent="0.15">
      <c r="A2904" s="1" t="s">
        <v>934</v>
      </c>
      <c r="B2904" s="1" t="s">
        <v>980</v>
      </c>
      <c r="D2904" s="1" t="s">
        <v>641</v>
      </c>
      <c r="E2904" s="1" t="s">
        <v>1026</v>
      </c>
      <c r="F2904" s="3">
        <v>0</v>
      </c>
      <c r="I2904" s="24" t="s">
        <v>2965</v>
      </c>
      <c r="J2904" s="24" t="s">
        <v>2924</v>
      </c>
      <c r="K2904" s="3">
        <v>18</v>
      </c>
      <c r="L2904" s="3" t="s">
        <v>2929</v>
      </c>
      <c r="M2904" s="3" t="str">
        <f>HYPERLINK("http://ictvonline.org/taxonomyHistory.asp?taxnode_id=20153658","ICTVonline=20153658")</f>
        <v>ICTVonline=20153658</v>
      </c>
    </row>
    <row r="2905" spans="1:13" x14ac:dyDescent="0.15">
      <c r="A2905" s="1" t="s">
        <v>934</v>
      </c>
      <c r="B2905" s="1" t="s">
        <v>1027</v>
      </c>
      <c r="D2905" s="1" t="s">
        <v>5925</v>
      </c>
      <c r="E2905" s="1" t="s">
        <v>5926</v>
      </c>
      <c r="F2905" s="3">
        <v>0</v>
      </c>
      <c r="G2905" s="24" t="s">
        <v>7674</v>
      </c>
      <c r="H2905" s="24" t="s">
        <v>5927</v>
      </c>
      <c r="I2905" s="24" t="s">
        <v>2965</v>
      </c>
      <c r="J2905" s="24" t="s">
        <v>2919</v>
      </c>
      <c r="K2905" s="3">
        <v>30</v>
      </c>
      <c r="L2905" s="3" t="s">
        <v>7070</v>
      </c>
      <c r="M2905" s="3" t="str">
        <f>HYPERLINK("http://ictvonline.org/taxonomyHistory.asp?taxnode_id=20153680","ICTVonline=20153680")</f>
        <v>ICTVonline=20153680</v>
      </c>
    </row>
    <row r="2906" spans="1:13" x14ac:dyDescent="0.15">
      <c r="A2906" s="1" t="s">
        <v>934</v>
      </c>
      <c r="B2906" s="1" t="s">
        <v>1027</v>
      </c>
      <c r="D2906" s="1" t="s">
        <v>5925</v>
      </c>
      <c r="E2906" s="1" t="s">
        <v>5928</v>
      </c>
      <c r="F2906" s="3">
        <v>0</v>
      </c>
      <c r="G2906" s="24" t="s">
        <v>7675</v>
      </c>
      <c r="H2906" s="24" t="s">
        <v>5929</v>
      </c>
      <c r="I2906" s="24" t="s">
        <v>2965</v>
      </c>
      <c r="J2906" s="24" t="s">
        <v>2919</v>
      </c>
      <c r="K2906" s="3">
        <v>30</v>
      </c>
      <c r="L2906" s="3" t="s">
        <v>7070</v>
      </c>
      <c r="M2906" s="3" t="str">
        <f>HYPERLINK("http://ictvonline.org/taxonomyHistory.asp?taxnode_id=20153681","ICTVonline=20153681")</f>
        <v>ICTVonline=20153681</v>
      </c>
    </row>
    <row r="2907" spans="1:13" x14ac:dyDescent="0.15">
      <c r="A2907" s="1" t="s">
        <v>934</v>
      </c>
      <c r="B2907" s="1" t="s">
        <v>1027</v>
      </c>
      <c r="D2907" s="1" t="s">
        <v>5925</v>
      </c>
      <c r="E2907" s="1" t="s">
        <v>5930</v>
      </c>
      <c r="F2907" s="3">
        <v>0</v>
      </c>
      <c r="G2907" s="24" t="s">
        <v>7676</v>
      </c>
      <c r="H2907" s="24" t="s">
        <v>5931</v>
      </c>
      <c r="I2907" s="24" t="s">
        <v>2965</v>
      </c>
      <c r="J2907" s="24" t="s">
        <v>2919</v>
      </c>
      <c r="K2907" s="3">
        <v>30</v>
      </c>
      <c r="L2907" s="3" t="s">
        <v>7070</v>
      </c>
      <c r="M2907" s="3" t="str">
        <f>HYPERLINK("http://ictvonline.org/taxonomyHistory.asp?taxnode_id=20153682","ICTVonline=20153682")</f>
        <v>ICTVonline=20153682</v>
      </c>
    </row>
    <row r="2908" spans="1:13" x14ac:dyDescent="0.15">
      <c r="A2908" s="1" t="s">
        <v>934</v>
      </c>
      <c r="B2908" s="1" t="s">
        <v>1027</v>
      </c>
      <c r="D2908" s="1" t="s">
        <v>5925</v>
      </c>
      <c r="E2908" s="1" t="s">
        <v>5932</v>
      </c>
      <c r="F2908" s="3">
        <v>0</v>
      </c>
      <c r="G2908" s="24" t="s">
        <v>7677</v>
      </c>
      <c r="H2908" s="24" t="s">
        <v>5933</v>
      </c>
      <c r="I2908" s="24" t="s">
        <v>2965</v>
      </c>
      <c r="J2908" s="24" t="s">
        <v>2919</v>
      </c>
      <c r="K2908" s="3">
        <v>30</v>
      </c>
      <c r="L2908" s="3" t="s">
        <v>7070</v>
      </c>
      <c r="M2908" s="3" t="str">
        <f>HYPERLINK("http://ictvonline.org/taxonomyHistory.asp?taxnode_id=20153683","ICTVonline=20153683")</f>
        <v>ICTVonline=20153683</v>
      </c>
    </row>
    <row r="2909" spans="1:13" x14ac:dyDescent="0.15">
      <c r="A2909" s="1" t="s">
        <v>934</v>
      </c>
      <c r="B2909" s="1" t="s">
        <v>1027</v>
      </c>
      <c r="D2909" s="1" t="s">
        <v>5925</v>
      </c>
      <c r="E2909" s="1" t="s">
        <v>5934</v>
      </c>
      <c r="F2909" s="3">
        <v>0</v>
      </c>
      <c r="G2909" s="24" t="s">
        <v>7678</v>
      </c>
      <c r="H2909" s="24" t="s">
        <v>5935</v>
      </c>
      <c r="I2909" s="24" t="s">
        <v>2965</v>
      </c>
      <c r="J2909" s="24" t="s">
        <v>2919</v>
      </c>
      <c r="K2909" s="3">
        <v>30</v>
      </c>
      <c r="L2909" s="3" t="s">
        <v>7070</v>
      </c>
      <c r="M2909" s="3" t="str">
        <f>HYPERLINK("http://ictvonline.org/taxonomyHistory.asp?taxnode_id=20153684","ICTVonline=20153684")</f>
        <v>ICTVonline=20153684</v>
      </c>
    </row>
    <row r="2910" spans="1:13" x14ac:dyDescent="0.15">
      <c r="A2910" s="1" t="s">
        <v>934</v>
      </c>
      <c r="B2910" s="1" t="s">
        <v>1027</v>
      </c>
      <c r="D2910" s="1" t="s">
        <v>5925</v>
      </c>
      <c r="E2910" s="1" t="s">
        <v>5936</v>
      </c>
      <c r="F2910" s="3">
        <v>0</v>
      </c>
      <c r="G2910" s="24" t="s">
        <v>7679</v>
      </c>
      <c r="H2910" s="24" t="s">
        <v>5937</v>
      </c>
      <c r="I2910" s="24" t="s">
        <v>2965</v>
      </c>
      <c r="J2910" s="24" t="s">
        <v>2919</v>
      </c>
      <c r="K2910" s="3">
        <v>30</v>
      </c>
      <c r="L2910" s="3" t="s">
        <v>7070</v>
      </c>
      <c r="M2910" s="3" t="str">
        <f>HYPERLINK("http://ictvonline.org/taxonomyHistory.asp?taxnode_id=20153685","ICTVonline=20153685")</f>
        <v>ICTVonline=20153685</v>
      </c>
    </row>
    <row r="2911" spans="1:13" x14ac:dyDescent="0.15">
      <c r="A2911" s="1" t="s">
        <v>934</v>
      </c>
      <c r="B2911" s="1" t="s">
        <v>1027</v>
      </c>
      <c r="D2911" s="1" t="s">
        <v>5925</v>
      </c>
      <c r="E2911" s="1" t="s">
        <v>5938</v>
      </c>
      <c r="F2911" s="3">
        <v>0</v>
      </c>
      <c r="G2911" s="24" t="s">
        <v>7680</v>
      </c>
      <c r="H2911" s="24" t="s">
        <v>5939</v>
      </c>
      <c r="I2911" s="24" t="s">
        <v>2965</v>
      </c>
      <c r="J2911" s="24" t="s">
        <v>2919</v>
      </c>
      <c r="K2911" s="3">
        <v>30</v>
      </c>
      <c r="L2911" s="3" t="s">
        <v>7070</v>
      </c>
      <c r="M2911" s="3" t="str">
        <f>HYPERLINK("http://ictvonline.org/taxonomyHistory.asp?taxnode_id=20153686","ICTVonline=20153686")</f>
        <v>ICTVonline=20153686</v>
      </c>
    </row>
    <row r="2912" spans="1:13" x14ac:dyDescent="0.15">
      <c r="A2912" s="1" t="s">
        <v>934</v>
      </c>
      <c r="B2912" s="1" t="s">
        <v>1027</v>
      </c>
      <c r="D2912" s="1" t="s">
        <v>5925</v>
      </c>
      <c r="E2912" s="1" t="s">
        <v>5940</v>
      </c>
      <c r="F2912" s="3">
        <v>0</v>
      </c>
      <c r="G2912" s="24" t="s">
        <v>7681</v>
      </c>
      <c r="H2912" s="24" t="s">
        <v>5941</v>
      </c>
      <c r="I2912" s="24" t="s">
        <v>2965</v>
      </c>
      <c r="J2912" s="24" t="s">
        <v>2919</v>
      </c>
      <c r="K2912" s="3">
        <v>30</v>
      </c>
      <c r="L2912" s="3" t="s">
        <v>7070</v>
      </c>
      <c r="M2912" s="3" t="str">
        <f>HYPERLINK("http://ictvonline.org/taxonomyHistory.asp?taxnode_id=20153687","ICTVonline=20153687")</f>
        <v>ICTVonline=20153687</v>
      </c>
    </row>
    <row r="2913" spans="1:13" x14ac:dyDescent="0.15">
      <c r="A2913" s="1" t="s">
        <v>934</v>
      </c>
      <c r="B2913" s="1" t="s">
        <v>1027</v>
      </c>
      <c r="D2913" s="1" t="s">
        <v>5925</v>
      </c>
      <c r="E2913" s="1" t="s">
        <v>5942</v>
      </c>
      <c r="F2913" s="3">
        <v>0</v>
      </c>
      <c r="G2913" s="24" t="s">
        <v>7682</v>
      </c>
      <c r="H2913" s="24" t="s">
        <v>5943</v>
      </c>
      <c r="I2913" s="24" t="s">
        <v>2965</v>
      </c>
      <c r="J2913" s="24" t="s">
        <v>2919</v>
      </c>
      <c r="K2913" s="3">
        <v>30</v>
      </c>
      <c r="L2913" s="3" t="s">
        <v>7070</v>
      </c>
      <c r="M2913" s="3" t="str">
        <f>HYPERLINK("http://ictvonline.org/taxonomyHistory.asp?taxnode_id=20153688","ICTVonline=20153688")</f>
        <v>ICTVonline=20153688</v>
      </c>
    </row>
    <row r="2914" spans="1:13" x14ac:dyDescent="0.15">
      <c r="A2914" s="1" t="s">
        <v>934</v>
      </c>
      <c r="B2914" s="1" t="s">
        <v>1027</v>
      </c>
      <c r="D2914" s="1" t="s">
        <v>5925</v>
      </c>
      <c r="E2914" s="1" t="s">
        <v>5944</v>
      </c>
      <c r="F2914" s="3">
        <v>0</v>
      </c>
      <c r="G2914" s="24" t="s">
        <v>7683</v>
      </c>
      <c r="H2914" s="24" t="s">
        <v>5945</v>
      </c>
      <c r="I2914" s="24" t="s">
        <v>2965</v>
      </c>
      <c r="J2914" s="24" t="s">
        <v>2919</v>
      </c>
      <c r="K2914" s="3">
        <v>30</v>
      </c>
      <c r="L2914" s="3" t="s">
        <v>7070</v>
      </c>
      <c r="M2914" s="3" t="str">
        <f>HYPERLINK("http://ictvonline.org/taxonomyHistory.asp?taxnode_id=20153689","ICTVonline=20153689")</f>
        <v>ICTVonline=20153689</v>
      </c>
    </row>
    <row r="2915" spans="1:13" x14ac:dyDescent="0.15">
      <c r="A2915" s="1" t="s">
        <v>934</v>
      </c>
      <c r="B2915" s="1" t="s">
        <v>1027</v>
      </c>
      <c r="D2915" s="1" t="s">
        <v>5925</v>
      </c>
      <c r="E2915" s="1" t="s">
        <v>5946</v>
      </c>
      <c r="F2915" s="3">
        <v>0</v>
      </c>
      <c r="G2915" s="24" t="s">
        <v>7684</v>
      </c>
      <c r="H2915" s="24" t="s">
        <v>5947</v>
      </c>
      <c r="I2915" s="24" t="s">
        <v>2965</v>
      </c>
      <c r="J2915" s="24" t="s">
        <v>2919</v>
      </c>
      <c r="K2915" s="3">
        <v>30</v>
      </c>
      <c r="L2915" s="3" t="s">
        <v>7070</v>
      </c>
      <c r="M2915" s="3" t="str">
        <f>HYPERLINK("http://ictvonline.org/taxonomyHistory.asp?taxnode_id=20153690","ICTVonline=20153690")</f>
        <v>ICTVonline=20153690</v>
      </c>
    </row>
    <row r="2916" spans="1:13" x14ac:dyDescent="0.15">
      <c r="A2916" s="1" t="s">
        <v>934</v>
      </c>
      <c r="B2916" s="1" t="s">
        <v>1027</v>
      </c>
      <c r="D2916" s="1" t="s">
        <v>5925</v>
      </c>
      <c r="E2916" s="1" t="s">
        <v>5948</v>
      </c>
      <c r="F2916" s="3">
        <v>0</v>
      </c>
      <c r="G2916" s="24" t="s">
        <v>7685</v>
      </c>
      <c r="H2916" s="24" t="s">
        <v>5949</v>
      </c>
      <c r="I2916" s="24" t="s">
        <v>2965</v>
      </c>
      <c r="J2916" s="24" t="s">
        <v>2919</v>
      </c>
      <c r="K2916" s="3">
        <v>30</v>
      </c>
      <c r="L2916" s="3" t="s">
        <v>7070</v>
      </c>
      <c r="M2916" s="3" t="str">
        <f>HYPERLINK("http://ictvonline.org/taxonomyHistory.asp?taxnode_id=20153691","ICTVonline=20153691")</f>
        <v>ICTVonline=20153691</v>
      </c>
    </row>
    <row r="2917" spans="1:13" x14ac:dyDescent="0.15">
      <c r="A2917" s="1" t="s">
        <v>934</v>
      </c>
      <c r="B2917" s="1" t="s">
        <v>1027</v>
      </c>
      <c r="D2917" s="1" t="s">
        <v>5925</v>
      </c>
      <c r="E2917" s="1" t="s">
        <v>5950</v>
      </c>
      <c r="F2917" s="3">
        <v>0</v>
      </c>
      <c r="G2917" s="24" t="s">
        <v>7686</v>
      </c>
      <c r="H2917" s="24" t="s">
        <v>5951</v>
      </c>
      <c r="I2917" s="24" t="s">
        <v>2965</v>
      </c>
      <c r="J2917" s="24" t="s">
        <v>2919</v>
      </c>
      <c r="K2917" s="3">
        <v>30</v>
      </c>
      <c r="L2917" s="3" t="s">
        <v>7070</v>
      </c>
      <c r="M2917" s="3" t="str">
        <f>HYPERLINK("http://ictvonline.org/taxonomyHistory.asp?taxnode_id=20153692","ICTVonline=20153692")</f>
        <v>ICTVonline=20153692</v>
      </c>
    </row>
    <row r="2918" spans="1:13" x14ac:dyDescent="0.15">
      <c r="A2918" s="1" t="s">
        <v>934</v>
      </c>
      <c r="B2918" s="1" t="s">
        <v>1027</v>
      </c>
      <c r="D2918" s="1" t="s">
        <v>5925</v>
      </c>
      <c r="E2918" s="1" t="s">
        <v>5952</v>
      </c>
      <c r="F2918" s="3">
        <v>0</v>
      </c>
      <c r="G2918" s="24" t="s">
        <v>7687</v>
      </c>
      <c r="H2918" s="24" t="s">
        <v>5953</v>
      </c>
      <c r="I2918" s="24" t="s">
        <v>2965</v>
      </c>
      <c r="J2918" s="24" t="s">
        <v>2919</v>
      </c>
      <c r="K2918" s="3">
        <v>30</v>
      </c>
      <c r="L2918" s="3" t="s">
        <v>7070</v>
      </c>
      <c r="M2918" s="3" t="str">
        <f>HYPERLINK("http://ictvonline.org/taxonomyHistory.asp?taxnode_id=20153693","ICTVonline=20153693")</f>
        <v>ICTVonline=20153693</v>
      </c>
    </row>
    <row r="2919" spans="1:13" x14ac:dyDescent="0.15">
      <c r="A2919" s="1" t="s">
        <v>934</v>
      </c>
      <c r="B2919" s="1" t="s">
        <v>1027</v>
      </c>
      <c r="D2919" s="1" t="s">
        <v>5925</v>
      </c>
      <c r="E2919" s="1" t="s">
        <v>5954</v>
      </c>
      <c r="F2919" s="3">
        <v>0</v>
      </c>
      <c r="G2919" s="24" t="s">
        <v>7688</v>
      </c>
      <c r="H2919" s="24" t="s">
        <v>5955</v>
      </c>
      <c r="I2919" s="24" t="s">
        <v>2965</v>
      </c>
      <c r="J2919" s="24" t="s">
        <v>2919</v>
      </c>
      <c r="K2919" s="3">
        <v>30</v>
      </c>
      <c r="L2919" s="3" t="s">
        <v>7070</v>
      </c>
      <c r="M2919" s="3" t="str">
        <f>HYPERLINK("http://ictvonline.org/taxonomyHistory.asp?taxnode_id=20153694","ICTVonline=20153694")</f>
        <v>ICTVonline=20153694</v>
      </c>
    </row>
    <row r="2920" spans="1:13" x14ac:dyDescent="0.15">
      <c r="A2920" s="1" t="s">
        <v>934</v>
      </c>
      <c r="B2920" s="1" t="s">
        <v>1027</v>
      </c>
      <c r="D2920" s="1" t="s">
        <v>5925</v>
      </c>
      <c r="E2920" s="1" t="s">
        <v>5956</v>
      </c>
      <c r="F2920" s="3">
        <v>0</v>
      </c>
      <c r="G2920" s="24" t="s">
        <v>7689</v>
      </c>
      <c r="H2920" s="24" t="s">
        <v>5957</v>
      </c>
      <c r="I2920" s="24" t="s">
        <v>2965</v>
      </c>
      <c r="J2920" s="24" t="s">
        <v>2919</v>
      </c>
      <c r="K2920" s="3">
        <v>30</v>
      </c>
      <c r="L2920" s="3" t="s">
        <v>7070</v>
      </c>
      <c r="M2920" s="3" t="str">
        <f>HYPERLINK("http://ictvonline.org/taxonomyHistory.asp?taxnode_id=20153695","ICTVonline=20153695")</f>
        <v>ICTVonline=20153695</v>
      </c>
    </row>
    <row r="2921" spans="1:13" x14ac:dyDescent="0.15">
      <c r="A2921" s="1" t="s">
        <v>934</v>
      </c>
      <c r="B2921" s="1" t="s">
        <v>1027</v>
      </c>
      <c r="D2921" s="1" t="s">
        <v>5925</v>
      </c>
      <c r="E2921" s="1" t="s">
        <v>5958</v>
      </c>
      <c r="F2921" s="3">
        <v>0</v>
      </c>
      <c r="G2921" s="24" t="s">
        <v>7690</v>
      </c>
      <c r="H2921" s="24" t="s">
        <v>5959</v>
      </c>
      <c r="I2921" s="24" t="s">
        <v>2965</v>
      </c>
      <c r="J2921" s="24" t="s">
        <v>2919</v>
      </c>
      <c r="K2921" s="3">
        <v>30</v>
      </c>
      <c r="L2921" s="3" t="s">
        <v>7070</v>
      </c>
      <c r="M2921" s="3" t="str">
        <f>HYPERLINK("http://ictvonline.org/taxonomyHistory.asp?taxnode_id=20153696","ICTVonline=20153696")</f>
        <v>ICTVonline=20153696</v>
      </c>
    </row>
    <row r="2922" spans="1:13" x14ac:dyDescent="0.15">
      <c r="A2922" s="1" t="s">
        <v>934</v>
      </c>
      <c r="B2922" s="1" t="s">
        <v>1027</v>
      </c>
      <c r="D2922" s="1" t="s">
        <v>5925</v>
      </c>
      <c r="E2922" s="1" t="s">
        <v>5960</v>
      </c>
      <c r="F2922" s="3">
        <v>0</v>
      </c>
      <c r="H2922" s="24" t="s">
        <v>477</v>
      </c>
      <c r="I2922" s="24" t="s">
        <v>2965</v>
      </c>
      <c r="J2922" s="24" t="s">
        <v>2923</v>
      </c>
      <c r="K2922" s="3">
        <v>30</v>
      </c>
      <c r="L2922" s="3" t="s">
        <v>7070</v>
      </c>
      <c r="M2922" s="3" t="str">
        <f>HYPERLINK("http://ictvonline.org/taxonomyHistory.asp?taxnode_id=20153668","ICTVonline=20153668")</f>
        <v>ICTVonline=20153668</v>
      </c>
    </row>
    <row r="2923" spans="1:13" x14ac:dyDescent="0.15">
      <c r="A2923" s="1" t="s">
        <v>934</v>
      </c>
      <c r="B2923" s="1" t="s">
        <v>1027</v>
      </c>
      <c r="D2923" s="1" t="s">
        <v>5925</v>
      </c>
      <c r="E2923" s="1" t="s">
        <v>5961</v>
      </c>
      <c r="F2923" s="3">
        <v>0</v>
      </c>
      <c r="G2923" s="24" t="s">
        <v>7691</v>
      </c>
      <c r="H2923" s="24" t="s">
        <v>5962</v>
      </c>
      <c r="I2923" s="24" t="s">
        <v>2965</v>
      </c>
      <c r="J2923" s="24" t="s">
        <v>2919</v>
      </c>
      <c r="K2923" s="3">
        <v>30</v>
      </c>
      <c r="L2923" s="3" t="s">
        <v>7070</v>
      </c>
      <c r="M2923" s="3" t="str">
        <f>HYPERLINK("http://ictvonline.org/taxonomyHistory.asp?taxnode_id=20153697","ICTVonline=20153697")</f>
        <v>ICTVonline=20153697</v>
      </c>
    </row>
    <row r="2924" spans="1:13" x14ac:dyDescent="0.15">
      <c r="A2924" s="1" t="s">
        <v>934</v>
      </c>
      <c r="B2924" s="1" t="s">
        <v>1027</v>
      </c>
      <c r="D2924" s="1" t="s">
        <v>5925</v>
      </c>
      <c r="E2924" s="1" t="s">
        <v>5963</v>
      </c>
      <c r="F2924" s="3">
        <v>1</v>
      </c>
      <c r="H2924" s="24" t="s">
        <v>2176</v>
      </c>
      <c r="I2924" s="24" t="s">
        <v>2965</v>
      </c>
      <c r="J2924" s="24" t="s">
        <v>2923</v>
      </c>
      <c r="K2924" s="3">
        <v>30</v>
      </c>
      <c r="L2924" s="3" t="s">
        <v>7070</v>
      </c>
      <c r="M2924" s="3" t="str">
        <f>HYPERLINK("http://ictvonline.org/taxonomyHistory.asp?taxnode_id=20153672","ICTVonline=20153672")</f>
        <v>ICTVonline=20153672</v>
      </c>
    </row>
    <row r="2925" spans="1:13" x14ac:dyDescent="0.15">
      <c r="A2925" s="1" t="s">
        <v>934</v>
      </c>
      <c r="B2925" s="1" t="s">
        <v>1027</v>
      </c>
      <c r="D2925" s="1" t="s">
        <v>5925</v>
      </c>
      <c r="E2925" s="1" t="s">
        <v>5964</v>
      </c>
      <c r="F2925" s="3">
        <v>0</v>
      </c>
      <c r="G2925" s="24" t="s">
        <v>7692</v>
      </c>
      <c r="H2925" s="24" t="s">
        <v>5965</v>
      </c>
      <c r="I2925" s="24" t="s">
        <v>2965</v>
      </c>
      <c r="J2925" s="24" t="s">
        <v>2919</v>
      </c>
      <c r="K2925" s="3">
        <v>30</v>
      </c>
      <c r="L2925" s="3" t="s">
        <v>7070</v>
      </c>
      <c r="M2925" s="3" t="str">
        <f>HYPERLINK("http://ictvonline.org/taxonomyHistory.asp?taxnode_id=20153698","ICTVonline=20153698")</f>
        <v>ICTVonline=20153698</v>
      </c>
    </row>
    <row r="2926" spans="1:13" x14ac:dyDescent="0.15">
      <c r="A2926" s="1" t="s">
        <v>934</v>
      </c>
      <c r="B2926" s="1" t="s">
        <v>1027</v>
      </c>
      <c r="D2926" s="1" t="s">
        <v>5925</v>
      </c>
      <c r="E2926" s="1" t="s">
        <v>5966</v>
      </c>
      <c r="F2926" s="3">
        <v>0</v>
      </c>
      <c r="G2926" s="24" t="s">
        <v>7693</v>
      </c>
      <c r="H2926" s="24" t="s">
        <v>5967</v>
      </c>
      <c r="I2926" s="24" t="s">
        <v>2965</v>
      </c>
      <c r="J2926" s="24" t="s">
        <v>2919</v>
      </c>
      <c r="K2926" s="3">
        <v>30</v>
      </c>
      <c r="L2926" s="3" t="s">
        <v>7070</v>
      </c>
      <c r="M2926" s="3" t="str">
        <f>HYPERLINK("http://ictvonline.org/taxonomyHistory.asp?taxnode_id=20153699","ICTVonline=20153699")</f>
        <v>ICTVonline=20153699</v>
      </c>
    </row>
    <row r="2927" spans="1:13" x14ac:dyDescent="0.15">
      <c r="A2927" s="1" t="s">
        <v>934</v>
      </c>
      <c r="B2927" s="1" t="s">
        <v>1027</v>
      </c>
      <c r="D2927" s="1" t="s">
        <v>5925</v>
      </c>
      <c r="E2927" s="1" t="s">
        <v>5968</v>
      </c>
      <c r="F2927" s="3">
        <v>0</v>
      </c>
      <c r="G2927" s="24" t="s">
        <v>7694</v>
      </c>
      <c r="H2927" s="24" t="s">
        <v>5969</v>
      </c>
      <c r="I2927" s="24" t="s">
        <v>2965</v>
      </c>
      <c r="J2927" s="24" t="s">
        <v>2919</v>
      </c>
      <c r="K2927" s="3">
        <v>30</v>
      </c>
      <c r="L2927" s="3" t="s">
        <v>7070</v>
      </c>
      <c r="M2927" s="3" t="str">
        <f>HYPERLINK("http://ictvonline.org/taxonomyHistory.asp?taxnode_id=20153700","ICTVonline=20153700")</f>
        <v>ICTVonline=20153700</v>
      </c>
    </row>
    <row r="2928" spans="1:13" x14ac:dyDescent="0.15">
      <c r="A2928" s="1" t="s">
        <v>934</v>
      </c>
      <c r="B2928" s="1" t="s">
        <v>1027</v>
      </c>
      <c r="D2928" s="1" t="s">
        <v>5925</v>
      </c>
      <c r="E2928" s="1" t="s">
        <v>5970</v>
      </c>
      <c r="F2928" s="3">
        <v>0</v>
      </c>
      <c r="G2928" s="24" t="s">
        <v>7695</v>
      </c>
      <c r="H2928" s="24" t="s">
        <v>5971</v>
      </c>
      <c r="I2928" s="24" t="s">
        <v>2965</v>
      </c>
      <c r="J2928" s="24" t="s">
        <v>2919</v>
      </c>
      <c r="K2928" s="3">
        <v>30</v>
      </c>
      <c r="L2928" s="3" t="s">
        <v>7070</v>
      </c>
      <c r="M2928" s="3" t="str">
        <f>HYPERLINK("http://ictvonline.org/taxonomyHistory.asp?taxnode_id=20153701","ICTVonline=20153701")</f>
        <v>ICTVonline=20153701</v>
      </c>
    </row>
    <row r="2929" spans="1:13" x14ac:dyDescent="0.15">
      <c r="A2929" s="1" t="s">
        <v>934</v>
      </c>
      <c r="B2929" s="1" t="s">
        <v>1027</v>
      </c>
      <c r="D2929" s="1" t="s">
        <v>5925</v>
      </c>
      <c r="E2929" s="1" t="s">
        <v>5972</v>
      </c>
      <c r="F2929" s="3">
        <v>0</v>
      </c>
      <c r="G2929" s="24" t="s">
        <v>7696</v>
      </c>
      <c r="H2929" s="24" t="s">
        <v>5973</v>
      </c>
      <c r="I2929" s="24" t="s">
        <v>2965</v>
      </c>
      <c r="J2929" s="24" t="s">
        <v>2919</v>
      </c>
      <c r="K2929" s="3">
        <v>30</v>
      </c>
      <c r="L2929" s="3" t="s">
        <v>7070</v>
      </c>
      <c r="M2929" s="3" t="str">
        <f>HYPERLINK("http://ictvonline.org/taxonomyHistory.asp?taxnode_id=20153702","ICTVonline=20153702")</f>
        <v>ICTVonline=20153702</v>
      </c>
    </row>
    <row r="2930" spans="1:13" x14ac:dyDescent="0.15">
      <c r="A2930" s="1" t="s">
        <v>934</v>
      </c>
      <c r="B2930" s="1" t="s">
        <v>1027</v>
      </c>
      <c r="D2930" s="1" t="s">
        <v>5925</v>
      </c>
      <c r="E2930" s="1" t="s">
        <v>5974</v>
      </c>
      <c r="F2930" s="3">
        <v>0</v>
      </c>
      <c r="G2930" s="24" t="s">
        <v>7697</v>
      </c>
      <c r="H2930" s="24" t="s">
        <v>5975</v>
      </c>
      <c r="I2930" s="24" t="s">
        <v>2965</v>
      </c>
      <c r="J2930" s="24" t="s">
        <v>2919</v>
      </c>
      <c r="K2930" s="3">
        <v>30</v>
      </c>
      <c r="L2930" s="3" t="s">
        <v>7070</v>
      </c>
      <c r="M2930" s="3" t="str">
        <f>HYPERLINK("http://ictvonline.org/taxonomyHistory.asp?taxnode_id=20153703","ICTVonline=20153703")</f>
        <v>ICTVonline=20153703</v>
      </c>
    </row>
    <row r="2931" spans="1:13" x14ac:dyDescent="0.15">
      <c r="A2931" s="1" t="s">
        <v>934</v>
      </c>
      <c r="B2931" s="1" t="s">
        <v>1027</v>
      </c>
      <c r="D2931" s="1" t="s">
        <v>5925</v>
      </c>
      <c r="E2931" s="1" t="s">
        <v>5976</v>
      </c>
      <c r="F2931" s="3">
        <v>0</v>
      </c>
      <c r="G2931" s="24" t="s">
        <v>7698</v>
      </c>
      <c r="H2931" s="24" t="s">
        <v>5977</v>
      </c>
      <c r="I2931" s="24" t="s">
        <v>2965</v>
      </c>
      <c r="J2931" s="24" t="s">
        <v>2919</v>
      </c>
      <c r="K2931" s="3">
        <v>30</v>
      </c>
      <c r="L2931" s="3" t="s">
        <v>7070</v>
      </c>
      <c r="M2931" s="3" t="str">
        <f>HYPERLINK("http://ictvonline.org/taxonomyHistory.asp?taxnode_id=20153704","ICTVonline=20153704")</f>
        <v>ICTVonline=20153704</v>
      </c>
    </row>
    <row r="2932" spans="1:13" x14ac:dyDescent="0.15">
      <c r="A2932" s="1" t="s">
        <v>934</v>
      </c>
      <c r="B2932" s="1" t="s">
        <v>1027</v>
      </c>
      <c r="D2932" s="1" t="s">
        <v>5925</v>
      </c>
      <c r="E2932" s="1" t="s">
        <v>5978</v>
      </c>
      <c r="F2932" s="3">
        <v>0</v>
      </c>
      <c r="G2932" s="24" t="s">
        <v>7699</v>
      </c>
      <c r="H2932" s="24" t="s">
        <v>5979</v>
      </c>
      <c r="I2932" s="24" t="s">
        <v>2965</v>
      </c>
      <c r="J2932" s="24" t="s">
        <v>2919</v>
      </c>
      <c r="K2932" s="3">
        <v>30</v>
      </c>
      <c r="L2932" s="3" t="s">
        <v>7070</v>
      </c>
      <c r="M2932" s="3" t="str">
        <f>HYPERLINK("http://ictvonline.org/taxonomyHistory.asp?taxnode_id=20153705","ICTVonline=20153705")</f>
        <v>ICTVonline=20153705</v>
      </c>
    </row>
    <row r="2933" spans="1:13" x14ac:dyDescent="0.15">
      <c r="A2933" s="1" t="s">
        <v>934</v>
      </c>
      <c r="B2933" s="1" t="s">
        <v>1027</v>
      </c>
      <c r="D2933" s="1" t="s">
        <v>5925</v>
      </c>
      <c r="E2933" s="1" t="s">
        <v>5980</v>
      </c>
      <c r="F2933" s="3">
        <v>0</v>
      </c>
      <c r="G2933" s="24" t="s">
        <v>7700</v>
      </c>
      <c r="H2933" s="24" t="s">
        <v>5981</v>
      </c>
      <c r="I2933" s="24" t="s">
        <v>2965</v>
      </c>
      <c r="J2933" s="24" t="s">
        <v>2919</v>
      </c>
      <c r="K2933" s="3">
        <v>30</v>
      </c>
      <c r="L2933" s="3" t="s">
        <v>7070</v>
      </c>
      <c r="M2933" s="3" t="str">
        <f>HYPERLINK("http://ictvonline.org/taxonomyHistory.asp?taxnode_id=20153706","ICTVonline=20153706")</f>
        <v>ICTVonline=20153706</v>
      </c>
    </row>
    <row r="2934" spans="1:13" x14ac:dyDescent="0.15">
      <c r="A2934" s="1" t="s">
        <v>934</v>
      </c>
      <c r="B2934" s="1" t="s">
        <v>1027</v>
      </c>
      <c r="D2934" s="1" t="s">
        <v>5925</v>
      </c>
      <c r="E2934" s="1" t="s">
        <v>5982</v>
      </c>
      <c r="F2934" s="3">
        <v>0</v>
      </c>
      <c r="G2934" s="24" t="s">
        <v>7701</v>
      </c>
      <c r="H2934" s="24" t="s">
        <v>5983</v>
      </c>
      <c r="I2934" s="24" t="s">
        <v>2965</v>
      </c>
      <c r="J2934" s="24" t="s">
        <v>2919</v>
      </c>
      <c r="K2934" s="3">
        <v>30</v>
      </c>
      <c r="L2934" s="3" t="s">
        <v>7070</v>
      </c>
      <c r="M2934" s="3" t="str">
        <f>HYPERLINK("http://ictvonline.org/taxonomyHistory.asp?taxnode_id=20153707","ICTVonline=20153707")</f>
        <v>ICTVonline=20153707</v>
      </c>
    </row>
    <row r="2935" spans="1:13" x14ac:dyDescent="0.15">
      <c r="A2935" s="1" t="s">
        <v>934</v>
      </c>
      <c r="B2935" s="1" t="s">
        <v>1027</v>
      </c>
      <c r="D2935" s="1" t="s">
        <v>5925</v>
      </c>
      <c r="E2935" s="1" t="s">
        <v>5984</v>
      </c>
      <c r="F2935" s="3">
        <v>0</v>
      </c>
      <c r="G2935" s="24" t="s">
        <v>7702</v>
      </c>
      <c r="H2935" s="24" t="s">
        <v>5985</v>
      </c>
      <c r="I2935" s="24" t="s">
        <v>2965</v>
      </c>
      <c r="J2935" s="24" t="s">
        <v>2919</v>
      </c>
      <c r="K2935" s="3">
        <v>30</v>
      </c>
      <c r="L2935" s="3" t="s">
        <v>7070</v>
      </c>
      <c r="M2935" s="3" t="str">
        <f>HYPERLINK("http://ictvonline.org/taxonomyHistory.asp?taxnode_id=20153708","ICTVonline=20153708")</f>
        <v>ICTVonline=20153708</v>
      </c>
    </row>
    <row r="2936" spans="1:13" x14ac:dyDescent="0.15">
      <c r="A2936" s="1" t="s">
        <v>934</v>
      </c>
      <c r="B2936" s="1" t="s">
        <v>1027</v>
      </c>
      <c r="D2936" s="1" t="s">
        <v>5925</v>
      </c>
      <c r="E2936" s="1" t="s">
        <v>5986</v>
      </c>
      <c r="F2936" s="3">
        <v>0</v>
      </c>
      <c r="G2936" s="24" t="s">
        <v>7703</v>
      </c>
      <c r="H2936" s="24" t="s">
        <v>5987</v>
      </c>
      <c r="I2936" s="24" t="s">
        <v>2965</v>
      </c>
      <c r="J2936" s="24" t="s">
        <v>2919</v>
      </c>
      <c r="K2936" s="3">
        <v>30</v>
      </c>
      <c r="L2936" s="3" t="s">
        <v>7070</v>
      </c>
      <c r="M2936" s="3" t="str">
        <f>HYPERLINK("http://ictvonline.org/taxonomyHistory.asp?taxnode_id=20153709","ICTVonline=20153709")</f>
        <v>ICTVonline=20153709</v>
      </c>
    </row>
    <row r="2937" spans="1:13" x14ac:dyDescent="0.15">
      <c r="A2937" s="1" t="s">
        <v>934</v>
      </c>
      <c r="B2937" s="1" t="s">
        <v>1027</v>
      </c>
      <c r="D2937" s="1" t="s">
        <v>5925</v>
      </c>
      <c r="E2937" s="1" t="s">
        <v>5988</v>
      </c>
      <c r="F2937" s="3">
        <v>0</v>
      </c>
      <c r="G2937" s="24" t="s">
        <v>7704</v>
      </c>
      <c r="H2937" s="24" t="s">
        <v>5989</v>
      </c>
      <c r="I2937" s="24" t="s">
        <v>2965</v>
      </c>
      <c r="J2937" s="24" t="s">
        <v>2919</v>
      </c>
      <c r="K2937" s="3">
        <v>30</v>
      </c>
      <c r="L2937" s="3" t="s">
        <v>7070</v>
      </c>
      <c r="M2937" s="3" t="str">
        <f>HYPERLINK("http://ictvonline.org/taxonomyHistory.asp?taxnode_id=20153710","ICTVonline=20153710")</f>
        <v>ICTVonline=20153710</v>
      </c>
    </row>
    <row r="2938" spans="1:13" x14ac:dyDescent="0.15">
      <c r="A2938" s="1" t="s">
        <v>934</v>
      </c>
      <c r="B2938" s="1" t="s">
        <v>1027</v>
      </c>
      <c r="D2938" s="1" t="s">
        <v>5925</v>
      </c>
      <c r="E2938" s="1" t="s">
        <v>5990</v>
      </c>
      <c r="F2938" s="3">
        <v>0</v>
      </c>
      <c r="G2938" s="24" t="s">
        <v>7705</v>
      </c>
      <c r="H2938" s="24" t="s">
        <v>5991</v>
      </c>
      <c r="I2938" s="24" t="s">
        <v>2965</v>
      </c>
      <c r="J2938" s="24" t="s">
        <v>2919</v>
      </c>
      <c r="K2938" s="3">
        <v>30</v>
      </c>
      <c r="L2938" s="3" t="s">
        <v>7070</v>
      </c>
      <c r="M2938" s="3" t="str">
        <f>HYPERLINK("http://ictvonline.org/taxonomyHistory.asp?taxnode_id=20153711","ICTVonline=20153711")</f>
        <v>ICTVonline=20153711</v>
      </c>
    </row>
    <row r="2939" spans="1:13" x14ac:dyDescent="0.15">
      <c r="A2939" s="1" t="s">
        <v>934</v>
      </c>
      <c r="B2939" s="1" t="s">
        <v>1027</v>
      </c>
      <c r="D2939" s="1" t="s">
        <v>5925</v>
      </c>
      <c r="E2939" s="1" t="s">
        <v>5992</v>
      </c>
      <c r="F2939" s="3">
        <v>0</v>
      </c>
      <c r="G2939" s="24" t="s">
        <v>7706</v>
      </c>
      <c r="H2939" s="24" t="s">
        <v>5993</v>
      </c>
      <c r="I2939" s="24" t="s">
        <v>2965</v>
      </c>
      <c r="J2939" s="24" t="s">
        <v>2919</v>
      </c>
      <c r="K2939" s="3">
        <v>30</v>
      </c>
      <c r="L2939" s="3" t="s">
        <v>7070</v>
      </c>
      <c r="M2939" s="3" t="str">
        <f>HYPERLINK("http://ictvonline.org/taxonomyHistory.asp?taxnode_id=20153712","ICTVonline=20153712")</f>
        <v>ICTVonline=20153712</v>
      </c>
    </row>
    <row r="2940" spans="1:13" x14ac:dyDescent="0.15">
      <c r="A2940" s="1" t="s">
        <v>934</v>
      </c>
      <c r="B2940" s="1" t="s">
        <v>1027</v>
      </c>
      <c r="D2940" s="1" t="s">
        <v>5925</v>
      </c>
      <c r="E2940" s="1" t="s">
        <v>5994</v>
      </c>
      <c r="F2940" s="3">
        <v>0</v>
      </c>
      <c r="G2940" s="24" t="s">
        <v>7707</v>
      </c>
      <c r="H2940" s="24" t="s">
        <v>5995</v>
      </c>
      <c r="I2940" s="24" t="s">
        <v>2965</v>
      </c>
      <c r="J2940" s="24" t="s">
        <v>2919</v>
      </c>
      <c r="K2940" s="3">
        <v>30</v>
      </c>
      <c r="L2940" s="3" t="s">
        <v>7070</v>
      </c>
      <c r="M2940" s="3" t="str">
        <f>HYPERLINK("http://ictvonline.org/taxonomyHistory.asp?taxnode_id=20153713","ICTVonline=20153713")</f>
        <v>ICTVonline=20153713</v>
      </c>
    </row>
    <row r="2941" spans="1:13" x14ac:dyDescent="0.15">
      <c r="A2941" s="1" t="s">
        <v>934</v>
      </c>
      <c r="B2941" s="1" t="s">
        <v>1027</v>
      </c>
      <c r="D2941" s="1" t="s">
        <v>5996</v>
      </c>
      <c r="E2941" s="1" t="s">
        <v>5997</v>
      </c>
      <c r="F2941" s="3">
        <v>0</v>
      </c>
      <c r="G2941" s="24" t="s">
        <v>7708</v>
      </c>
      <c r="H2941" s="24" t="s">
        <v>5998</v>
      </c>
      <c r="I2941" s="24" t="s">
        <v>2965</v>
      </c>
      <c r="J2941" s="24" t="s">
        <v>2919</v>
      </c>
      <c r="K2941" s="3">
        <v>30</v>
      </c>
      <c r="L2941" s="3" t="s">
        <v>7070</v>
      </c>
      <c r="M2941" s="3" t="str">
        <f>HYPERLINK("http://ictvonline.org/taxonomyHistory.asp?taxnode_id=20153714","ICTVonline=20153714")</f>
        <v>ICTVonline=20153714</v>
      </c>
    </row>
    <row r="2942" spans="1:13" x14ac:dyDescent="0.15">
      <c r="A2942" s="1" t="s">
        <v>934</v>
      </c>
      <c r="B2942" s="1" t="s">
        <v>1027</v>
      </c>
      <c r="D2942" s="1" t="s">
        <v>5996</v>
      </c>
      <c r="E2942" s="1" t="s">
        <v>5999</v>
      </c>
      <c r="F2942" s="3">
        <v>0</v>
      </c>
      <c r="G2942" s="24" t="s">
        <v>7709</v>
      </c>
      <c r="H2942" s="24" t="s">
        <v>6000</v>
      </c>
      <c r="I2942" s="24" t="s">
        <v>2965</v>
      </c>
      <c r="J2942" s="24" t="s">
        <v>2919</v>
      </c>
      <c r="K2942" s="3">
        <v>30</v>
      </c>
      <c r="L2942" s="3" t="s">
        <v>7070</v>
      </c>
      <c r="M2942" s="3" t="str">
        <f>HYPERLINK("http://ictvonline.org/taxonomyHistory.asp?taxnode_id=20153715","ICTVonline=20153715")</f>
        <v>ICTVonline=20153715</v>
      </c>
    </row>
    <row r="2943" spans="1:13" x14ac:dyDescent="0.15">
      <c r="A2943" s="1" t="s">
        <v>934</v>
      </c>
      <c r="B2943" s="1" t="s">
        <v>1027</v>
      </c>
      <c r="D2943" s="1" t="s">
        <v>5996</v>
      </c>
      <c r="E2943" s="1" t="s">
        <v>6001</v>
      </c>
      <c r="F2943" s="3">
        <v>0</v>
      </c>
      <c r="G2943" s="24" t="s">
        <v>7710</v>
      </c>
      <c r="H2943" s="24" t="s">
        <v>6002</v>
      </c>
      <c r="I2943" s="24" t="s">
        <v>2965</v>
      </c>
      <c r="J2943" s="24" t="s">
        <v>2919</v>
      </c>
      <c r="K2943" s="3">
        <v>30</v>
      </c>
      <c r="L2943" s="3" t="s">
        <v>7070</v>
      </c>
      <c r="M2943" s="3" t="str">
        <f>HYPERLINK("http://ictvonline.org/taxonomyHistory.asp?taxnode_id=20153716","ICTVonline=20153716")</f>
        <v>ICTVonline=20153716</v>
      </c>
    </row>
    <row r="2944" spans="1:13" x14ac:dyDescent="0.15">
      <c r="A2944" s="1" t="s">
        <v>934</v>
      </c>
      <c r="B2944" s="1" t="s">
        <v>1027</v>
      </c>
      <c r="D2944" s="1" t="s">
        <v>5996</v>
      </c>
      <c r="E2944" s="1" t="s">
        <v>6003</v>
      </c>
      <c r="F2944" s="3">
        <v>0</v>
      </c>
      <c r="G2944" s="24" t="s">
        <v>7711</v>
      </c>
      <c r="H2944" s="24" t="s">
        <v>6004</v>
      </c>
      <c r="I2944" s="24" t="s">
        <v>2965</v>
      </c>
      <c r="J2944" s="24" t="s">
        <v>2919</v>
      </c>
      <c r="K2944" s="3">
        <v>30</v>
      </c>
      <c r="L2944" s="3" t="s">
        <v>7070</v>
      </c>
      <c r="M2944" s="3" t="str">
        <f>HYPERLINK("http://ictvonline.org/taxonomyHistory.asp?taxnode_id=20153717","ICTVonline=20153717")</f>
        <v>ICTVonline=20153717</v>
      </c>
    </row>
    <row r="2945" spans="1:13" x14ac:dyDescent="0.15">
      <c r="A2945" s="1" t="s">
        <v>934</v>
      </c>
      <c r="B2945" s="1" t="s">
        <v>1027</v>
      </c>
      <c r="D2945" s="1" t="s">
        <v>5996</v>
      </c>
      <c r="E2945" s="1" t="s">
        <v>6005</v>
      </c>
      <c r="F2945" s="3">
        <v>0</v>
      </c>
      <c r="G2945" s="24" t="s">
        <v>7712</v>
      </c>
      <c r="H2945" s="24" t="s">
        <v>6006</v>
      </c>
      <c r="I2945" s="24" t="s">
        <v>2965</v>
      </c>
      <c r="J2945" s="24" t="s">
        <v>2919</v>
      </c>
      <c r="K2945" s="3">
        <v>30</v>
      </c>
      <c r="L2945" s="3" t="s">
        <v>7070</v>
      </c>
      <c r="M2945" s="3" t="str">
        <f>HYPERLINK("http://ictvonline.org/taxonomyHistory.asp?taxnode_id=20153718","ICTVonline=20153718")</f>
        <v>ICTVonline=20153718</v>
      </c>
    </row>
    <row r="2946" spans="1:13" x14ac:dyDescent="0.15">
      <c r="A2946" s="1" t="s">
        <v>934</v>
      </c>
      <c r="B2946" s="1" t="s">
        <v>1027</v>
      </c>
      <c r="D2946" s="1" t="s">
        <v>5996</v>
      </c>
      <c r="E2946" s="1" t="s">
        <v>6007</v>
      </c>
      <c r="F2946" s="3">
        <v>0</v>
      </c>
      <c r="G2946" s="24" t="s">
        <v>7713</v>
      </c>
      <c r="H2946" s="24" t="s">
        <v>6008</v>
      </c>
      <c r="I2946" s="24" t="s">
        <v>2965</v>
      </c>
      <c r="J2946" s="24" t="s">
        <v>2919</v>
      </c>
      <c r="K2946" s="3">
        <v>30</v>
      </c>
      <c r="L2946" s="3" t="s">
        <v>7070</v>
      </c>
      <c r="M2946" s="3" t="str">
        <f>HYPERLINK("http://ictvonline.org/taxonomyHistory.asp?taxnode_id=20153719","ICTVonline=20153719")</f>
        <v>ICTVonline=20153719</v>
      </c>
    </row>
    <row r="2947" spans="1:13" x14ac:dyDescent="0.15">
      <c r="A2947" s="1" t="s">
        <v>934</v>
      </c>
      <c r="B2947" s="1" t="s">
        <v>1027</v>
      </c>
      <c r="D2947" s="1" t="s">
        <v>5996</v>
      </c>
      <c r="E2947" s="1" t="s">
        <v>6009</v>
      </c>
      <c r="F2947" s="3">
        <v>0</v>
      </c>
      <c r="G2947" s="24" t="s">
        <v>7714</v>
      </c>
      <c r="H2947" s="24" t="s">
        <v>6010</v>
      </c>
      <c r="I2947" s="24" t="s">
        <v>2965</v>
      </c>
      <c r="J2947" s="24" t="s">
        <v>2919</v>
      </c>
      <c r="K2947" s="3">
        <v>30</v>
      </c>
      <c r="L2947" s="3" t="s">
        <v>7070</v>
      </c>
      <c r="M2947" s="3" t="str">
        <f>HYPERLINK("http://ictvonline.org/taxonomyHistory.asp?taxnode_id=20153720","ICTVonline=20153720")</f>
        <v>ICTVonline=20153720</v>
      </c>
    </row>
    <row r="2948" spans="1:13" x14ac:dyDescent="0.15">
      <c r="A2948" s="1" t="s">
        <v>934</v>
      </c>
      <c r="B2948" s="1" t="s">
        <v>1027</v>
      </c>
      <c r="D2948" s="1" t="s">
        <v>5996</v>
      </c>
      <c r="E2948" s="1" t="s">
        <v>6011</v>
      </c>
      <c r="F2948" s="3">
        <v>0</v>
      </c>
      <c r="G2948" s="24" t="s">
        <v>7715</v>
      </c>
      <c r="H2948" s="24" t="s">
        <v>6012</v>
      </c>
      <c r="I2948" s="24" t="s">
        <v>2965</v>
      </c>
      <c r="J2948" s="24" t="s">
        <v>2919</v>
      </c>
      <c r="K2948" s="3">
        <v>30</v>
      </c>
      <c r="L2948" s="3" t="s">
        <v>7070</v>
      </c>
      <c r="M2948" s="3" t="str">
        <f>HYPERLINK("http://ictvonline.org/taxonomyHistory.asp?taxnode_id=20153721","ICTVonline=20153721")</f>
        <v>ICTVonline=20153721</v>
      </c>
    </row>
    <row r="2949" spans="1:13" x14ac:dyDescent="0.15">
      <c r="A2949" s="1" t="s">
        <v>934</v>
      </c>
      <c r="B2949" s="1" t="s">
        <v>1027</v>
      </c>
      <c r="D2949" s="1" t="s">
        <v>5996</v>
      </c>
      <c r="E2949" s="1" t="s">
        <v>6013</v>
      </c>
      <c r="F2949" s="3">
        <v>0</v>
      </c>
      <c r="G2949" s="24" t="s">
        <v>7716</v>
      </c>
      <c r="H2949" s="24" t="s">
        <v>6014</v>
      </c>
      <c r="I2949" s="24" t="s">
        <v>2965</v>
      </c>
      <c r="J2949" s="24" t="s">
        <v>2919</v>
      </c>
      <c r="K2949" s="3">
        <v>30</v>
      </c>
      <c r="L2949" s="3" t="s">
        <v>7070</v>
      </c>
      <c r="M2949" s="3" t="str">
        <f>HYPERLINK("http://ictvonline.org/taxonomyHistory.asp?taxnode_id=20153722","ICTVonline=20153722")</f>
        <v>ICTVonline=20153722</v>
      </c>
    </row>
    <row r="2950" spans="1:13" x14ac:dyDescent="0.15">
      <c r="A2950" s="1" t="s">
        <v>934</v>
      </c>
      <c r="B2950" s="1" t="s">
        <v>1027</v>
      </c>
      <c r="D2950" s="1" t="s">
        <v>5996</v>
      </c>
      <c r="E2950" s="1" t="s">
        <v>6015</v>
      </c>
      <c r="F2950" s="3">
        <v>0</v>
      </c>
      <c r="H2950" s="24" t="s">
        <v>929</v>
      </c>
      <c r="I2950" s="24" t="s">
        <v>2965</v>
      </c>
      <c r="J2950" s="24" t="s">
        <v>2923</v>
      </c>
      <c r="K2950" s="3">
        <v>30</v>
      </c>
      <c r="L2950" s="3" t="s">
        <v>7070</v>
      </c>
      <c r="M2950" s="3" t="str">
        <f>HYPERLINK("http://ictvonline.org/taxonomyHistory.asp?taxnode_id=20153664","ICTVonline=20153664")</f>
        <v>ICTVonline=20153664</v>
      </c>
    </row>
    <row r="2951" spans="1:13" x14ac:dyDescent="0.15">
      <c r="A2951" s="1" t="s">
        <v>934</v>
      </c>
      <c r="B2951" s="1" t="s">
        <v>1027</v>
      </c>
      <c r="D2951" s="1" t="s">
        <v>5996</v>
      </c>
      <c r="E2951" s="1" t="s">
        <v>6016</v>
      </c>
      <c r="F2951" s="3">
        <v>0</v>
      </c>
      <c r="H2951" s="24" t="s">
        <v>2174</v>
      </c>
      <c r="I2951" s="24" t="s">
        <v>2965</v>
      </c>
      <c r="J2951" s="24" t="s">
        <v>2923</v>
      </c>
      <c r="K2951" s="3">
        <v>30</v>
      </c>
      <c r="L2951" s="3" t="s">
        <v>7070</v>
      </c>
      <c r="M2951" s="3" t="str">
        <f>HYPERLINK("http://ictvonline.org/taxonomyHistory.asp?taxnode_id=20153670","ICTVonline=20153670")</f>
        <v>ICTVonline=20153670</v>
      </c>
    </row>
    <row r="2952" spans="1:13" x14ac:dyDescent="0.15">
      <c r="A2952" s="1" t="s">
        <v>934</v>
      </c>
      <c r="B2952" s="1" t="s">
        <v>1027</v>
      </c>
      <c r="D2952" s="1" t="s">
        <v>5996</v>
      </c>
      <c r="E2952" s="1" t="s">
        <v>6017</v>
      </c>
      <c r="F2952" s="3">
        <v>0</v>
      </c>
      <c r="G2952" s="24" t="s">
        <v>7717</v>
      </c>
      <c r="H2952" s="24" t="s">
        <v>6018</v>
      </c>
      <c r="I2952" s="24" t="s">
        <v>2965</v>
      </c>
      <c r="J2952" s="24" t="s">
        <v>2919</v>
      </c>
      <c r="K2952" s="3">
        <v>30</v>
      </c>
      <c r="L2952" s="3" t="s">
        <v>7070</v>
      </c>
      <c r="M2952" s="3" t="str">
        <f>HYPERLINK("http://ictvonline.org/taxonomyHistory.asp?taxnode_id=20153723","ICTVonline=20153723")</f>
        <v>ICTVonline=20153723</v>
      </c>
    </row>
    <row r="2953" spans="1:13" x14ac:dyDescent="0.15">
      <c r="A2953" s="1" t="s">
        <v>934</v>
      </c>
      <c r="B2953" s="1" t="s">
        <v>1027</v>
      </c>
      <c r="D2953" s="1" t="s">
        <v>5996</v>
      </c>
      <c r="E2953" s="1" t="s">
        <v>6019</v>
      </c>
      <c r="F2953" s="3">
        <v>0</v>
      </c>
      <c r="G2953" s="24" t="s">
        <v>7718</v>
      </c>
      <c r="H2953" s="24" t="s">
        <v>6020</v>
      </c>
      <c r="I2953" s="24" t="s">
        <v>2965</v>
      </c>
      <c r="J2953" s="24" t="s">
        <v>2919</v>
      </c>
      <c r="K2953" s="3">
        <v>30</v>
      </c>
      <c r="L2953" s="3" t="s">
        <v>7070</v>
      </c>
      <c r="M2953" s="3" t="str">
        <f>HYPERLINK("http://ictvonline.org/taxonomyHistory.asp?taxnode_id=20153724","ICTVonline=20153724")</f>
        <v>ICTVonline=20153724</v>
      </c>
    </row>
    <row r="2954" spans="1:13" x14ac:dyDescent="0.15">
      <c r="A2954" s="1" t="s">
        <v>934</v>
      </c>
      <c r="B2954" s="1" t="s">
        <v>1027</v>
      </c>
      <c r="D2954" s="1" t="s">
        <v>5996</v>
      </c>
      <c r="E2954" s="1" t="s">
        <v>6021</v>
      </c>
      <c r="F2954" s="3">
        <v>0</v>
      </c>
      <c r="G2954" s="24" t="s">
        <v>7719</v>
      </c>
      <c r="H2954" s="24" t="s">
        <v>6022</v>
      </c>
      <c r="I2954" s="24" t="s">
        <v>2965</v>
      </c>
      <c r="J2954" s="24" t="s">
        <v>2919</v>
      </c>
      <c r="K2954" s="3">
        <v>30</v>
      </c>
      <c r="L2954" s="3" t="s">
        <v>7070</v>
      </c>
      <c r="M2954" s="3" t="str">
        <f>HYPERLINK("http://ictvonline.org/taxonomyHistory.asp?taxnode_id=20153725","ICTVonline=20153725")</f>
        <v>ICTVonline=20153725</v>
      </c>
    </row>
    <row r="2955" spans="1:13" x14ac:dyDescent="0.15">
      <c r="A2955" s="1" t="s">
        <v>934</v>
      </c>
      <c r="B2955" s="1" t="s">
        <v>1027</v>
      </c>
      <c r="D2955" s="1" t="s">
        <v>5996</v>
      </c>
      <c r="E2955" s="1" t="s">
        <v>6023</v>
      </c>
      <c r="F2955" s="3">
        <v>1</v>
      </c>
      <c r="H2955" s="24" t="s">
        <v>2177</v>
      </c>
      <c r="I2955" s="24" t="s">
        <v>2965</v>
      </c>
      <c r="J2955" s="24" t="s">
        <v>2923</v>
      </c>
      <c r="K2955" s="3">
        <v>30</v>
      </c>
      <c r="L2955" s="3" t="s">
        <v>7070</v>
      </c>
      <c r="M2955" s="3" t="str">
        <f>HYPERLINK("http://ictvonline.org/taxonomyHistory.asp?taxnode_id=20153675","ICTVonline=20153675")</f>
        <v>ICTVonline=20153675</v>
      </c>
    </row>
    <row r="2956" spans="1:13" x14ac:dyDescent="0.15">
      <c r="A2956" s="1" t="s">
        <v>934</v>
      </c>
      <c r="B2956" s="1" t="s">
        <v>1027</v>
      </c>
      <c r="D2956" s="1" t="s">
        <v>5996</v>
      </c>
      <c r="E2956" s="1" t="s">
        <v>6024</v>
      </c>
      <c r="F2956" s="3">
        <v>0</v>
      </c>
      <c r="G2956" s="24" t="s">
        <v>7720</v>
      </c>
      <c r="H2956" s="24" t="s">
        <v>6025</v>
      </c>
      <c r="I2956" s="24" t="s">
        <v>2965</v>
      </c>
      <c r="J2956" s="24" t="s">
        <v>2919</v>
      </c>
      <c r="K2956" s="3">
        <v>30</v>
      </c>
      <c r="L2956" s="3" t="s">
        <v>7070</v>
      </c>
      <c r="M2956" s="3" t="str">
        <f>HYPERLINK("http://ictvonline.org/taxonomyHistory.asp?taxnode_id=20153726","ICTVonline=20153726")</f>
        <v>ICTVonline=20153726</v>
      </c>
    </row>
    <row r="2957" spans="1:13" x14ac:dyDescent="0.15">
      <c r="A2957" s="1" t="s">
        <v>934</v>
      </c>
      <c r="B2957" s="1" t="s">
        <v>1027</v>
      </c>
      <c r="D2957" s="1" t="s">
        <v>5996</v>
      </c>
      <c r="E2957" s="1" t="s">
        <v>6026</v>
      </c>
      <c r="F2957" s="3">
        <v>0</v>
      </c>
      <c r="G2957" s="24" t="s">
        <v>7721</v>
      </c>
      <c r="H2957" s="24" t="s">
        <v>6027</v>
      </c>
      <c r="I2957" s="24" t="s">
        <v>2965</v>
      </c>
      <c r="J2957" s="24" t="s">
        <v>2919</v>
      </c>
      <c r="K2957" s="3">
        <v>30</v>
      </c>
      <c r="L2957" s="3" t="s">
        <v>7070</v>
      </c>
      <c r="M2957" s="3" t="str">
        <f>HYPERLINK("http://ictvonline.org/taxonomyHistory.asp?taxnode_id=20153727","ICTVonline=20153727")</f>
        <v>ICTVonline=20153727</v>
      </c>
    </row>
    <row r="2958" spans="1:13" x14ac:dyDescent="0.15">
      <c r="A2958" s="1" t="s">
        <v>934</v>
      </c>
      <c r="B2958" s="1" t="s">
        <v>1027</v>
      </c>
      <c r="D2958" s="1" t="s">
        <v>5996</v>
      </c>
      <c r="E2958" s="1" t="s">
        <v>6028</v>
      </c>
      <c r="F2958" s="3">
        <v>0</v>
      </c>
      <c r="G2958" s="24" t="s">
        <v>7722</v>
      </c>
      <c r="H2958" s="24" t="s">
        <v>6029</v>
      </c>
      <c r="I2958" s="24" t="s">
        <v>2965</v>
      </c>
      <c r="J2958" s="24" t="s">
        <v>2919</v>
      </c>
      <c r="K2958" s="3">
        <v>30</v>
      </c>
      <c r="L2958" s="3" t="s">
        <v>7070</v>
      </c>
      <c r="M2958" s="3" t="str">
        <f>HYPERLINK("http://ictvonline.org/taxonomyHistory.asp?taxnode_id=20153728","ICTVonline=20153728")</f>
        <v>ICTVonline=20153728</v>
      </c>
    </row>
    <row r="2959" spans="1:13" x14ac:dyDescent="0.15">
      <c r="A2959" s="1" t="s">
        <v>934</v>
      </c>
      <c r="B2959" s="1" t="s">
        <v>1027</v>
      </c>
      <c r="D2959" s="1" t="s">
        <v>5996</v>
      </c>
      <c r="E2959" s="1" t="s">
        <v>6030</v>
      </c>
      <c r="F2959" s="3">
        <v>0</v>
      </c>
      <c r="H2959" s="24" t="s">
        <v>2175</v>
      </c>
      <c r="I2959" s="24" t="s">
        <v>2965</v>
      </c>
      <c r="J2959" s="24" t="s">
        <v>2923</v>
      </c>
      <c r="K2959" s="3">
        <v>30</v>
      </c>
      <c r="L2959" s="3" t="s">
        <v>7070</v>
      </c>
      <c r="M2959" s="3" t="str">
        <f>HYPERLINK("http://ictvonline.org/taxonomyHistory.asp?taxnode_id=20153671","ICTVonline=20153671")</f>
        <v>ICTVonline=20153671</v>
      </c>
    </row>
    <row r="2960" spans="1:13" x14ac:dyDescent="0.15">
      <c r="A2960" s="1" t="s">
        <v>934</v>
      </c>
      <c r="B2960" s="1" t="s">
        <v>1027</v>
      </c>
      <c r="D2960" s="1" t="s">
        <v>5996</v>
      </c>
      <c r="E2960" s="1" t="s">
        <v>6031</v>
      </c>
      <c r="F2960" s="3">
        <v>0</v>
      </c>
      <c r="G2960" s="24" t="s">
        <v>7723</v>
      </c>
      <c r="H2960" s="24" t="s">
        <v>6032</v>
      </c>
      <c r="I2960" s="24" t="s">
        <v>2965</v>
      </c>
      <c r="J2960" s="24" t="s">
        <v>2919</v>
      </c>
      <c r="K2960" s="3">
        <v>30</v>
      </c>
      <c r="L2960" s="3" t="s">
        <v>7070</v>
      </c>
      <c r="M2960" s="3" t="str">
        <f>HYPERLINK("http://ictvonline.org/taxonomyHistory.asp?taxnode_id=20153729","ICTVonline=20153729")</f>
        <v>ICTVonline=20153729</v>
      </c>
    </row>
    <row r="2961" spans="1:13" x14ac:dyDescent="0.15">
      <c r="A2961" s="1" t="s">
        <v>934</v>
      </c>
      <c r="B2961" s="1" t="s">
        <v>1027</v>
      </c>
      <c r="D2961" s="1" t="s">
        <v>5996</v>
      </c>
      <c r="E2961" s="1" t="s">
        <v>6033</v>
      </c>
      <c r="F2961" s="3">
        <v>0</v>
      </c>
      <c r="G2961" s="24" t="s">
        <v>7724</v>
      </c>
      <c r="H2961" s="24" t="s">
        <v>6034</v>
      </c>
      <c r="I2961" s="24" t="s">
        <v>2965</v>
      </c>
      <c r="J2961" s="24" t="s">
        <v>2919</v>
      </c>
      <c r="K2961" s="3">
        <v>30</v>
      </c>
      <c r="L2961" s="3" t="s">
        <v>7070</v>
      </c>
      <c r="M2961" s="3" t="str">
        <f>HYPERLINK("http://ictvonline.org/taxonomyHistory.asp?taxnode_id=20153730","ICTVonline=20153730")</f>
        <v>ICTVonline=20153730</v>
      </c>
    </row>
    <row r="2962" spans="1:13" x14ac:dyDescent="0.15">
      <c r="A2962" s="1" t="s">
        <v>934</v>
      </c>
      <c r="B2962" s="1" t="s">
        <v>1027</v>
      </c>
      <c r="D2962" s="1" t="s">
        <v>5996</v>
      </c>
      <c r="E2962" s="1" t="s">
        <v>6035</v>
      </c>
      <c r="F2962" s="3">
        <v>0</v>
      </c>
      <c r="G2962" s="24" t="s">
        <v>7725</v>
      </c>
      <c r="H2962" s="24" t="s">
        <v>6036</v>
      </c>
      <c r="I2962" s="24" t="s">
        <v>2965</v>
      </c>
      <c r="J2962" s="24" t="s">
        <v>2919</v>
      </c>
      <c r="K2962" s="3">
        <v>30</v>
      </c>
      <c r="L2962" s="3" t="s">
        <v>7070</v>
      </c>
      <c r="M2962" s="3" t="str">
        <f>HYPERLINK("http://ictvonline.org/taxonomyHistory.asp?taxnode_id=20153731","ICTVonline=20153731")</f>
        <v>ICTVonline=20153731</v>
      </c>
    </row>
    <row r="2963" spans="1:13" x14ac:dyDescent="0.15">
      <c r="A2963" s="1" t="s">
        <v>934</v>
      </c>
      <c r="B2963" s="1" t="s">
        <v>1027</v>
      </c>
      <c r="D2963" s="1" t="s">
        <v>5996</v>
      </c>
      <c r="E2963" s="1" t="s">
        <v>6037</v>
      </c>
      <c r="F2963" s="3">
        <v>0</v>
      </c>
      <c r="G2963" s="24" t="s">
        <v>7726</v>
      </c>
      <c r="H2963" s="24" t="s">
        <v>6038</v>
      </c>
      <c r="I2963" s="24" t="s">
        <v>2965</v>
      </c>
      <c r="J2963" s="24" t="s">
        <v>2919</v>
      </c>
      <c r="K2963" s="3">
        <v>30</v>
      </c>
      <c r="L2963" s="3" t="s">
        <v>7070</v>
      </c>
      <c r="M2963" s="3" t="str">
        <f>HYPERLINK("http://ictvonline.org/taxonomyHistory.asp?taxnode_id=20153732","ICTVonline=20153732")</f>
        <v>ICTVonline=20153732</v>
      </c>
    </row>
    <row r="2964" spans="1:13" x14ac:dyDescent="0.15">
      <c r="A2964" s="1" t="s">
        <v>934</v>
      </c>
      <c r="B2964" s="1" t="s">
        <v>1027</v>
      </c>
      <c r="D2964" s="1" t="s">
        <v>5996</v>
      </c>
      <c r="E2964" s="1" t="s">
        <v>6039</v>
      </c>
      <c r="F2964" s="3">
        <v>0</v>
      </c>
      <c r="G2964" s="24" t="s">
        <v>7727</v>
      </c>
      <c r="H2964" s="24" t="s">
        <v>6040</v>
      </c>
      <c r="I2964" s="24" t="s">
        <v>2965</v>
      </c>
      <c r="J2964" s="24" t="s">
        <v>2919</v>
      </c>
      <c r="K2964" s="3">
        <v>30</v>
      </c>
      <c r="L2964" s="3" t="s">
        <v>7070</v>
      </c>
      <c r="M2964" s="3" t="str">
        <f>HYPERLINK("http://ictvonline.org/taxonomyHistory.asp?taxnode_id=20153733","ICTVonline=20153733")</f>
        <v>ICTVonline=20153733</v>
      </c>
    </row>
    <row r="2965" spans="1:13" x14ac:dyDescent="0.15">
      <c r="A2965" s="1" t="s">
        <v>934</v>
      </c>
      <c r="B2965" s="1" t="s">
        <v>1027</v>
      </c>
      <c r="D2965" s="1" t="s">
        <v>5996</v>
      </c>
      <c r="E2965" s="1" t="s">
        <v>6041</v>
      </c>
      <c r="F2965" s="3">
        <v>0</v>
      </c>
      <c r="G2965" s="24" t="s">
        <v>7728</v>
      </c>
      <c r="H2965" s="24" t="s">
        <v>6042</v>
      </c>
      <c r="I2965" s="24" t="s">
        <v>2965</v>
      </c>
      <c r="J2965" s="24" t="s">
        <v>2919</v>
      </c>
      <c r="K2965" s="3">
        <v>30</v>
      </c>
      <c r="L2965" s="3" t="s">
        <v>7070</v>
      </c>
      <c r="M2965" s="3" t="str">
        <f>HYPERLINK("http://ictvonline.org/taxonomyHistory.asp?taxnode_id=20153734","ICTVonline=20153734")</f>
        <v>ICTVonline=20153734</v>
      </c>
    </row>
    <row r="2966" spans="1:13" x14ac:dyDescent="0.15">
      <c r="A2966" s="1" t="s">
        <v>934</v>
      </c>
      <c r="B2966" s="1" t="s">
        <v>1027</v>
      </c>
      <c r="D2966" s="1" t="s">
        <v>5996</v>
      </c>
      <c r="E2966" s="1" t="s">
        <v>6043</v>
      </c>
      <c r="F2966" s="3">
        <v>0</v>
      </c>
      <c r="G2966" s="24" t="s">
        <v>7729</v>
      </c>
      <c r="H2966" s="24" t="s">
        <v>6044</v>
      </c>
      <c r="I2966" s="24" t="s">
        <v>2965</v>
      </c>
      <c r="J2966" s="24" t="s">
        <v>2919</v>
      </c>
      <c r="K2966" s="3">
        <v>30</v>
      </c>
      <c r="L2966" s="3" t="s">
        <v>7070</v>
      </c>
      <c r="M2966" s="3" t="str">
        <f>HYPERLINK("http://ictvonline.org/taxonomyHistory.asp?taxnode_id=20153735","ICTVonline=20153735")</f>
        <v>ICTVonline=20153735</v>
      </c>
    </row>
    <row r="2967" spans="1:13" x14ac:dyDescent="0.15">
      <c r="A2967" s="1" t="s">
        <v>934</v>
      </c>
      <c r="B2967" s="1" t="s">
        <v>1027</v>
      </c>
      <c r="D2967" s="1" t="s">
        <v>6045</v>
      </c>
      <c r="E2967" s="1" t="s">
        <v>6046</v>
      </c>
      <c r="F2967" s="3">
        <v>1</v>
      </c>
      <c r="G2967" s="24" t="s">
        <v>7730</v>
      </c>
      <c r="H2967" s="24" t="s">
        <v>6047</v>
      </c>
      <c r="I2967" s="24" t="s">
        <v>2965</v>
      </c>
      <c r="J2967" s="24" t="s">
        <v>2919</v>
      </c>
      <c r="K2967" s="3">
        <v>30</v>
      </c>
      <c r="L2967" s="3" t="s">
        <v>7070</v>
      </c>
      <c r="M2967" s="3" t="str">
        <f>HYPERLINK("http://ictvonline.org/taxonomyHistory.asp?taxnode_id=20153742","ICTVonline=20153742")</f>
        <v>ICTVonline=20153742</v>
      </c>
    </row>
    <row r="2968" spans="1:13" x14ac:dyDescent="0.15">
      <c r="A2968" s="1" t="s">
        <v>934</v>
      </c>
      <c r="B2968" s="1" t="s">
        <v>1027</v>
      </c>
      <c r="D2968" s="1" t="s">
        <v>6045</v>
      </c>
      <c r="E2968" s="1" t="s">
        <v>6048</v>
      </c>
      <c r="F2968" s="3">
        <v>0</v>
      </c>
      <c r="G2968" s="24" t="s">
        <v>7731</v>
      </c>
      <c r="H2968" s="24" t="s">
        <v>6049</v>
      </c>
      <c r="I2968" s="24" t="s">
        <v>2965</v>
      </c>
      <c r="J2968" s="24" t="s">
        <v>2919</v>
      </c>
      <c r="K2968" s="3">
        <v>30</v>
      </c>
      <c r="L2968" s="3" t="s">
        <v>7070</v>
      </c>
      <c r="M2968" s="3" t="str">
        <f>HYPERLINK("http://ictvonline.org/taxonomyHistory.asp?taxnode_id=20153743","ICTVonline=20153743")</f>
        <v>ICTVonline=20153743</v>
      </c>
    </row>
    <row r="2969" spans="1:13" x14ac:dyDescent="0.15">
      <c r="A2969" s="1" t="s">
        <v>934</v>
      </c>
      <c r="B2969" s="1" t="s">
        <v>1027</v>
      </c>
      <c r="D2969" s="1" t="s">
        <v>6045</v>
      </c>
      <c r="E2969" s="1" t="s">
        <v>6050</v>
      </c>
      <c r="F2969" s="3">
        <v>0</v>
      </c>
      <c r="G2969" s="24" t="s">
        <v>7732</v>
      </c>
      <c r="H2969" s="24" t="s">
        <v>6051</v>
      </c>
      <c r="I2969" s="24" t="s">
        <v>2965</v>
      </c>
      <c r="J2969" s="24" t="s">
        <v>2919</v>
      </c>
      <c r="K2969" s="3">
        <v>30</v>
      </c>
      <c r="L2969" s="3" t="s">
        <v>7070</v>
      </c>
      <c r="M2969" s="3" t="str">
        <f>HYPERLINK("http://ictvonline.org/taxonomyHistory.asp?taxnode_id=20153744","ICTVonline=20153744")</f>
        <v>ICTVonline=20153744</v>
      </c>
    </row>
    <row r="2970" spans="1:13" x14ac:dyDescent="0.15">
      <c r="A2970" s="1" t="s">
        <v>934</v>
      </c>
      <c r="B2970" s="1" t="s">
        <v>1027</v>
      </c>
      <c r="D2970" s="1" t="s">
        <v>6045</v>
      </c>
      <c r="E2970" s="1" t="s">
        <v>6052</v>
      </c>
      <c r="F2970" s="3">
        <v>0</v>
      </c>
      <c r="G2970" s="24" t="s">
        <v>7733</v>
      </c>
      <c r="H2970" s="24" t="s">
        <v>6053</v>
      </c>
      <c r="I2970" s="24" t="s">
        <v>2965</v>
      </c>
      <c r="J2970" s="24" t="s">
        <v>2919</v>
      </c>
      <c r="K2970" s="3">
        <v>30</v>
      </c>
      <c r="L2970" s="3" t="s">
        <v>7070</v>
      </c>
      <c r="M2970" s="3" t="str">
        <f>HYPERLINK("http://ictvonline.org/taxonomyHistory.asp?taxnode_id=20153745","ICTVonline=20153745")</f>
        <v>ICTVonline=20153745</v>
      </c>
    </row>
    <row r="2971" spans="1:13" x14ac:dyDescent="0.15">
      <c r="A2971" s="1" t="s">
        <v>934</v>
      </c>
      <c r="B2971" s="1" t="s">
        <v>1027</v>
      </c>
      <c r="D2971" s="1" t="s">
        <v>6054</v>
      </c>
      <c r="E2971" s="1" t="s">
        <v>6055</v>
      </c>
      <c r="F2971" s="3">
        <v>0</v>
      </c>
      <c r="G2971" s="24" t="s">
        <v>7734</v>
      </c>
      <c r="H2971" s="24" t="s">
        <v>6056</v>
      </c>
      <c r="I2971" s="24" t="s">
        <v>2965</v>
      </c>
      <c r="J2971" s="24" t="s">
        <v>2919</v>
      </c>
      <c r="K2971" s="3">
        <v>30</v>
      </c>
      <c r="L2971" s="3" t="s">
        <v>7070</v>
      </c>
      <c r="M2971" s="3" t="str">
        <f>HYPERLINK("http://ictvonline.org/taxonomyHistory.asp?taxnode_id=20153736","ICTVonline=20153736")</f>
        <v>ICTVonline=20153736</v>
      </c>
    </row>
    <row r="2972" spans="1:13" x14ac:dyDescent="0.15">
      <c r="A2972" s="1" t="s">
        <v>934</v>
      </c>
      <c r="B2972" s="1" t="s">
        <v>1027</v>
      </c>
      <c r="D2972" s="1" t="s">
        <v>6054</v>
      </c>
      <c r="E2972" s="1" t="s">
        <v>6057</v>
      </c>
      <c r="F2972" s="3">
        <v>1</v>
      </c>
      <c r="H2972" s="24" t="s">
        <v>476</v>
      </c>
      <c r="I2972" s="24" t="s">
        <v>2965</v>
      </c>
      <c r="J2972" s="24" t="s">
        <v>2923</v>
      </c>
      <c r="K2972" s="3">
        <v>30</v>
      </c>
      <c r="L2972" s="3" t="s">
        <v>7070</v>
      </c>
      <c r="M2972" s="3" t="str">
        <f>HYPERLINK("http://ictvonline.org/taxonomyHistory.asp?taxnode_id=20153667","ICTVonline=20153667")</f>
        <v>ICTVonline=20153667</v>
      </c>
    </row>
    <row r="2973" spans="1:13" x14ac:dyDescent="0.15">
      <c r="A2973" s="1" t="s">
        <v>934</v>
      </c>
      <c r="B2973" s="1" t="s">
        <v>1027</v>
      </c>
      <c r="D2973" s="1" t="s">
        <v>6054</v>
      </c>
      <c r="E2973" s="1" t="s">
        <v>6058</v>
      </c>
      <c r="F2973" s="3">
        <v>0</v>
      </c>
      <c r="G2973" s="24" t="s">
        <v>7735</v>
      </c>
      <c r="H2973" s="24" t="s">
        <v>6059</v>
      </c>
      <c r="I2973" s="24" t="s">
        <v>2965</v>
      </c>
      <c r="J2973" s="24" t="s">
        <v>2919</v>
      </c>
      <c r="K2973" s="3">
        <v>30</v>
      </c>
      <c r="L2973" s="3" t="s">
        <v>7070</v>
      </c>
      <c r="M2973" s="3" t="str">
        <f>HYPERLINK("http://ictvonline.org/taxonomyHistory.asp?taxnode_id=20153737","ICTVonline=20153737")</f>
        <v>ICTVonline=20153737</v>
      </c>
    </row>
    <row r="2974" spans="1:13" x14ac:dyDescent="0.15">
      <c r="A2974" s="1" t="s">
        <v>934</v>
      </c>
      <c r="B2974" s="1" t="s">
        <v>1027</v>
      </c>
      <c r="D2974" s="1" t="s">
        <v>6054</v>
      </c>
      <c r="E2974" s="1" t="s">
        <v>6060</v>
      </c>
      <c r="F2974" s="3">
        <v>0</v>
      </c>
      <c r="G2974" s="24" t="s">
        <v>7736</v>
      </c>
      <c r="H2974" s="24" t="s">
        <v>6061</v>
      </c>
      <c r="I2974" s="24" t="s">
        <v>2965</v>
      </c>
      <c r="J2974" s="24" t="s">
        <v>2919</v>
      </c>
      <c r="K2974" s="3">
        <v>30</v>
      </c>
      <c r="L2974" s="3" t="s">
        <v>7070</v>
      </c>
      <c r="M2974" s="3" t="str">
        <f>HYPERLINK("http://ictvonline.org/taxonomyHistory.asp?taxnode_id=20153738","ICTVonline=20153738")</f>
        <v>ICTVonline=20153738</v>
      </c>
    </row>
    <row r="2975" spans="1:13" x14ac:dyDescent="0.15">
      <c r="A2975" s="1" t="s">
        <v>934</v>
      </c>
      <c r="B2975" s="1" t="s">
        <v>1027</v>
      </c>
      <c r="D2975" s="1" t="s">
        <v>6054</v>
      </c>
      <c r="E2975" s="1" t="s">
        <v>6062</v>
      </c>
      <c r="F2975" s="3">
        <v>0</v>
      </c>
      <c r="G2975" s="24" t="s">
        <v>7737</v>
      </c>
      <c r="H2975" s="24" t="s">
        <v>6063</v>
      </c>
      <c r="I2975" s="24" t="s">
        <v>2965</v>
      </c>
      <c r="J2975" s="24" t="s">
        <v>2919</v>
      </c>
      <c r="K2975" s="3">
        <v>30</v>
      </c>
      <c r="L2975" s="3" t="s">
        <v>7070</v>
      </c>
      <c r="M2975" s="3" t="str">
        <f>HYPERLINK("http://ictvonline.org/taxonomyHistory.asp?taxnode_id=20153739","ICTVonline=20153739")</f>
        <v>ICTVonline=20153739</v>
      </c>
    </row>
    <row r="2976" spans="1:13" x14ac:dyDescent="0.15">
      <c r="A2976" s="1" t="s">
        <v>934</v>
      </c>
      <c r="B2976" s="1" t="s">
        <v>1027</v>
      </c>
      <c r="D2976" s="1" t="s">
        <v>6054</v>
      </c>
      <c r="E2976" s="1" t="s">
        <v>6064</v>
      </c>
      <c r="F2976" s="3">
        <v>0</v>
      </c>
      <c r="G2976" s="24" t="s">
        <v>7738</v>
      </c>
      <c r="H2976" s="24" t="s">
        <v>6065</v>
      </c>
      <c r="I2976" s="24" t="s">
        <v>2965</v>
      </c>
      <c r="J2976" s="24" t="s">
        <v>2919</v>
      </c>
      <c r="K2976" s="3">
        <v>30</v>
      </c>
      <c r="L2976" s="3" t="s">
        <v>7070</v>
      </c>
      <c r="M2976" s="3" t="str">
        <f>HYPERLINK("http://ictvonline.org/taxonomyHistory.asp?taxnode_id=20153740","ICTVonline=20153740")</f>
        <v>ICTVonline=20153740</v>
      </c>
    </row>
    <row r="2977" spans="1:13" x14ac:dyDescent="0.15">
      <c r="A2977" s="1" t="s">
        <v>934</v>
      </c>
      <c r="B2977" s="1" t="s">
        <v>1027</v>
      </c>
      <c r="D2977" s="1" t="s">
        <v>6054</v>
      </c>
      <c r="E2977" s="1" t="s">
        <v>6066</v>
      </c>
      <c r="F2977" s="3">
        <v>0</v>
      </c>
      <c r="G2977" s="24" t="s">
        <v>7739</v>
      </c>
      <c r="H2977" s="24" t="s">
        <v>6067</v>
      </c>
      <c r="I2977" s="24" t="s">
        <v>2965</v>
      </c>
      <c r="J2977" s="24" t="s">
        <v>2919</v>
      </c>
      <c r="K2977" s="3">
        <v>30</v>
      </c>
      <c r="L2977" s="3" t="s">
        <v>7070</v>
      </c>
      <c r="M2977" s="3" t="str">
        <f>HYPERLINK("http://ictvonline.org/taxonomyHistory.asp?taxnode_id=20153741","ICTVonline=20153741")</f>
        <v>ICTVonline=20153741</v>
      </c>
    </row>
    <row r="2978" spans="1:13" x14ac:dyDescent="0.15">
      <c r="A2978" s="1" t="s">
        <v>934</v>
      </c>
      <c r="B2978" s="1" t="s">
        <v>1027</v>
      </c>
      <c r="D2978" s="1" t="s">
        <v>934</v>
      </c>
      <c r="E2978" s="1" t="s">
        <v>6068</v>
      </c>
      <c r="F2978" s="3">
        <v>0</v>
      </c>
      <c r="H2978" s="24" t="s">
        <v>930</v>
      </c>
      <c r="I2978" s="24" t="s">
        <v>2965</v>
      </c>
      <c r="J2978" s="24" t="s">
        <v>2923</v>
      </c>
      <c r="K2978" s="3">
        <v>30</v>
      </c>
      <c r="L2978" s="3" t="s">
        <v>7070</v>
      </c>
      <c r="M2978" s="3" t="str">
        <f>HYPERLINK("http://ictvonline.org/taxonomyHistory.asp?taxnode_id=20153666","ICTVonline=20153666")</f>
        <v>ICTVonline=20153666</v>
      </c>
    </row>
    <row r="2979" spans="1:13" x14ac:dyDescent="0.15">
      <c r="A2979" s="1" t="s">
        <v>934</v>
      </c>
      <c r="B2979" s="1" t="s">
        <v>1027</v>
      </c>
      <c r="D2979" s="1" t="s">
        <v>934</v>
      </c>
      <c r="E2979" s="1" t="s">
        <v>6069</v>
      </c>
      <c r="F2979" s="3">
        <v>0</v>
      </c>
      <c r="G2979" s="24" t="s">
        <v>7740</v>
      </c>
      <c r="H2979" s="24" t="s">
        <v>6070</v>
      </c>
      <c r="I2979" s="24" t="s">
        <v>2965</v>
      </c>
      <c r="J2979" s="24" t="s">
        <v>2919</v>
      </c>
      <c r="K2979" s="3">
        <v>30</v>
      </c>
      <c r="L2979" s="3" t="s">
        <v>7070</v>
      </c>
      <c r="M2979" s="3" t="str">
        <f>HYPERLINK("http://ictvonline.org/taxonomyHistory.asp?taxnode_id=20153747","ICTVonline=20153747")</f>
        <v>ICTVonline=20153747</v>
      </c>
    </row>
    <row r="2980" spans="1:13" x14ac:dyDescent="0.15">
      <c r="A2980" s="1" t="s">
        <v>934</v>
      </c>
      <c r="B2980" s="1" t="s">
        <v>1027</v>
      </c>
      <c r="D2980" s="1" t="s">
        <v>934</v>
      </c>
      <c r="E2980" s="1" t="s">
        <v>6071</v>
      </c>
      <c r="F2980" s="3">
        <v>0</v>
      </c>
      <c r="G2980" s="24" t="s">
        <v>7741</v>
      </c>
      <c r="H2980" s="24" t="s">
        <v>6071</v>
      </c>
      <c r="I2980" s="24" t="s">
        <v>2965</v>
      </c>
      <c r="J2980" s="24" t="s">
        <v>2919</v>
      </c>
      <c r="K2980" s="3">
        <v>30</v>
      </c>
      <c r="L2980" s="3" t="s">
        <v>7070</v>
      </c>
      <c r="M2980" s="3" t="str">
        <f>HYPERLINK("http://ictvonline.org/taxonomyHistory.asp?taxnode_id=20153746","ICTVonline=20153746")</f>
        <v>ICTVonline=20153746</v>
      </c>
    </row>
    <row r="2981" spans="1:13" x14ac:dyDescent="0.15">
      <c r="A2981" s="1" t="s">
        <v>934</v>
      </c>
      <c r="B2981" s="1" t="s">
        <v>2178</v>
      </c>
      <c r="D2981" s="1" t="s">
        <v>2179</v>
      </c>
      <c r="E2981" s="1" t="s">
        <v>2180</v>
      </c>
      <c r="F2981" s="3">
        <v>0</v>
      </c>
      <c r="G2981" s="24" t="s">
        <v>6072</v>
      </c>
      <c r="H2981" s="24" t="s">
        <v>6073</v>
      </c>
      <c r="I2981" s="24" t="s">
        <v>3285</v>
      </c>
      <c r="J2981" s="24" t="s">
        <v>2919</v>
      </c>
      <c r="K2981" s="3">
        <v>18</v>
      </c>
      <c r="L2981" s="3" t="s">
        <v>2929</v>
      </c>
      <c r="M2981" s="3" t="str">
        <f>HYPERLINK("http://ictvonline.org/taxonomyHistory.asp?taxnode_id=20153753","ICTVonline=20153753")</f>
        <v>ICTVonline=20153753</v>
      </c>
    </row>
    <row r="2982" spans="1:13" x14ac:dyDescent="0.15">
      <c r="A2982" s="1" t="s">
        <v>934</v>
      </c>
      <c r="B2982" s="1" t="s">
        <v>2178</v>
      </c>
      <c r="D2982" s="1" t="s">
        <v>2179</v>
      </c>
      <c r="E2982" s="1" t="s">
        <v>2181</v>
      </c>
      <c r="F2982" s="3">
        <v>1</v>
      </c>
      <c r="G2982" s="24" t="s">
        <v>6074</v>
      </c>
      <c r="H2982" s="24" t="s">
        <v>4855</v>
      </c>
      <c r="I2982" s="24" t="s">
        <v>3285</v>
      </c>
      <c r="J2982" s="24" t="s">
        <v>2920</v>
      </c>
      <c r="K2982" s="3">
        <v>17</v>
      </c>
      <c r="L2982" s="3" t="s">
        <v>2928</v>
      </c>
      <c r="M2982" s="3" t="str">
        <f>HYPERLINK("http://ictvonline.org/taxonomyHistory.asp?taxnode_id=20153754","ICTVonline=20153754")</f>
        <v>ICTVonline=20153754</v>
      </c>
    </row>
    <row r="2983" spans="1:13" x14ac:dyDescent="0.15">
      <c r="A2983" s="1" t="s">
        <v>934</v>
      </c>
      <c r="B2983" s="1" t="s">
        <v>2178</v>
      </c>
      <c r="D2983" s="1" t="s">
        <v>2179</v>
      </c>
      <c r="E2983" s="1" t="s">
        <v>2182</v>
      </c>
      <c r="F2983" s="3">
        <v>0</v>
      </c>
      <c r="G2983" s="24" t="s">
        <v>6075</v>
      </c>
      <c r="H2983" s="24" t="s">
        <v>6076</v>
      </c>
      <c r="I2983" s="24" t="s">
        <v>3285</v>
      </c>
      <c r="J2983" s="24" t="s">
        <v>2920</v>
      </c>
      <c r="K2983" s="3">
        <v>17</v>
      </c>
      <c r="L2983" s="3" t="s">
        <v>2928</v>
      </c>
      <c r="M2983" s="3" t="str">
        <f>HYPERLINK("http://ictvonline.org/taxonomyHistory.asp?taxnode_id=20153755","ICTVonline=20153755")</f>
        <v>ICTVonline=20153755</v>
      </c>
    </row>
    <row r="2984" spans="1:13" x14ac:dyDescent="0.15">
      <c r="A2984" s="1" t="s">
        <v>934</v>
      </c>
      <c r="B2984" s="1" t="s">
        <v>2178</v>
      </c>
      <c r="D2984" s="1" t="s">
        <v>2179</v>
      </c>
      <c r="E2984" s="1" t="s">
        <v>2183</v>
      </c>
      <c r="F2984" s="3">
        <v>0</v>
      </c>
      <c r="G2984" s="24" t="s">
        <v>6077</v>
      </c>
      <c r="H2984" s="24" t="s">
        <v>6738</v>
      </c>
      <c r="I2984" s="24" t="s">
        <v>3285</v>
      </c>
      <c r="J2984" s="24" t="s">
        <v>2920</v>
      </c>
      <c r="K2984" s="3">
        <v>17</v>
      </c>
      <c r="L2984" s="3" t="s">
        <v>2928</v>
      </c>
      <c r="M2984" s="3" t="str">
        <f>HYPERLINK("http://ictvonline.org/taxonomyHistory.asp?taxnode_id=20153756","ICTVonline=20153756")</f>
        <v>ICTVonline=20153756</v>
      </c>
    </row>
    <row r="2985" spans="1:13" x14ac:dyDescent="0.15">
      <c r="A2985" s="1" t="s">
        <v>934</v>
      </c>
      <c r="B2985" s="1" t="s">
        <v>2178</v>
      </c>
      <c r="D2985" s="1" t="s">
        <v>2179</v>
      </c>
      <c r="E2985" s="1" t="s">
        <v>2184</v>
      </c>
      <c r="F2985" s="3">
        <v>0</v>
      </c>
      <c r="G2985" s="24" t="s">
        <v>6078</v>
      </c>
      <c r="H2985" s="24" t="s">
        <v>6079</v>
      </c>
      <c r="I2985" s="24" t="s">
        <v>3285</v>
      </c>
      <c r="J2985" s="24" t="s">
        <v>2924</v>
      </c>
      <c r="K2985" s="3">
        <v>24</v>
      </c>
      <c r="L2985" s="3" t="s">
        <v>7071</v>
      </c>
      <c r="M2985" s="3" t="str">
        <f>HYPERLINK("http://ictvonline.org/taxonomyHistory.asp?taxnode_id=20153757","ICTVonline=20153757")</f>
        <v>ICTVonline=20153757</v>
      </c>
    </row>
    <row r="2986" spans="1:13" x14ac:dyDescent="0.15">
      <c r="A2986" s="1" t="s">
        <v>934</v>
      </c>
      <c r="B2986" s="1" t="s">
        <v>2178</v>
      </c>
      <c r="D2986" s="1" t="s">
        <v>2179</v>
      </c>
      <c r="E2986" s="1" t="s">
        <v>2288</v>
      </c>
      <c r="F2986" s="3">
        <v>0</v>
      </c>
      <c r="G2986" s="24" t="s">
        <v>6080</v>
      </c>
      <c r="H2986" s="24" t="s">
        <v>6081</v>
      </c>
      <c r="I2986" s="24" t="s">
        <v>3285</v>
      </c>
      <c r="J2986" s="24" t="s">
        <v>2919</v>
      </c>
      <c r="K2986" s="3">
        <v>25</v>
      </c>
      <c r="L2986" s="3" t="s">
        <v>7072</v>
      </c>
      <c r="M2986" s="3" t="str">
        <f>HYPERLINK("http://ictvonline.org/taxonomyHistory.asp?taxnode_id=20153758","ICTVonline=20153758")</f>
        <v>ICTVonline=20153758</v>
      </c>
    </row>
    <row r="2987" spans="1:13" x14ac:dyDescent="0.15">
      <c r="A2987" s="1" t="s">
        <v>934</v>
      </c>
      <c r="B2987" s="1" t="s">
        <v>2178</v>
      </c>
      <c r="D2987" s="1" t="s">
        <v>2179</v>
      </c>
      <c r="E2987" s="1" t="s">
        <v>2289</v>
      </c>
      <c r="F2987" s="3">
        <v>0</v>
      </c>
      <c r="G2987" s="24" t="s">
        <v>6082</v>
      </c>
      <c r="H2987" s="24" t="s">
        <v>6083</v>
      </c>
      <c r="I2987" s="24" t="s">
        <v>3285</v>
      </c>
      <c r="J2987" s="24" t="s">
        <v>2919</v>
      </c>
      <c r="K2987" s="3">
        <v>25</v>
      </c>
      <c r="L2987" s="3" t="s">
        <v>7072</v>
      </c>
      <c r="M2987" s="3" t="str">
        <f>HYPERLINK("http://ictvonline.org/taxonomyHistory.asp?taxnode_id=20153759","ICTVonline=20153759")</f>
        <v>ICTVonline=20153759</v>
      </c>
    </row>
    <row r="2988" spans="1:13" x14ac:dyDescent="0.15">
      <c r="A2988" s="1" t="s">
        <v>934</v>
      </c>
      <c r="B2988" s="1" t="s">
        <v>2178</v>
      </c>
      <c r="D2988" s="1" t="s">
        <v>2179</v>
      </c>
      <c r="E2988" s="1" t="s">
        <v>2185</v>
      </c>
      <c r="F2988" s="3">
        <v>0</v>
      </c>
      <c r="G2988" s="24" t="s">
        <v>6084</v>
      </c>
      <c r="H2988" s="24" t="s">
        <v>6085</v>
      </c>
      <c r="I2988" s="24" t="s">
        <v>3285</v>
      </c>
      <c r="J2988" s="24" t="s">
        <v>2920</v>
      </c>
      <c r="K2988" s="3">
        <v>17</v>
      </c>
      <c r="L2988" s="3" t="s">
        <v>2928</v>
      </c>
      <c r="M2988" s="3" t="str">
        <f>HYPERLINK("http://ictvonline.org/taxonomyHistory.asp?taxnode_id=20153760","ICTVonline=20153760")</f>
        <v>ICTVonline=20153760</v>
      </c>
    </row>
    <row r="2989" spans="1:13" x14ac:dyDescent="0.15">
      <c r="A2989" s="1" t="s">
        <v>934</v>
      </c>
      <c r="B2989" s="1" t="s">
        <v>2178</v>
      </c>
      <c r="D2989" s="1" t="s">
        <v>2179</v>
      </c>
      <c r="E2989" s="1" t="s">
        <v>2186</v>
      </c>
      <c r="F2989" s="3">
        <v>0</v>
      </c>
      <c r="G2989" s="24" t="s">
        <v>6086</v>
      </c>
      <c r="H2989" s="24" t="s">
        <v>6087</v>
      </c>
      <c r="I2989" s="24" t="s">
        <v>3285</v>
      </c>
      <c r="J2989" s="24" t="s">
        <v>2920</v>
      </c>
      <c r="K2989" s="3">
        <v>17</v>
      </c>
      <c r="L2989" s="3" t="s">
        <v>2928</v>
      </c>
      <c r="M2989" s="3" t="str">
        <f>HYPERLINK("http://ictvonline.org/taxonomyHistory.asp?taxnode_id=20153761","ICTVonline=20153761")</f>
        <v>ICTVonline=20153761</v>
      </c>
    </row>
    <row r="2990" spans="1:13" x14ac:dyDescent="0.15">
      <c r="A2990" s="1" t="s">
        <v>934</v>
      </c>
      <c r="B2990" s="1" t="s">
        <v>2178</v>
      </c>
      <c r="D2990" s="1" t="s">
        <v>2179</v>
      </c>
      <c r="E2990" s="1" t="s">
        <v>2187</v>
      </c>
      <c r="F2990" s="3">
        <v>0</v>
      </c>
      <c r="G2990" s="24" t="s">
        <v>6088</v>
      </c>
      <c r="H2990" s="24" t="s">
        <v>5077</v>
      </c>
      <c r="I2990" s="24" t="s">
        <v>3285</v>
      </c>
      <c r="J2990" s="24" t="s">
        <v>2920</v>
      </c>
      <c r="K2990" s="3">
        <v>17</v>
      </c>
      <c r="L2990" s="3" t="s">
        <v>2928</v>
      </c>
      <c r="M2990" s="3" t="str">
        <f>HYPERLINK("http://ictvonline.org/taxonomyHistory.asp?taxnode_id=20153762","ICTVonline=20153762")</f>
        <v>ICTVonline=20153762</v>
      </c>
    </row>
    <row r="2991" spans="1:13" x14ac:dyDescent="0.15">
      <c r="A2991" s="1" t="s">
        <v>934</v>
      </c>
      <c r="B2991" s="1" t="s">
        <v>2178</v>
      </c>
      <c r="D2991" s="1" t="s">
        <v>2188</v>
      </c>
      <c r="E2991" s="1" t="s">
        <v>2189</v>
      </c>
      <c r="F2991" s="3">
        <v>0</v>
      </c>
      <c r="G2991" s="24" t="s">
        <v>6089</v>
      </c>
      <c r="H2991" s="24" t="s">
        <v>6090</v>
      </c>
      <c r="I2991" s="24" t="s">
        <v>3285</v>
      </c>
      <c r="J2991" s="24" t="s">
        <v>2924</v>
      </c>
      <c r="K2991" s="3">
        <v>24</v>
      </c>
      <c r="L2991" s="3" t="s">
        <v>7073</v>
      </c>
      <c r="M2991" s="3" t="str">
        <f>HYPERLINK("http://ictvonline.org/taxonomyHistory.asp?taxnode_id=20153764","ICTVonline=20153764")</f>
        <v>ICTVonline=20153764</v>
      </c>
    </row>
    <row r="2992" spans="1:13" x14ac:dyDescent="0.15">
      <c r="A2992" s="1" t="s">
        <v>934</v>
      </c>
      <c r="B2992" s="1" t="s">
        <v>2178</v>
      </c>
      <c r="D2992" s="1" t="s">
        <v>2188</v>
      </c>
      <c r="E2992" s="1" t="s">
        <v>2190</v>
      </c>
      <c r="F2992" s="3">
        <v>1</v>
      </c>
      <c r="G2992" s="24" t="s">
        <v>6091</v>
      </c>
      <c r="H2992" s="24" t="s">
        <v>6092</v>
      </c>
      <c r="I2992" s="24" t="s">
        <v>3285</v>
      </c>
      <c r="J2992" s="24" t="s">
        <v>2920</v>
      </c>
      <c r="K2992" s="3">
        <v>17</v>
      </c>
      <c r="L2992" s="3" t="s">
        <v>2928</v>
      </c>
      <c r="M2992" s="3" t="str">
        <f>HYPERLINK("http://ictvonline.org/taxonomyHistory.asp?taxnode_id=20153765","ICTVonline=20153765")</f>
        <v>ICTVonline=20153765</v>
      </c>
    </row>
    <row r="2993" spans="1:13" x14ac:dyDescent="0.15">
      <c r="A2993" s="1" t="s">
        <v>934</v>
      </c>
      <c r="B2993" s="1" t="s">
        <v>2178</v>
      </c>
      <c r="D2993" s="1" t="s">
        <v>2188</v>
      </c>
      <c r="E2993" s="1" t="s">
        <v>2191</v>
      </c>
      <c r="F2993" s="3">
        <v>0</v>
      </c>
      <c r="G2993" s="24" t="s">
        <v>6093</v>
      </c>
      <c r="H2993" s="24" t="s">
        <v>6094</v>
      </c>
      <c r="I2993" s="24" t="s">
        <v>3285</v>
      </c>
      <c r="J2993" s="24" t="s">
        <v>2920</v>
      </c>
      <c r="K2993" s="3">
        <v>17</v>
      </c>
      <c r="L2993" s="3" t="s">
        <v>2928</v>
      </c>
      <c r="M2993" s="3" t="str">
        <f>HYPERLINK("http://ictvonline.org/taxonomyHistory.asp?taxnode_id=20153766","ICTVonline=20153766")</f>
        <v>ICTVonline=20153766</v>
      </c>
    </row>
    <row r="2994" spans="1:13" x14ac:dyDescent="0.15">
      <c r="A2994" s="1" t="s">
        <v>934</v>
      </c>
      <c r="B2994" s="1" t="s">
        <v>2178</v>
      </c>
      <c r="D2994" s="1" t="s">
        <v>2188</v>
      </c>
      <c r="E2994" s="1" t="s">
        <v>2192</v>
      </c>
      <c r="F2994" s="3">
        <v>0</v>
      </c>
      <c r="G2994" s="24" t="s">
        <v>6095</v>
      </c>
      <c r="H2994" s="24" t="s">
        <v>6090</v>
      </c>
      <c r="I2994" s="24" t="s">
        <v>3285</v>
      </c>
      <c r="J2994" s="24" t="s">
        <v>2920</v>
      </c>
      <c r="K2994" s="3">
        <v>17</v>
      </c>
      <c r="L2994" s="3" t="s">
        <v>2928</v>
      </c>
      <c r="M2994" s="3" t="str">
        <f>HYPERLINK("http://ictvonline.org/taxonomyHistory.asp?taxnode_id=20153767","ICTVonline=20153767")</f>
        <v>ICTVonline=20153767</v>
      </c>
    </row>
    <row r="2995" spans="1:13" x14ac:dyDescent="0.15">
      <c r="A2995" s="1" t="s">
        <v>934</v>
      </c>
      <c r="B2995" s="1" t="s">
        <v>2178</v>
      </c>
      <c r="D2995" s="1" t="s">
        <v>483</v>
      </c>
      <c r="E2995" s="1" t="s">
        <v>484</v>
      </c>
      <c r="F2995" s="3">
        <v>1</v>
      </c>
      <c r="G2995" s="24" t="s">
        <v>6096</v>
      </c>
      <c r="H2995" s="24" t="s">
        <v>6097</v>
      </c>
      <c r="I2995" s="24" t="s">
        <v>3285</v>
      </c>
      <c r="J2995" s="24" t="s">
        <v>2920</v>
      </c>
      <c r="K2995" s="3">
        <v>17</v>
      </c>
      <c r="L2995" s="3" t="s">
        <v>2928</v>
      </c>
      <c r="M2995" s="3" t="str">
        <f>HYPERLINK("http://ictvonline.org/taxonomyHistory.asp?taxnode_id=20153769","ICTVonline=20153769")</f>
        <v>ICTVonline=20153769</v>
      </c>
    </row>
    <row r="2996" spans="1:13" x14ac:dyDescent="0.15">
      <c r="A2996" s="1" t="s">
        <v>934</v>
      </c>
      <c r="B2996" s="1" t="s">
        <v>2178</v>
      </c>
      <c r="D2996" s="1" t="s">
        <v>483</v>
      </c>
      <c r="E2996" s="1" t="s">
        <v>485</v>
      </c>
      <c r="F2996" s="3">
        <v>0</v>
      </c>
      <c r="G2996" s="24" t="s">
        <v>6098</v>
      </c>
      <c r="H2996" s="24" t="s">
        <v>6099</v>
      </c>
      <c r="I2996" s="24" t="s">
        <v>3285</v>
      </c>
      <c r="J2996" s="24" t="s">
        <v>2919</v>
      </c>
      <c r="K2996" s="3">
        <v>18</v>
      </c>
      <c r="L2996" s="3" t="s">
        <v>2929</v>
      </c>
      <c r="M2996" s="3" t="str">
        <f>HYPERLINK("http://ictvonline.org/taxonomyHistory.asp?taxnode_id=20153770","ICTVonline=20153770")</f>
        <v>ICTVonline=20153770</v>
      </c>
    </row>
    <row r="2997" spans="1:13" x14ac:dyDescent="0.15">
      <c r="A2997" s="1" t="s">
        <v>934</v>
      </c>
      <c r="B2997" s="1" t="s">
        <v>2178</v>
      </c>
      <c r="D2997" s="1" t="s">
        <v>483</v>
      </c>
      <c r="E2997" s="1" t="s">
        <v>486</v>
      </c>
      <c r="F2997" s="3">
        <v>0</v>
      </c>
      <c r="G2997" s="24" t="s">
        <v>6100</v>
      </c>
      <c r="H2997" s="24" t="s">
        <v>6101</v>
      </c>
      <c r="I2997" s="24" t="s">
        <v>3285</v>
      </c>
      <c r="J2997" s="24" t="s">
        <v>2919</v>
      </c>
      <c r="K2997" s="3">
        <v>18</v>
      </c>
      <c r="L2997" s="3" t="s">
        <v>2929</v>
      </c>
      <c r="M2997" s="3" t="str">
        <f>HYPERLINK("http://ictvonline.org/taxonomyHistory.asp?taxnode_id=20153771","ICTVonline=20153771")</f>
        <v>ICTVonline=20153771</v>
      </c>
    </row>
    <row r="2998" spans="1:13" x14ac:dyDescent="0.15">
      <c r="A2998" s="1" t="s">
        <v>934</v>
      </c>
      <c r="B2998" s="1" t="s">
        <v>2178</v>
      </c>
      <c r="D2998" s="1" t="s">
        <v>487</v>
      </c>
      <c r="E2998" s="1" t="s">
        <v>2869</v>
      </c>
      <c r="F2998" s="3">
        <v>0</v>
      </c>
      <c r="G2998" s="24" t="s">
        <v>3303</v>
      </c>
      <c r="H2998" s="24" t="s">
        <v>6739</v>
      </c>
      <c r="I2998" s="24" t="s">
        <v>3285</v>
      </c>
      <c r="J2998" s="24" t="s">
        <v>2919</v>
      </c>
      <c r="K2998" s="3">
        <v>29</v>
      </c>
      <c r="L2998" s="3" t="s">
        <v>7074</v>
      </c>
      <c r="M2998" s="3" t="str">
        <f>HYPERLINK("http://ictvonline.org/taxonomyHistory.asp?taxnode_id=20153773","ICTVonline=20153773")</f>
        <v>ICTVonline=20153773</v>
      </c>
    </row>
    <row r="2999" spans="1:13" x14ac:dyDescent="0.15">
      <c r="A2999" s="1" t="s">
        <v>934</v>
      </c>
      <c r="B2999" s="1" t="s">
        <v>2178</v>
      </c>
      <c r="D2999" s="1" t="s">
        <v>487</v>
      </c>
      <c r="E2999" s="1" t="s">
        <v>488</v>
      </c>
      <c r="F2999" s="3">
        <v>1</v>
      </c>
      <c r="G2999" s="24" t="s">
        <v>6102</v>
      </c>
      <c r="H2999" s="24" t="s">
        <v>6103</v>
      </c>
      <c r="I2999" s="24" t="s">
        <v>3285</v>
      </c>
      <c r="J2999" s="24" t="s">
        <v>2920</v>
      </c>
      <c r="K2999" s="3">
        <v>17</v>
      </c>
      <c r="L2999" s="3" t="s">
        <v>2928</v>
      </c>
      <c r="M2999" s="3" t="str">
        <f>HYPERLINK("http://ictvonline.org/taxonomyHistory.asp?taxnode_id=20153774","ICTVonline=20153774")</f>
        <v>ICTVonline=20153774</v>
      </c>
    </row>
    <row r="3000" spans="1:13" x14ac:dyDescent="0.15">
      <c r="A3000" s="1" t="s">
        <v>934</v>
      </c>
      <c r="B3000" s="1" t="s">
        <v>2178</v>
      </c>
      <c r="D3000" s="1" t="s">
        <v>489</v>
      </c>
      <c r="E3000" s="1" t="s">
        <v>490</v>
      </c>
      <c r="F3000" s="3">
        <v>0</v>
      </c>
      <c r="G3000" s="24" t="s">
        <v>6104</v>
      </c>
      <c r="H3000" s="24" t="s">
        <v>6105</v>
      </c>
      <c r="I3000" s="24" t="s">
        <v>3285</v>
      </c>
      <c r="J3000" s="24" t="s">
        <v>2920</v>
      </c>
      <c r="K3000" s="3">
        <v>17</v>
      </c>
      <c r="L3000" s="3" t="s">
        <v>2928</v>
      </c>
      <c r="M3000" s="3" t="str">
        <f>HYPERLINK("http://ictvonline.org/taxonomyHistory.asp?taxnode_id=20153776","ICTVonline=20153776")</f>
        <v>ICTVonline=20153776</v>
      </c>
    </row>
    <row r="3001" spans="1:13" x14ac:dyDescent="0.15">
      <c r="A3001" s="1" t="s">
        <v>934</v>
      </c>
      <c r="B3001" s="1" t="s">
        <v>2178</v>
      </c>
      <c r="D3001" s="1" t="s">
        <v>489</v>
      </c>
      <c r="E3001" s="1" t="s">
        <v>491</v>
      </c>
      <c r="F3001" s="3">
        <v>0</v>
      </c>
      <c r="G3001" s="24" t="s">
        <v>6106</v>
      </c>
      <c r="H3001" s="24" t="s">
        <v>6107</v>
      </c>
      <c r="I3001" s="24" t="s">
        <v>3285</v>
      </c>
      <c r="J3001" s="24" t="s">
        <v>2920</v>
      </c>
      <c r="K3001" s="3">
        <v>17</v>
      </c>
      <c r="L3001" s="3" t="s">
        <v>2928</v>
      </c>
      <c r="M3001" s="3" t="str">
        <f>HYPERLINK("http://ictvonline.org/taxonomyHistory.asp?taxnode_id=20153777","ICTVonline=20153777")</f>
        <v>ICTVonline=20153777</v>
      </c>
    </row>
    <row r="3002" spans="1:13" x14ac:dyDescent="0.15">
      <c r="A3002" s="1" t="s">
        <v>934</v>
      </c>
      <c r="B3002" s="1" t="s">
        <v>2178</v>
      </c>
      <c r="D3002" s="1" t="s">
        <v>489</v>
      </c>
      <c r="E3002" s="1" t="s">
        <v>492</v>
      </c>
      <c r="F3002" s="3">
        <v>0</v>
      </c>
      <c r="G3002" s="24" t="s">
        <v>6108</v>
      </c>
      <c r="H3002" s="24" t="s">
        <v>7742</v>
      </c>
      <c r="I3002" s="24" t="s">
        <v>3285</v>
      </c>
      <c r="J3002" s="24" t="s">
        <v>2920</v>
      </c>
      <c r="K3002" s="3">
        <v>17</v>
      </c>
      <c r="L3002" s="3" t="s">
        <v>2928</v>
      </c>
      <c r="M3002" s="3" t="str">
        <f>HYPERLINK("http://ictvonline.org/taxonomyHistory.asp?taxnode_id=20153778","ICTVonline=20153778")</f>
        <v>ICTVonline=20153778</v>
      </c>
    </row>
    <row r="3003" spans="1:13" x14ac:dyDescent="0.15">
      <c r="A3003" s="1" t="s">
        <v>934</v>
      </c>
      <c r="B3003" s="1" t="s">
        <v>2178</v>
      </c>
      <c r="D3003" s="1" t="s">
        <v>489</v>
      </c>
      <c r="E3003" s="1" t="s">
        <v>493</v>
      </c>
      <c r="F3003" s="3">
        <v>0</v>
      </c>
      <c r="G3003" s="24" t="s">
        <v>6109</v>
      </c>
      <c r="H3003" s="24" t="s">
        <v>6097</v>
      </c>
      <c r="I3003" s="24" t="s">
        <v>3285</v>
      </c>
      <c r="J3003" s="24" t="s">
        <v>2919</v>
      </c>
      <c r="K3003" s="3">
        <v>18</v>
      </c>
      <c r="L3003" s="3" t="s">
        <v>2929</v>
      </c>
      <c r="M3003" s="3" t="str">
        <f>HYPERLINK("http://ictvonline.org/taxonomyHistory.asp?taxnode_id=20153779","ICTVonline=20153779")</f>
        <v>ICTVonline=20153779</v>
      </c>
    </row>
    <row r="3004" spans="1:13" x14ac:dyDescent="0.15">
      <c r="A3004" s="1" t="s">
        <v>934</v>
      </c>
      <c r="B3004" s="1" t="s">
        <v>2178</v>
      </c>
      <c r="D3004" s="1" t="s">
        <v>489</v>
      </c>
      <c r="E3004" s="1" t="s">
        <v>194</v>
      </c>
      <c r="F3004" s="3">
        <v>0</v>
      </c>
      <c r="G3004" s="24" t="s">
        <v>6110</v>
      </c>
      <c r="H3004" s="24" t="s">
        <v>6111</v>
      </c>
      <c r="I3004" s="24" t="s">
        <v>3285</v>
      </c>
      <c r="J3004" s="24" t="s">
        <v>2919</v>
      </c>
      <c r="K3004" s="3">
        <v>26</v>
      </c>
      <c r="L3004" s="3" t="s">
        <v>7075</v>
      </c>
      <c r="M3004" s="3" t="str">
        <f>HYPERLINK("http://ictvonline.org/taxonomyHistory.asp?taxnode_id=20153780","ICTVonline=20153780")</f>
        <v>ICTVonline=20153780</v>
      </c>
    </row>
    <row r="3005" spans="1:13" x14ac:dyDescent="0.15">
      <c r="A3005" s="1" t="s">
        <v>934</v>
      </c>
      <c r="B3005" s="1" t="s">
        <v>2178</v>
      </c>
      <c r="D3005" s="1" t="s">
        <v>489</v>
      </c>
      <c r="E3005" s="1" t="s">
        <v>494</v>
      </c>
      <c r="F3005" s="3">
        <v>1</v>
      </c>
      <c r="G3005" s="24" t="s">
        <v>6112</v>
      </c>
      <c r="H3005" s="24" t="s">
        <v>6107</v>
      </c>
      <c r="I3005" s="24" t="s">
        <v>3285</v>
      </c>
      <c r="J3005" s="24" t="s">
        <v>2920</v>
      </c>
      <c r="K3005" s="3">
        <v>17</v>
      </c>
      <c r="L3005" s="3" t="s">
        <v>2928</v>
      </c>
      <c r="M3005" s="3" t="str">
        <f>HYPERLINK("http://ictvonline.org/taxonomyHistory.asp?taxnode_id=20153781","ICTVonline=20153781")</f>
        <v>ICTVonline=20153781</v>
      </c>
    </row>
    <row r="3006" spans="1:13" x14ac:dyDescent="0.15">
      <c r="A3006" s="1" t="s">
        <v>934</v>
      </c>
      <c r="B3006" s="1" t="s">
        <v>2178</v>
      </c>
      <c r="D3006" s="1" t="s">
        <v>489</v>
      </c>
      <c r="E3006" s="1" t="s">
        <v>495</v>
      </c>
      <c r="F3006" s="3">
        <v>0</v>
      </c>
      <c r="G3006" s="24" t="s">
        <v>6113</v>
      </c>
      <c r="H3006" s="24" t="s">
        <v>6114</v>
      </c>
      <c r="I3006" s="24" t="s">
        <v>3285</v>
      </c>
      <c r="J3006" s="24" t="s">
        <v>2920</v>
      </c>
      <c r="K3006" s="3">
        <v>17</v>
      </c>
      <c r="L3006" s="3" t="s">
        <v>2928</v>
      </c>
      <c r="M3006" s="3" t="str">
        <f>HYPERLINK("http://ictvonline.org/taxonomyHistory.asp?taxnode_id=20153782","ICTVonline=20153782")</f>
        <v>ICTVonline=20153782</v>
      </c>
    </row>
    <row r="3007" spans="1:13" x14ac:dyDescent="0.15">
      <c r="A3007" s="1" t="s">
        <v>934</v>
      </c>
      <c r="B3007" s="1" t="s">
        <v>2178</v>
      </c>
      <c r="D3007" s="1" t="s">
        <v>489</v>
      </c>
      <c r="E3007" s="1" t="s">
        <v>496</v>
      </c>
      <c r="F3007" s="3">
        <v>0</v>
      </c>
      <c r="G3007" s="24" t="s">
        <v>6115</v>
      </c>
      <c r="H3007" s="24" t="s">
        <v>6116</v>
      </c>
      <c r="I3007" s="24" t="s">
        <v>3285</v>
      </c>
      <c r="J3007" s="24" t="s">
        <v>2919</v>
      </c>
      <c r="K3007" s="3">
        <v>20</v>
      </c>
      <c r="L3007" s="3" t="s">
        <v>2925</v>
      </c>
      <c r="M3007" s="3" t="str">
        <f>HYPERLINK("http://ictvonline.org/taxonomyHistory.asp?taxnode_id=20153783","ICTVonline=20153783")</f>
        <v>ICTVonline=20153783</v>
      </c>
    </row>
    <row r="3008" spans="1:13" x14ac:dyDescent="0.15">
      <c r="A3008" s="1" t="s">
        <v>934</v>
      </c>
      <c r="B3008" s="1" t="s">
        <v>2178</v>
      </c>
      <c r="D3008" s="1" t="s">
        <v>489</v>
      </c>
      <c r="E3008" s="1" t="s">
        <v>497</v>
      </c>
      <c r="F3008" s="3">
        <v>0</v>
      </c>
      <c r="G3008" s="24" t="s">
        <v>6117</v>
      </c>
      <c r="H3008" s="24" t="s">
        <v>6114</v>
      </c>
      <c r="I3008" s="24" t="s">
        <v>3285</v>
      </c>
      <c r="J3008" s="24" t="s">
        <v>2931</v>
      </c>
      <c r="K3008" s="3">
        <v>29</v>
      </c>
      <c r="L3008" s="3" t="s">
        <v>7076</v>
      </c>
      <c r="M3008" s="3" t="str">
        <f>HYPERLINK("http://ictvonline.org/taxonomyHistory.asp?taxnode_id=20153784","ICTVonline=20153784")</f>
        <v>ICTVonline=20153784</v>
      </c>
    </row>
    <row r="3009" spans="1:13" x14ac:dyDescent="0.15">
      <c r="A3009" s="1" t="s">
        <v>934</v>
      </c>
      <c r="B3009" s="1" t="s">
        <v>498</v>
      </c>
      <c r="D3009" s="1" t="s">
        <v>567</v>
      </c>
      <c r="E3009" s="1" t="s">
        <v>568</v>
      </c>
      <c r="F3009" s="3">
        <v>1</v>
      </c>
      <c r="G3009" s="24" t="s">
        <v>6118</v>
      </c>
      <c r="H3009" s="24" t="s">
        <v>6119</v>
      </c>
      <c r="I3009" s="24" t="s">
        <v>3265</v>
      </c>
      <c r="J3009" s="24" t="s">
        <v>2921</v>
      </c>
      <c r="K3009" s="3">
        <v>25</v>
      </c>
      <c r="L3009" s="3" t="s">
        <v>7077</v>
      </c>
      <c r="M3009" s="3" t="str">
        <f>HYPERLINK("http://ictvonline.org/taxonomyHistory.asp?taxnode_id=20153788","ICTVonline=20153788")</f>
        <v>ICTVonline=20153788</v>
      </c>
    </row>
    <row r="3010" spans="1:13" x14ac:dyDescent="0.15">
      <c r="A3010" s="1" t="s">
        <v>934</v>
      </c>
      <c r="B3010" s="1" t="s">
        <v>498</v>
      </c>
      <c r="D3010" s="1" t="s">
        <v>499</v>
      </c>
      <c r="E3010" s="1" t="s">
        <v>500</v>
      </c>
      <c r="F3010" s="3">
        <v>0</v>
      </c>
      <c r="G3010" s="24" t="s">
        <v>7937</v>
      </c>
      <c r="H3010" s="24" t="s">
        <v>6120</v>
      </c>
      <c r="I3010" s="24" t="s">
        <v>3265</v>
      </c>
      <c r="J3010" s="24" t="s">
        <v>2919</v>
      </c>
      <c r="K3010" s="3">
        <v>13</v>
      </c>
      <c r="L3010" s="3" t="s">
        <v>2932</v>
      </c>
      <c r="M3010" s="3" t="str">
        <f>HYPERLINK("http://ictvonline.org/taxonomyHistory.asp?taxnode_id=20153790","ICTVonline=20153790")</f>
        <v>ICTVonline=20153790</v>
      </c>
    </row>
    <row r="3011" spans="1:13" x14ac:dyDescent="0.15">
      <c r="A3011" s="1" t="s">
        <v>934</v>
      </c>
      <c r="B3011" s="1" t="s">
        <v>498</v>
      </c>
      <c r="D3011" s="1" t="s">
        <v>499</v>
      </c>
      <c r="E3011" s="1" t="s">
        <v>501</v>
      </c>
      <c r="F3011" s="3">
        <v>1</v>
      </c>
      <c r="G3011" s="24" t="s">
        <v>7938</v>
      </c>
      <c r="H3011" s="24" t="s">
        <v>6121</v>
      </c>
      <c r="I3011" s="24" t="s">
        <v>3265</v>
      </c>
      <c r="J3011" s="24" t="s">
        <v>2921</v>
      </c>
      <c r="K3011" s="3">
        <v>13</v>
      </c>
      <c r="L3011" s="3" t="s">
        <v>2932</v>
      </c>
      <c r="M3011" s="3" t="str">
        <f>HYPERLINK("http://ictvonline.org/taxonomyHistory.asp?taxnode_id=20153791","ICTVonline=20153791")</f>
        <v>ICTVonline=20153791</v>
      </c>
    </row>
    <row r="3012" spans="1:13" x14ac:dyDescent="0.15">
      <c r="A3012" s="1" t="s">
        <v>934</v>
      </c>
      <c r="B3012" s="1" t="s">
        <v>498</v>
      </c>
      <c r="D3012" s="1" t="s">
        <v>499</v>
      </c>
      <c r="E3012" s="1" t="s">
        <v>1650</v>
      </c>
      <c r="F3012" s="3">
        <v>0</v>
      </c>
      <c r="G3012" s="24" t="s">
        <v>7939</v>
      </c>
      <c r="H3012" s="24" t="s">
        <v>6122</v>
      </c>
      <c r="I3012" s="24" t="s">
        <v>3265</v>
      </c>
      <c r="J3012" s="24" t="s">
        <v>2919</v>
      </c>
      <c r="K3012" s="3">
        <v>13</v>
      </c>
      <c r="L3012" s="3" t="s">
        <v>2932</v>
      </c>
      <c r="M3012" s="3" t="str">
        <f>HYPERLINK("http://ictvonline.org/taxonomyHistory.asp?taxnode_id=20153792","ICTVonline=20153792")</f>
        <v>ICTVonline=20153792</v>
      </c>
    </row>
    <row r="3013" spans="1:13" x14ac:dyDescent="0.15">
      <c r="A3013" s="1" t="s">
        <v>934</v>
      </c>
      <c r="B3013" s="1" t="s">
        <v>498</v>
      </c>
      <c r="D3013" s="1" t="s">
        <v>499</v>
      </c>
      <c r="E3013" s="1" t="s">
        <v>945</v>
      </c>
      <c r="F3013" s="3">
        <v>0</v>
      </c>
      <c r="I3013" s="24" t="s">
        <v>3265</v>
      </c>
      <c r="J3013" s="24" t="s">
        <v>2919</v>
      </c>
      <c r="K3013" s="3">
        <v>13</v>
      </c>
      <c r="L3013" s="3" t="s">
        <v>2932</v>
      </c>
      <c r="M3013" s="3" t="str">
        <f>HYPERLINK("http://ictvonline.org/taxonomyHistory.asp?taxnode_id=20153793","ICTVonline=20153793")</f>
        <v>ICTVonline=20153793</v>
      </c>
    </row>
    <row r="3014" spans="1:13" x14ac:dyDescent="0.15">
      <c r="A3014" s="1" t="s">
        <v>934</v>
      </c>
      <c r="B3014" s="1" t="s">
        <v>498</v>
      </c>
      <c r="D3014" s="1" t="s">
        <v>499</v>
      </c>
      <c r="E3014" s="1" t="s">
        <v>865</v>
      </c>
      <c r="F3014" s="3">
        <v>0</v>
      </c>
      <c r="I3014" s="24" t="s">
        <v>3265</v>
      </c>
      <c r="J3014" s="24" t="s">
        <v>2919</v>
      </c>
      <c r="K3014" s="3">
        <v>13</v>
      </c>
      <c r="L3014" s="3" t="s">
        <v>2932</v>
      </c>
      <c r="M3014" s="3" t="str">
        <f>HYPERLINK("http://ictvonline.org/taxonomyHistory.asp?taxnode_id=20153794","ICTVonline=20153794")</f>
        <v>ICTVonline=20153794</v>
      </c>
    </row>
    <row r="3015" spans="1:13" x14ac:dyDescent="0.15">
      <c r="A3015" s="1" t="s">
        <v>934</v>
      </c>
      <c r="B3015" s="1" t="s">
        <v>498</v>
      </c>
      <c r="D3015" s="1" t="s">
        <v>499</v>
      </c>
      <c r="E3015" s="1" t="s">
        <v>866</v>
      </c>
      <c r="F3015" s="3">
        <v>0</v>
      </c>
      <c r="G3015" s="24" t="s">
        <v>7940</v>
      </c>
      <c r="H3015" s="24" t="s">
        <v>4828</v>
      </c>
      <c r="I3015" s="24" t="s">
        <v>3265</v>
      </c>
      <c r="J3015" s="24" t="s">
        <v>2919</v>
      </c>
      <c r="K3015" s="3">
        <v>18</v>
      </c>
      <c r="L3015" s="3" t="s">
        <v>2929</v>
      </c>
      <c r="M3015" s="3" t="str">
        <f>HYPERLINK("http://ictvonline.org/taxonomyHistory.asp?taxnode_id=20153795","ICTVonline=20153795")</f>
        <v>ICTVonline=20153795</v>
      </c>
    </row>
    <row r="3016" spans="1:13" x14ac:dyDescent="0.15">
      <c r="A3016" s="1" t="s">
        <v>934</v>
      </c>
      <c r="B3016" s="1" t="s">
        <v>498</v>
      </c>
      <c r="D3016" s="1" t="s">
        <v>867</v>
      </c>
      <c r="E3016" s="1" t="s">
        <v>950</v>
      </c>
      <c r="F3016" s="3">
        <v>0</v>
      </c>
      <c r="G3016" s="24" t="s">
        <v>6123</v>
      </c>
      <c r="H3016" s="24" t="s">
        <v>6124</v>
      </c>
      <c r="I3016" s="24" t="s">
        <v>3265</v>
      </c>
      <c r="J3016" s="24" t="s">
        <v>2919</v>
      </c>
      <c r="K3016" s="3">
        <v>22</v>
      </c>
      <c r="L3016" s="3" t="s">
        <v>7078</v>
      </c>
      <c r="M3016" s="3" t="str">
        <f>HYPERLINK("http://ictvonline.org/taxonomyHistory.asp?taxnode_id=20153797","ICTVonline=20153797")</f>
        <v>ICTVonline=20153797</v>
      </c>
    </row>
    <row r="3017" spans="1:13" x14ac:dyDescent="0.15">
      <c r="A3017" s="1" t="s">
        <v>934</v>
      </c>
      <c r="B3017" s="1" t="s">
        <v>498</v>
      </c>
      <c r="D3017" s="1" t="s">
        <v>867</v>
      </c>
      <c r="E3017" s="1" t="s">
        <v>951</v>
      </c>
      <c r="F3017" s="3">
        <v>0</v>
      </c>
      <c r="G3017" s="24" t="s">
        <v>6125</v>
      </c>
      <c r="H3017" s="24" t="s">
        <v>6126</v>
      </c>
      <c r="I3017" s="24" t="s">
        <v>3265</v>
      </c>
      <c r="J3017" s="24" t="s">
        <v>2919</v>
      </c>
      <c r="K3017" s="3">
        <v>22</v>
      </c>
      <c r="L3017" s="3" t="s">
        <v>7078</v>
      </c>
      <c r="M3017" s="3" t="str">
        <f>HYPERLINK("http://ictvonline.org/taxonomyHistory.asp?taxnode_id=20153798","ICTVonline=20153798")</f>
        <v>ICTVonline=20153798</v>
      </c>
    </row>
    <row r="3018" spans="1:13" x14ac:dyDescent="0.15">
      <c r="A3018" s="1" t="s">
        <v>934</v>
      </c>
      <c r="B3018" s="1" t="s">
        <v>498</v>
      </c>
      <c r="D3018" s="1" t="s">
        <v>867</v>
      </c>
      <c r="E3018" s="1" t="s">
        <v>952</v>
      </c>
      <c r="F3018" s="3">
        <v>0</v>
      </c>
      <c r="G3018" s="24" t="s">
        <v>6127</v>
      </c>
      <c r="H3018" s="24" t="s">
        <v>6128</v>
      </c>
      <c r="I3018" s="24" t="s">
        <v>3265</v>
      </c>
      <c r="J3018" s="24" t="s">
        <v>2919</v>
      </c>
      <c r="K3018" s="3">
        <v>24</v>
      </c>
      <c r="L3018" s="3" t="s">
        <v>7079</v>
      </c>
      <c r="M3018" s="3" t="str">
        <f>HYPERLINK("http://ictvonline.org/taxonomyHistory.asp?taxnode_id=20153799","ICTVonline=20153799")</f>
        <v>ICTVonline=20153799</v>
      </c>
    </row>
    <row r="3019" spans="1:13" x14ac:dyDescent="0.15">
      <c r="A3019" s="1" t="s">
        <v>934</v>
      </c>
      <c r="B3019" s="1" t="s">
        <v>498</v>
      </c>
      <c r="D3019" s="1" t="s">
        <v>867</v>
      </c>
      <c r="E3019" s="1" t="s">
        <v>953</v>
      </c>
      <c r="F3019" s="3">
        <v>1</v>
      </c>
      <c r="G3019" s="24" t="s">
        <v>6129</v>
      </c>
      <c r="H3019" s="24" t="s">
        <v>6130</v>
      </c>
      <c r="I3019" s="24" t="s">
        <v>3265</v>
      </c>
      <c r="J3019" s="24" t="s">
        <v>2921</v>
      </c>
      <c r="K3019" s="3">
        <v>17</v>
      </c>
      <c r="L3019" s="3" t="s">
        <v>2928</v>
      </c>
      <c r="M3019" s="3" t="str">
        <f>HYPERLINK("http://ictvonline.org/taxonomyHistory.asp?taxnode_id=20153800","ICTVonline=20153800")</f>
        <v>ICTVonline=20153800</v>
      </c>
    </row>
    <row r="3020" spans="1:13" x14ac:dyDescent="0.15">
      <c r="A3020" s="1" t="s">
        <v>934</v>
      </c>
      <c r="B3020" s="1" t="s">
        <v>498</v>
      </c>
      <c r="D3020" s="1" t="s">
        <v>867</v>
      </c>
      <c r="E3020" s="1" t="s">
        <v>2215</v>
      </c>
      <c r="F3020" s="3">
        <v>0</v>
      </c>
      <c r="G3020" s="24" t="s">
        <v>6131</v>
      </c>
      <c r="H3020" s="24" t="s">
        <v>6132</v>
      </c>
      <c r="I3020" s="24" t="s">
        <v>3265</v>
      </c>
      <c r="J3020" s="24" t="s">
        <v>2920</v>
      </c>
      <c r="K3020" s="3">
        <v>28</v>
      </c>
      <c r="L3020" s="3" t="s">
        <v>7080</v>
      </c>
      <c r="M3020" s="3" t="str">
        <f>HYPERLINK("http://ictvonline.org/taxonomyHistory.asp?taxnode_id=20153801","ICTVonline=20153801")</f>
        <v>ICTVonline=20153801</v>
      </c>
    </row>
    <row r="3021" spans="1:13" x14ac:dyDescent="0.15">
      <c r="A3021" s="1" t="s">
        <v>934</v>
      </c>
      <c r="B3021" s="1" t="s">
        <v>498</v>
      </c>
      <c r="D3021" s="1" t="s">
        <v>867</v>
      </c>
      <c r="E3021" s="1" t="s">
        <v>195</v>
      </c>
      <c r="F3021" s="3">
        <v>0</v>
      </c>
      <c r="G3021" s="24" t="s">
        <v>6133</v>
      </c>
      <c r="H3021" s="24" t="s">
        <v>6134</v>
      </c>
      <c r="I3021" s="24" t="s">
        <v>3265</v>
      </c>
      <c r="J3021" s="24" t="s">
        <v>2919</v>
      </c>
      <c r="K3021" s="3">
        <v>26</v>
      </c>
      <c r="L3021" s="3" t="s">
        <v>7081</v>
      </c>
      <c r="M3021" s="3" t="str">
        <f>HYPERLINK("http://ictvonline.org/taxonomyHistory.asp?taxnode_id=20153802","ICTVonline=20153802")</f>
        <v>ICTVonline=20153802</v>
      </c>
    </row>
    <row r="3022" spans="1:13" x14ac:dyDescent="0.15">
      <c r="A3022" s="1" t="s">
        <v>934</v>
      </c>
      <c r="B3022" s="1" t="s">
        <v>498</v>
      </c>
      <c r="D3022" s="1" t="s">
        <v>954</v>
      </c>
      <c r="E3022" s="1" t="s">
        <v>955</v>
      </c>
      <c r="F3022" s="3">
        <v>0</v>
      </c>
      <c r="I3022" s="24" t="s">
        <v>3265</v>
      </c>
      <c r="J3022" s="24" t="s">
        <v>2920</v>
      </c>
      <c r="K3022" s="3">
        <v>24</v>
      </c>
      <c r="L3022" s="3" t="s">
        <v>7082</v>
      </c>
      <c r="M3022" s="3" t="str">
        <f>HYPERLINK("http://ictvonline.org/taxonomyHistory.asp?taxnode_id=20153804","ICTVonline=20153804")</f>
        <v>ICTVonline=20153804</v>
      </c>
    </row>
    <row r="3023" spans="1:13" x14ac:dyDescent="0.15">
      <c r="A3023" s="1" t="s">
        <v>934</v>
      </c>
      <c r="B3023" s="1" t="s">
        <v>498</v>
      </c>
      <c r="D3023" s="1" t="s">
        <v>954</v>
      </c>
      <c r="E3023" s="1" t="s">
        <v>613</v>
      </c>
      <c r="F3023" s="3">
        <v>0</v>
      </c>
      <c r="I3023" s="24" t="s">
        <v>3265</v>
      </c>
      <c r="J3023" s="24" t="s">
        <v>2920</v>
      </c>
      <c r="K3023" s="3">
        <v>30</v>
      </c>
      <c r="L3023" s="3" t="s">
        <v>7083</v>
      </c>
      <c r="M3023" s="3" t="str">
        <f>HYPERLINK("http://ictvonline.org/taxonomyHistory.asp?taxnode_id=20153824","ICTVonline=20153824")</f>
        <v>ICTVonline=20153824</v>
      </c>
    </row>
    <row r="3024" spans="1:13" x14ac:dyDescent="0.15">
      <c r="A3024" s="1" t="s">
        <v>934</v>
      </c>
      <c r="B3024" s="1" t="s">
        <v>498</v>
      </c>
      <c r="D3024" s="1" t="s">
        <v>954</v>
      </c>
      <c r="E3024" s="1" t="s">
        <v>956</v>
      </c>
      <c r="F3024" s="3">
        <v>0</v>
      </c>
      <c r="I3024" s="24" t="s">
        <v>3265</v>
      </c>
      <c r="J3024" s="24" t="s">
        <v>2920</v>
      </c>
      <c r="K3024" s="3">
        <v>22</v>
      </c>
      <c r="L3024" s="3" t="s">
        <v>7078</v>
      </c>
      <c r="M3024" s="3" t="str">
        <f>HYPERLINK("http://ictvonline.org/taxonomyHistory.asp?taxnode_id=20153805","ICTVonline=20153805")</f>
        <v>ICTVonline=20153805</v>
      </c>
    </row>
    <row r="3025" spans="1:13" x14ac:dyDescent="0.15">
      <c r="A3025" s="1" t="s">
        <v>934</v>
      </c>
      <c r="B3025" s="1" t="s">
        <v>498</v>
      </c>
      <c r="D3025" s="1" t="s">
        <v>954</v>
      </c>
      <c r="E3025" s="1" t="s">
        <v>957</v>
      </c>
      <c r="F3025" s="3">
        <v>0</v>
      </c>
      <c r="G3025" s="24" t="s">
        <v>6135</v>
      </c>
      <c r="H3025" s="24" t="s">
        <v>6136</v>
      </c>
      <c r="I3025" s="24" t="s">
        <v>3265</v>
      </c>
      <c r="J3025" s="24" t="s">
        <v>2919</v>
      </c>
      <c r="K3025" s="3">
        <v>24</v>
      </c>
      <c r="L3025" s="3" t="s">
        <v>7082</v>
      </c>
      <c r="M3025" s="3" t="str">
        <f>HYPERLINK("http://ictvonline.org/taxonomyHistory.asp?taxnode_id=20153806","ICTVonline=20153806")</f>
        <v>ICTVonline=20153806</v>
      </c>
    </row>
    <row r="3026" spans="1:13" x14ac:dyDescent="0.15">
      <c r="A3026" s="1" t="s">
        <v>934</v>
      </c>
      <c r="B3026" s="1" t="s">
        <v>498</v>
      </c>
      <c r="D3026" s="1" t="s">
        <v>954</v>
      </c>
      <c r="E3026" s="1" t="s">
        <v>605</v>
      </c>
      <c r="F3026" s="3">
        <v>1</v>
      </c>
      <c r="I3026" s="24" t="s">
        <v>3265</v>
      </c>
      <c r="J3026" s="24" t="s">
        <v>2921</v>
      </c>
      <c r="K3026" s="3">
        <v>17</v>
      </c>
      <c r="L3026" s="3" t="s">
        <v>2928</v>
      </c>
      <c r="M3026" s="3" t="str">
        <f>HYPERLINK("http://ictvonline.org/taxonomyHistory.asp?taxnode_id=20153807","ICTVonline=20153807")</f>
        <v>ICTVonline=20153807</v>
      </c>
    </row>
    <row r="3027" spans="1:13" x14ac:dyDescent="0.15">
      <c r="A3027" s="1" t="s">
        <v>934</v>
      </c>
      <c r="B3027" s="1" t="s">
        <v>498</v>
      </c>
      <c r="D3027" s="1" t="s">
        <v>954</v>
      </c>
      <c r="E3027" s="1" t="s">
        <v>606</v>
      </c>
      <c r="F3027" s="3">
        <v>0</v>
      </c>
      <c r="I3027" s="24" t="s">
        <v>3265</v>
      </c>
      <c r="J3027" s="24" t="s">
        <v>2919</v>
      </c>
      <c r="K3027" s="3">
        <v>17</v>
      </c>
      <c r="L3027" s="3" t="s">
        <v>2928</v>
      </c>
      <c r="M3027" s="3" t="str">
        <f>HYPERLINK("http://ictvonline.org/taxonomyHistory.asp?taxnode_id=20153808","ICTVonline=20153808")</f>
        <v>ICTVonline=20153808</v>
      </c>
    </row>
    <row r="3028" spans="1:13" x14ac:dyDescent="0.15">
      <c r="A3028" s="1" t="s">
        <v>934</v>
      </c>
      <c r="B3028" s="1" t="s">
        <v>498</v>
      </c>
      <c r="D3028" s="1" t="s">
        <v>196</v>
      </c>
      <c r="E3028" s="1" t="s">
        <v>6137</v>
      </c>
      <c r="F3028" s="3">
        <v>0</v>
      </c>
      <c r="G3028" s="24" t="s">
        <v>7743</v>
      </c>
      <c r="H3028" s="24" t="s">
        <v>6138</v>
      </c>
      <c r="I3028" s="24" t="s">
        <v>3265</v>
      </c>
      <c r="J3028" s="24" t="s">
        <v>2919</v>
      </c>
      <c r="K3028" s="3">
        <v>30</v>
      </c>
      <c r="L3028" s="3" t="s">
        <v>7084</v>
      </c>
      <c r="M3028" s="3" t="str">
        <f>HYPERLINK("http://ictvonline.org/taxonomyHistory.asp?taxnode_id=20153813","ICTVonline=20153813")</f>
        <v>ICTVonline=20153813</v>
      </c>
    </row>
    <row r="3029" spans="1:13" x14ac:dyDescent="0.15">
      <c r="A3029" s="1" t="s">
        <v>934</v>
      </c>
      <c r="B3029" s="1" t="s">
        <v>498</v>
      </c>
      <c r="D3029" s="1" t="s">
        <v>196</v>
      </c>
      <c r="E3029" s="1" t="s">
        <v>512</v>
      </c>
      <c r="F3029" s="3">
        <v>0</v>
      </c>
      <c r="G3029" s="24" t="s">
        <v>6139</v>
      </c>
      <c r="H3029" s="24" t="s">
        <v>6140</v>
      </c>
      <c r="I3029" s="24" t="s">
        <v>3265</v>
      </c>
      <c r="J3029" s="24" t="s">
        <v>2920</v>
      </c>
      <c r="K3029" s="3">
        <v>26</v>
      </c>
      <c r="L3029" s="3" t="s">
        <v>7085</v>
      </c>
      <c r="M3029" s="3" t="str">
        <f>HYPERLINK("http://ictvonline.org/taxonomyHistory.asp?taxnode_id=20153811","ICTVonline=20153811")</f>
        <v>ICTVonline=20153811</v>
      </c>
    </row>
    <row r="3030" spans="1:13" x14ac:dyDescent="0.15">
      <c r="A3030" s="1" t="s">
        <v>934</v>
      </c>
      <c r="B3030" s="1" t="s">
        <v>498</v>
      </c>
      <c r="D3030" s="1" t="s">
        <v>196</v>
      </c>
      <c r="E3030" s="1" t="s">
        <v>197</v>
      </c>
      <c r="F3030" s="3">
        <v>1</v>
      </c>
      <c r="G3030" s="24" t="s">
        <v>6141</v>
      </c>
      <c r="H3030" s="24" t="s">
        <v>6142</v>
      </c>
      <c r="I3030" s="24" t="s">
        <v>3265</v>
      </c>
      <c r="J3030" s="24" t="s">
        <v>2921</v>
      </c>
      <c r="K3030" s="3">
        <v>26</v>
      </c>
      <c r="L3030" s="3" t="s">
        <v>7085</v>
      </c>
      <c r="M3030" s="3" t="str">
        <f>HYPERLINK("http://ictvonline.org/taxonomyHistory.asp?taxnode_id=20153812","ICTVonline=20153812")</f>
        <v>ICTVonline=20153812</v>
      </c>
    </row>
    <row r="3031" spans="1:13" x14ac:dyDescent="0.15">
      <c r="A3031" s="1" t="s">
        <v>934</v>
      </c>
      <c r="B3031" s="1" t="s">
        <v>498</v>
      </c>
      <c r="D3031" s="1" t="s">
        <v>607</v>
      </c>
      <c r="E3031" s="1" t="s">
        <v>2250</v>
      </c>
      <c r="F3031" s="3">
        <v>0</v>
      </c>
      <c r="G3031" s="24" t="s">
        <v>6143</v>
      </c>
      <c r="H3031" s="24" t="s">
        <v>6144</v>
      </c>
      <c r="I3031" s="24" t="s">
        <v>3265</v>
      </c>
      <c r="J3031" s="24" t="s">
        <v>2919</v>
      </c>
      <c r="K3031" s="3">
        <v>25</v>
      </c>
      <c r="L3031" s="3" t="s">
        <v>7086</v>
      </c>
      <c r="M3031" s="3" t="str">
        <f>HYPERLINK("http://ictvonline.org/taxonomyHistory.asp?taxnode_id=20153815","ICTVonline=20153815")</f>
        <v>ICTVonline=20153815</v>
      </c>
    </row>
    <row r="3032" spans="1:13" x14ac:dyDescent="0.15">
      <c r="A3032" s="1" t="s">
        <v>934</v>
      </c>
      <c r="B3032" s="1" t="s">
        <v>498</v>
      </c>
      <c r="D3032" s="1" t="s">
        <v>607</v>
      </c>
      <c r="E3032" s="1" t="s">
        <v>608</v>
      </c>
      <c r="F3032" s="3">
        <v>0</v>
      </c>
      <c r="I3032" s="24" t="s">
        <v>3265</v>
      </c>
      <c r="J3032" s="24" t="s">
        <v>2920</v>
      </c>
      <c r="K3032" s="3">
        <v>13</v>
      </c>
      <c r="L3032" s="3" t="s">
        <v>2932</v>
      </c>
      <c r="M3032" s="3" t="str">
        <f>HYPERLINK("http://ictvonline.org/taxonomyHistory.asp?taxnode_id=20153816","ICTVonline=20153816")</f>
        <v>ICTVonline=20153816</v>
      </c>
    </row>
    <row r="3033" spans="1:13" x14ac:dyDescent="0.15">
      <c r="A3033" s="1" t="s">
        <v>934</v>
      </c>
      <c r="B3033" s="1" t="s">
        <v>498</v>
      </c>
      <c r="D3033" s="1" t="s">
        <v>607</v>
      </c>
      <c r="E3033" s="1" t="s">
        <v>2251</v>
      </c>
      <c r="F3033" s="3">
        <v>0</v>
      </c>
      <c r="I3033" s="24" t="s">
        <v>3265</v>
      </c>
      <c r="J3033" s="24" t="s">
        <v>2919</v>
      </c>
      <c r="K3033" s="3">
        <v>25</v>
      </c>
      <c r="L3033" s="3" t="s">
        <v>7086</v>
      </c>
      <c r="M3033" s="3" t="str">
        <f>HYPERLINK("http://ictvonline.org/taxonomyHistory.asp?taxnode_id=20153817","ICTVonline=20153817")</f>
        <v>ICTVonline=20153817</v>
      </c>
    </row>
    <row r="3034" spans="1:13" x14ac:dyDescent="0.15">
      <c r="A3034" s="1" t="s">
        <v>934</v>
      </c>
      <c r="B3034" s="1" t="s">
        <v>498</v>
      </c>
      <c r="D3034" s="1" t="s">
        <v>607</v>
      </c>
      <c r="E3034" s="1" t="s">
        <v>609</v>
      </c>
      <c r="F3034" s="3">
        <v>0</v>
      </c>
      <c r="I3034" s="24" t="s">
        <v>3265</v>
      </c>
      <c r="J3034" s="24" t="s">
        <v>2920</v>
      </c>
      <c r="K3034" s="3">
        <v>13</v>
      </c>
      <c r="L3034" s="3" t="s">
        <v>2932</v>
      </c>
      <c r="M3034" s="3" t="str">
        <f>HYPERLINK("http://ictvonline.org/taxonomyHistory.asp?taxnode_id=20153818","ICTVonline=20153818")</f>
        <v>ICTVonline=20153818</v>
      </c>
    </row>
    <row r="3035" spans="1:13" x14ac:dyDescent="0.15">
      <c r="A3035" s="1" t="s">
        <v>934</v>
      </c>
      <c r="B3035" s="1" t="s">
        <v>498</v>
      </c>
      <c r="D3035" s="1" t="s">
        <v>607</v>
      </c>
      <c r="E3035" s="1" t="s">
        <v>610</v>
      </c>
      <c r="F3035" s="3">
        <v>0</v>
      </c>
      <c r="I3035" s="24" t="s">
        <v>3265</v>
      </c>
      <c r="J3035" s="24" t="s">
        <v>2919</v>
      </c>
      <c r="K3035" s="3">
        <v>24</v>
      </c>
      <c r="L3035" s="3" t="s">
        <v>7087</v>
      </c>
      <c r="M3035" s="3" t="str">
        <f>HYPERLINK("http://ictvonline.org/taxonomyHistory.asp?taxnode_id=20153819","ICTVonline=20153819")</f>
        <v>ICTVonline=20153819</v>
      </c>
    </row>
    <row r="3036" spans="1:13" x14ac:dyDescent="0.15">
      <c r="A3036" s="1" t="s">
        <v>934</v>
      </c>
      <c r="B3036" s="1" t="s">
        <v>498</v>
      </c>
      <c r="D3036" s="1" t="s">
        <v>607</v>
      </c>
      <c r="E3036" s="1" t="s">
        <v>2252</v>
      </c>
      <c r="F3036" s="3">
        <v>0</v>
      </c>
      <c r="I3036" s="24" t="s">
        <v>3265</v>
      </c>
      <c r="J3036" s="24" t="s">
        <v>2919</v>
      </c>
      <c r="K3036" s="3">
        <v>25</v>
      </c>
      <c r="L3036" s="3" t="s">
        <v>7086</v>
      </c>
      <c r="M3036" s="3" t="str">
        <f>HYPERLINK("http://ictvonline.org/taxonomyHistory.asp?taxnode_id=20153820","ICTVonline=20153820")</f>
        <v>ICTVonline=20153820</v>
      </c>
    </row>
    <row r="3037" spans="1:13" x14ac:dyDescent="0.15">
      <c r="A3037" s="1" t="s">
        <v>934</v>
      </c>
      <c r="B3037" s="1" t="s">
        <v>498</v>
      </c>
      <c r="D3037" s="1" t="s">
        <v>607</v>
      </c>
      <c r="E3037" s="1" t="s">
        <v>611</v>
      </c>
      <c r="F3037" s="3">
        <v>0</v>
      </c>
      <c r="G3037" s="24" t="s">
        <v>6145</v>
      </c>
      <c r="H3037" s="24" t="s">
        <v>6146</v>
      </c>
      <c r="I3037" s="24" t="s">
        <v>3265</v>
      </c>
      <c r="J3037" s="24" t="s">
        <v>2919</v>
      </c>
      <c r="K3037" s="3">
        <v>23</v>
      </c>
      <c r="L3037" s="3" t="s">
        <v>2933</v>
      </c>
      <c r="M3037" s="3" t="str">
        <f>HYPERLINK("http://ictvonline.org/taxonomyHistory.asp?taxnode_id=20153821","ICTVonline=20153821")</f>
        <v>ICTVonline=20153821</v>
      </c>
    </row>
    <row r="3038" spans="1:13" x14ac:dyDescent="0.15">
      <c r="A3038" s="1" t="s">
        <v>934</v>
      </c>
      <c r="B3038" s="1" t="s">
        <v>498</v>
      </c>
      <c r="D3038" s="1" t="s">
        <v>607</v>
      </c>
      <c r="E3038" s="1" t="s">
        <v>612</v>
      </c>
      <c r="F3038" s="3">
        <v>0</v>
      </c>
      <c r="I3038" s="24" t="s">
        <v>3265</v>
      </c>
      <c r="J3038" s="24" t="s">
        <v>2920</v>
      </c>
      <c r="K3038" s="3">
        <v>13</v>
      </c>
      <c r="L3038" s="3" t="s">
        <v>2932</v>
      </c>
      <c r="M3038" s="3" t="str">
        <f>HYPERLINK("http://ictvonline.org/taxonomyHistory.asp?taxnode_id=20153822","ICTVonline=20153822")</f>
        <v>ICTVonline=20153822</v>
      </c>
    </row>
    <row r="3039" spans="1:13" x14ac:dyDescent="0.15">
      <c r="A3039" s="1" t="s">
        <v>934</v>
      </c>
      <c r="B3039" s="1" t="s">
        <v>498</v>
      </c>
      <c r="D3039" s="1" t="s">
        <v>607</v>
      </c>
      <c r="E3039" s="1" t="s">
        <v>2277</v>
      </c>
      <c r="F3039" s="3">
        <v>0</v>
      </c>
      <c r="G3039" s="24" t="s">
        <v>6147</v>
      </c>
      <c r="H3039" s="24" t="s">
        <v>6148</v>
      </c>
      <c r="I3039" s="24" t="s">
        <v>3265</v>
      </c>
      <c r="J3039" s="24" t="s">
        <v>2919</v>
      </c>
      <c r="K3039" s="3">
        <v>25</v>
      </c>
      <c r="L3039" s="3" t="s">
        <v>7088</v>
      </c>
      <c r="M3039" s="3" t="str">
        <f>HYPERLINK("http://ictvonline.org/taxonomyHistory.asp?taxnode_id=20153823","ICTVonline=20153823")</f>
        <v>ICTVonline=20153823</v>
      </c>
    </row>
    <row r="3040" spans="1:13" x14ac:dyDescent="0.15">
      <c r="A3040" s="1" t="s">
        <v>934</v>
      </c>
      <c r="B3040" s="1" t="s">
        <v>498</v>
      </c>
      <c r="D3040" s="1" t="s">
        <v>607</v>
      </c>
      <c r="E3040" s="1" t="s">
        <v>614</v>
      </c>
      <c r="F3040" s="3">
        <v>0</v>
      </c>
      <c r="G3040" s="24" t="s">
        <v>6149</v>
      </c>
      <c r="H3040" s="24" t="s">
        <v>6150</v>
      </c>
      <c r="I3040" s="24" t="s">
        <v>3265</v>
      </c>
      <c r="J3040" s="24" t="s">
        <v>2920</v>
      </c>
      <c r="K3040" s="3">
        <v>13</v>
      </c>
      <c r="L3040" s="3" t="s">
        <v>2932</v>
      </c>
      <c r="M3040" s="3" t="str">
        <f>HYPERLINK("http://ictvonline.org/taxonomyHistory.asp?taxnode_id=20153825","ICTVonline=20153825")</f>
        <v>ICTVonline=20153825</v>
      </c>
    </row>
    <row r="3041" spans="1:13" x14ac:dyDescent="0.15">
      <c r="A3041" s="1" t="s">
        <v>934</v>
      </c>
      <c r="B3041" s="1" t="s">
        <v>498</v>
      </c>
      <c r="D3041" s="1" t="s">
        <v>607</v>
      </c>
      <c r="E3041" s="1" t="s">
        <v>615</v>
      </c>
      <c r="F3041" s="3">
        <v>0</v>
      </c>
      <c r="G3041" s="24" t="s">
        <v>6151</v>
      </c>
      <c r="H3041" s="24" t="s">
        <v>5377</v>
      </c>
      <c r="I3041" s="24" t="s">
        <v>3265</v>
      </c>
      <c r="J3041" s="24" t="s">
        <v>2919</v>
      </c>
      <c r="K3041" s="3">
        <v>18</v>
      </c>
      <c r="L3041" s="3" t="s">
        <v>2929</v>
      </c>
      <c r="M3041" s="3" t="str">
        <f>HYPERLINK("http://ictvonline.org/taxonomyHistory.asp?taxnode_id=20153826","ICTVonline=20153826")</f>
        <v>ICTVonline=20153826</v>
      </c>
    </row>
    <row r="3042" spans="1:13" x14ac:dyDescent="0.15">
      <c r="A3042" s="1" t="s">
        <v>934</v>
      </c>
      <c r="B3042" s="1" t="s">
        <v>498</v>
      </c>
      <c r="D3042" s="1" t="s">
        <v>607</v>
      </c>
      <c r="E3042" s="1" t="s">
        <v>616</v>
      </c>
      <c r="F3042" s="3">
        <v>0</v>
      </c>
      <c r="G3042" s="24" t="s">
        <v>6152</v>
      </c>
      <c r="H3042" s="24" t="s">
        <v>6153</v>
      </c>
      <c r="I3042" s="24" t="s">
        <v>3265</v>
      </c>
      <c r="J3042" s="24" t="s">
        <v>2919</v>
      </c>
      <c r="K3042" s="3">
        <v>24</v>
      </c>
      <c r="L3042" s="3" t="s">
        <v>7087</v>
      </c>
      <c r="M3042" s="3" t="str">
        <f>HYPERLINK("http://ictvonline.org/taxonomyHistory.asp?taxnode_id=20153827","ICTVonline=20153827")</f>
        <v>ICTVonline=20153827</v>
      </c>
    </row>
    <row r="3043" spans="1:13" x14ac:dyDescent="0.15">
      <c r="A3043" s="1" t="s">
        <v>934</v>
      </c>
      <c r="B3043" s="1" t="s">
        <v>498</v>
      </c>
      <c r="D3043" s="1" t="s">
        <v>607</v>
      </c>
      <c r="E3043" s="1" t="s">
        <v>617</v>
      </c>
      <c r="F3043" s="3">
        <v>0</v>
      </c>
      <c r="G3043" s="24" t="s">
        <v>6154</v>
      </c>
      <c r="H3043" s="24" t="s">
        <v>6155</v>
      </c>
      <c r="I3043" s="24" t="s">
        <v>3265</v>
      </c>
      <c r="J3043" s="24" t="s">
        <v>2919</v>
      </c>
      <c r="K3043" s="3">
        <v>14</v>
      </c>
      <c r="L3043" s="3" t="s">
        <v>2930</v>
      </c>
      <c r="M3043" s="3" t="str">
        <f>HYPERLINK("http://ictvonline.org/taxonomyHistory.asp?taxnode_id=20153828","ICTVonline=20153828")</f>
        <v>ICTVonline=20153828</v>
      </c>
    </row>
    <row r="3044" spans="1:13" x14ac:dyDescent="0.15">
      <c r="A3044" s="1" t="s">
        <v>934</v>
      </c>
      <c r="B3044" s="1" t="s">
        <v>498</v>
      </c>
      <c r="D3044" s="1" t="s">
        <v>607</v>
      </c>
      <c r="E3044" s="1" t="s">
        <v>618</v>
      </c>
      <c r="F3044" s="3">
        <v>0</v>
      </c>
      <c r="G3044" s="24" t="s">
        <v>6156</v>
      </c>
      <c r="H3044" s="24" t="s">
        <v>3379</v>
      </c>
      <c r="I3044" s="24" t="s">
        <v>3265</v>
      </c>
      <c r="J3044" s="24" t="s">
        <v>2931</v>
      </c>
      <c r="K3044" s="3">
        <v>18</v>
      </c>
      <c r="L3044" s="3" t="s">
        <v>2929</v>
      </c>
      <c r="M3044" s="3" t="str">
        <f>HYPERLINK("http://ictvonline.org/taxonomyHistory.asp?taxnode_id=20153829","ICTVonline=20153829")</f>
        <v>ICTVonline=20153829</v>
      </c>
    </row>
    <row r="3045" spans="1:13" x14ac:dyDescent="0.15">
      <c r="A3045" s="1" t="s">
        <v>934</v>
      </c>
      <c r="B3045" s="1" t="s">
        <v>498</v>
      </c>
      <c r="D3045" s="1" t="s">
        <v>607</v>
      </c>
      <c r="E3045" s="1" t="s">
        <v>619</v>
      </c>
      <c r="F3045" s="3">
        <v>0</v>
      </c>
      <c r="G3045" s="24" t="s">
        <v>6157</v>
      </c>
      <c r="H3045" s="24" t="s">
        <v>5093</v>
      </c>
      <c r="I3045" s="24" t="s">
        <v>3265</v>
      </c>
      <c r="J3045" s="24" t="s">
        <v>2920</v>
      </c>
      <c r="K3045" s="3">
        <v>13</v>
      </c>
      <c r="L3045" s="3" t="s">
        <v>2932</v>
      </c>
      <c r="M3045" s="3" t="str">
        <f>HYPERLINK("http://ictvonline.org/taxonomyHistory.asp?taxnode_id=20153830","ICTVonline=20153830")</f>
        <v>ICTVonline=20153830</v>
      </c>
    </row>
    <row r="3046" spans="1:13" x14ac:dyDescent="0.15">
      <c r="A3046" s="1" t="s">
        <v>934</v>
      </c>
      <c r="B3046" s="1" t="s">
        <v>498</v>
      </c>
      <c r="D3046" s="1" t="s">
        <v>607</v>
      </c>
      <c r="E3046" s="1" t="s">
        <v>620</v>
      </c>
      <c r="F3046" s="3">
        <v>0</v>
      </c>
      <c r="G3046" s="24" t="s">
        <v>6158</v>
      </c>
      <c r="H3046" s="24" t="s">
        <v>6159</v>
      </c>
      <c r="I3046" s="24" t="s">
        <v>3265</v>
      </c>
      <c r="J3046" s="24" t="s">
        <v>2920</v>
      </c>
      <c r="K3046" s="3">
        <v>13</v>
      </c>
      <c r="L3046" s="3" t="s">
        <v>2932</v>
      </c>
      <c r="M3046" s="3" t="str">
        <f>HYPERLINK("http://ictvonline.org/taxonomyHistory.asp?taxnode_id=20153831","ICTVonline=20153831")</f>
        <v>ICTVonline=20153831</v>
      </c>
    </row>
    <row r="3047" spans="1:13" x14ac:dyDescent="0.15">
      <c r="A3047" s="1" t="s">
        <v>934</v>
      </c>
      <c r="B3047" s="1" t="s">
        <v>498</v>
      </c>
      <c r="D3047" s="1" t="s">
        <v>607</v>
      </c>
      <c r="E3047" s="1" t="s">
        <v>2870</v>
      </c>
      <c r="F3047" s="3">
        <v>0</v>
      </c>
      <c r="G3047" s="24" t="s">
        <v>3304</v>
      </c>
      <c r="H3047" s="24" t="s">
        <v>6160</v>
      </c>
      <c r="I3047" s="24" t="s">
        <v>3265</v>
      </c>
      <c r="J3047" s="24" t="s">
        <v>2919</v>
      </c>
      <c r="K3047" s="3">
        <v>29</v>
      </c>
      <c r="L3047" s="3" t="s">
        <v>7089</v>
      </c>
      <c r="M3047" s="3" t="str">
        <f>HYPERLINK("http://ictvonline.org/taxonomyHistory.asp?taxnode_id=20153832","ICTVonline=20153832")</f>
        <v>ICTVonline=20153832</v>
      </c>
    </row>
    <row r="3048" spans="1:13" x14ac:dyDescent="0.15">
      <c r="A3048" s="1" t="s">
        <v>934</v>
      </c>
      <c r="B3048" s="1" t="s">
        <v>498</v>
      </c>
      <c r="D3048" s="1" t="s">
        <v>607</v>
      </c>
      <c r="E3048" s="1" t="s">
        <v>621</v>
      </c>
      <c r="F3048" s="3">
        <v>0</v>
      </c>
      <c r="G3048" s="24" t="s">
        <v>6161</v>
      </c>
      <c r="H3048" s="24" t="s">
        <v>6162</v>
      </c>
      <c r="I3048" s="24" t="s">
        <v>3265</v>
      </c>
      <c r="J3048" s="24" t="s">
        <v>2920</v>
      </c>
      <c r="K3048" s="3">
        <v>13</v>
      </c>
      <c r="L3048" s="3" t="s">
        <v>2932</v>
      </c>
      <c r="M3048" s="3" t="str">
        <f>HYPERLINK("http://ictvonline.org/taxonomyHistory.asp?taxnode_id=20153833","ICTVonline=20153833")</f>
        <v>ICTVonline=20153833</v>
      </c>
    </row>
    <row r="3049" spans="1:13" x14ac:dyDescent="0.15">
      <c r="A3049" s="1" t="s">
        <v>934</v>
      </c>
      <c r="B3049" s="1" t="s">
        <v>498</v>
      </c>
      <c r="D3049" s="1" t="s">
        <v>607</v>
      </c>
      <c r="E3049" s="1" t="s">
        <v>2871</v>
      </c>
      <c r="F3049" s="3">
        <v>0</v>
      </c>
      <c r="G3049" s="24" t="s">
        <v>6163</v>
      </c>
      <c r="H3049" s="24" t="s">
        <v>6138</v>
      </c>
      <c r="I3049" s="24" t="s">
        <v>3265</v>
      </c>
      <c r="J3049" s="24" t="s">
        <v>2919</v>
      </c>
      <c r="K3049" s="3">
        <v>29</v>
      </c>
      <c r="L3049" s="3" t="s">
        <v>7089</v>
      </c>
      <c r="M3049" s="3" t="str">
        <f>HYPERLINK("http://ictvonline.org/taxonomyHistory.asp?taxnode_id=20153834","ICTVonline=20153834")</f>
        <v>ICTVonline=20153834</v>
      </c>
    </row>
    <row r="3050" spans="1:13" x14ac:dyDescent="0.15">
      <c r="A3050" s="1" t="s">
        <v>934</v>
      </c>
      <c r="B3050" s="1" t="s">
        <v>498</v>
      </c>
      <c r="D3050" s="1" t="s">
        <v>607</v>
      </c>
      <c r="E3050" s="1" t="s">
        <v>2872</v>
      </c>
      <c r="F3050" s="3">
        <v>0</v>
      </c>
      <c r="G3050" s="24" t="s">
        <v>6164</v>
      </c>
      <c r="H3050" s="24" t="s">
        <v>6165</v>
      </c>
      <c r="I3050" s="24" t="s">
        <v>3265</v>
      </c>
      <c r="J3050" s="24" t="s">
        <v>2919</v>
      </c>
      <c r="K3050" s="3">
        <v>29</v>
      </c>
      <c r="L3050" s="3" t="s">
        <v>7089</v>
      </c>
      <c r="M3050" s="3" t="str">
        <f>HYPERLINK("http://ictvonline.org/taxonomyHistory.asp?taxnode_id=20153835","ICTVonline=20153835")</f>
        <v>ICTVonline=20153835</v>
      </c>
    </row>
    <row r="3051" spans="1:13" x14ac:dyDescent="0.15">
      <c r="A3051" s="1" t="s">
        <v>934</v>
      </c>
      <c r="B3051" s="1" t="s">
        <v>498</v>
      </c>
      <c r="D3051" s="1" t="s">
        <v>607</v>
      </c>
      <c r="E3051" s="1" t="s">
        <v>2278</v>
      </c>
      <c r="F3051" s="3">
        <v>0</v>
      </c>
      <c r="G3051" s="24" t="s">
        <v>6166</v>
      </c>
      <c r="H3051" s="24" t="s">
        <v>6167</v>
      </c>
      <c r="I3051" s="24" t="s">
        <v>3265</v>
      </c>
      <c r="J3051" s="24" t="s">
        <v>2919</v>
      </c>
      <c r="K3051" s="3">
        <v>25</v>
      </c>
      <c r="L3051" s="3" t="s">
        <v>7088</v>
      </c>
      <c r="M3051" s="3" t="str">
        <f>HYPERLINK("http://ictvonline.org/taxonomyHistory.asp?taxnode_id=20153836","ICTVonline=20153836")</f>
        <v>ICTVonline=20153836</v>
      </c>
    </row>
    <row r="3052" spans="1:13" x14ac:dyDescent="0.15">
      <c r="A3052" s="1" t="s">
        <v>934</v>
      </c>
      <c r="B3052" s="1" t="s">
        <v>498</v>
      </c>
      <c r="D3052" s="1" t="s">
        <v>607</v>
      </c>
      <c r="E3052" s="1" t="s">
        <v>2253</v>
      </c>
      <c r="F3052" s="3">
        <v>0</v>
      </c>
      <c r="I3052" s="24" t="s">
        <v>3265</v>
      </c>
      <c r="J3052" s="24" t="s">
        <v>2919</v>
      </c>
      <c r="K3052" s="3">
        <v>25</v>
      </c>
      <c r="L3052" s="3" t="s">
        <v>7086</v>
      </c>
      <c r="M3052" s="3" t="str">
        <f>HYPERLINK("http://ictvonline.org/taxonomyHistory.asp?taxnode_id=20153837","ICTVonline=20153837")</f>
        <v>ICTVonline=20153837</v>
      </c>
    </row>
    <row r="3053" spans="1:13" x14ac:dyDescent="0.15">
      <c r="A3053" s="1" t="s">
        <v>934</v>
      </c>
      <c r="B3053" s="1" t="s">
        <v>498</v>
      </c>
      <c r="D3053" s="1" t="s">
        <v>607</v>
      </c>
      <c r="E3053" s="1" t="s">
        <v>1675</v>
      </c>
      <c r="F3053" s="3">
        <v>0</v>
      </c>
      <c r="I3053" s="24" t="s">
        <v>3265</v>
      </c>
      <c r="J3053" s="24" t="s">
        <v>2919</v>
      </c>
      <c r="K3053" s="3">
        <v>18</v>
      </c>
      <c r="L3053" s="3" t="s">
        <v>2929</v>
      </c>
      <c r="M3053" s="3" t="str">
        <f>HYPERLINK("http://ictvonline.org/taxonomyHistory.asp?taxnode_id=20153838","ICTVonline=20153838")</f>
        <v>ICTVonline=20153838</v>
      </c>
    </row>
    <row r="3054" spans="1:13" x14ac:dyDescent="0.15">
      <c r="A3054" s="1" t="s">
        <v>934</v>
      </c>
      <c r="B3054" s="1" t="s">
        <v>498</v>
      </c>
      <c r="D3054" s="1" t="s">
        <v>607</v>
      </c>
      <c r="E3054" s="1" t="s">
        <v>2873</v>
      </c>
      <c r="F3054" s="3">
        <v>0</v>
      </c>
      <c r="G3054" s="24" t="s">
        <v>3305</v>
      </c>
      <c r="H3054" s="24" t="s">
        <v>6168</v>
      </c>
      <c r="I3054" s="24" t="s">
        <v>3265</v>
      </c>
      <c r="J3054" s="24" t="s">
        <v>2919</v>
      </c>
      <c r="K3054" s="3">
        <v>29</v>
      </c>
      <c r="L3054" s="3" t="s">
        <v>7089</v>
      </c>
      <c r="M3054" s="3" t="str">
        <f>HYPERLINK("http://ictvonline.org/taxonomyHistory.asp?taxnode_id=20153839","ICTVonline=20153839")</f>
        <v>ICTVonline=20153839</v>
      </c>
    </row>
    <row r="3055" spans="1:13" x14ac:dyDescent="0.15">
      <c r="A3055" s="1" t="s">
        <v>934</v>
      </c>
      <c r="B3055" s="1" t="s">
        <v>498</v>
      </c>
      <c r="D3055" s="1" t="s">
        <v>607</v>
      </c>
      <c r="E3055" s="1" t="s">
        <v>2254</v>
      </c>
      <c r="F3055" s="3">
        <v>0</v>
      </c>
      <c r="G3055" s="24" t="s">
        <v>6169</v>
      </c>
      <c r="H3055" s="24" t="s">
        <v>5109</v>
      </c>
      <c r="I3055" s="24" t="s">
        <v>3265</v>
      </c>
      <c r="J3055" s="24" t="s">
        <v>2919</v>
      </c>
      <c r="K3055" s="3">
        <v>25</v>
      </c>
      <c r="L3055" s="3" t="s">
        <v>7086</v>
      </c>
      <c r="M3055" s="3" t="str">
        <f>HYPERLINK("http://ictvonline.org/taxonomyHistory.asp?taxnode_id=20153840","ICTVonline=20153840")</f>
        <v>ICTVonline=20153840</v>
      </c>
    </row>
    <row r="3056" spans="1:13" x14ac:dyDescent="0.15">
      <c r="A3056" s="1" t="s">
        <v>934</v>
      </c>
      <c r="B3056" s="1" t="s">
        <v>498</v>
      </c>
      <c r="D3056" s="1" t="s">
        <v>607</v>
      </c>
      <c r="E3056" s="1" t="s">
        <v>1676</v>
      </c>
      <c r="F3056" s="3">
        <v>0</v>
      </c>
      <c r="I3056" s="24" t="s">
        <v>3265</v>
      </c>
      <c r="J3056" s="24" t="s">
        <v>2920</v>
      </c>
      <c r="K3056" s="3">
        <v>13</v>
      </c>
      <c r="L3056" s="3" t="s">
        <v>2932</v>
      </c>
      <c r="M3056" s="3" t="str">
        <f>HYPERLINK("http://ictvonline.org/taxonomyHistory.asp?taxnode_id=20153841","ICTVonline=20153841")</f>
        <v>ICTVonline=20153841</v>
      </c>
    </row>
    <row r="3057" spans="1:13" x14ac:dyDescent="0.15">
      <c r="A3057" s="1" t="s">
        <v>934</v>
      </c>
      <c r="B3057" s="1" t="s">
        <v>498</v>
      </c>
      <c r="D3057" s="1" t="s">
        <v>607</v>
      </c>
      <c r="E3057" s="1" t="s">
        <v>1677</v>
      </c>
      <c r="F3057" s="3">
        <v>0</v>
      </c>
      <c r="G3057" s="24" t="s">
        <v>6170</v>
      </c>
      <c r="H3057" s="24" t="s">
        <v>6171</v>
      </c>
      <c r="I3057" s="24" t="s">
        <v>3265</v>
      </c>
      <c r="J3057" s="24" t="s">
        <v>2920</v>
      </c>
      <c r="K3057" s="3">
        <v>13</v>
      </c>
      <c r="L3057" s="3" t="s">
        <v>2932</v>
      </c>
      <c r="M3057" s="3" t="str">
        <f>HYPERLINK("http://ictvonline.org/taxonomyHistory.asp?taxnode_id=20153842","ICTVonline=20153842")</f>
        <v>ICTVonline=20153842</v>
      </c>
    </row>
    <row r="3058" spans="1:13" x14ac:dyDescent="0.15">
      <c r="A3058" s="1" t="s">
        <v>934</v>
      </c>
      <c r="B3058" s="1" t="s">
        <v>498</v>
      </c>
      <c r="D3058" s="1" t="s">
        <v>607</v>
      </c>
      <c r="E3058" s="1" t="s">
        <v>1678</v>
      </c>
      <c r="F3058" s="3">
        <v>0</v>
      </c>
      <c r="I3058" s="24" t="s">
        <v>3265</v>
      </c>
      <c r="J3058" s="24" t="s">
        <v>2919</v>
      </c>
      <c r="K3058" s="3">
        <v>22</v>
      </c>
      <c r="L3058" s="3" t="s">
        <v>7078</v>
      </c>
      <c r="M3058" s="3" t="str">
        <f>HYPERLINK("http://ictvonline.org/taxonomyHistory.asp?taxnode_id=20153843","ICTVonline=20153843")</f>
        <v>ICTVonline=20153843</v>
      </c>
    </row>
    <row r="3059" spans="1:13" x14ac:dyDescent="0.15">
      <c r="A3059" s="1" t="s">
        <v>934</v>
      </c>
      <c r="B3059" s="1" t="s">
        <v>498</v>
      </c>
      <c r="D3059" s="1" t="s">
        <v>607</v>
      </c>
      <c r="E3059" s="1" t="s">
        <v>6172</v>
      </c>
      <c r="F3059" s="3">
        <v>0</v>
      </c>
      <c r="G3059" s="24" t="s">
        <v>7744</v>
      </c>
      <c r="H3059" s="24" t="s">
        <v>6173</v>
      </c>
      <c r="I3059" s="24" t="s">
        <v>3265</v>
      </c>
      <c r="J3059" s="24" t="s">
        <v>2919</v>
      </c>
      <c r="K3059" s="3">
        <v>30</v>
      </c>
      <c r="L3059" s="3" t="s">
        <v>7083</v>
      </c>
      <c r="M3059" s="3" t="str">
        <f>HYPERLINK("http://ictvonline.org/taxonomyHistory.asp?taxnode_id=20153973","ICTVonline=20153973")</f>
        <v>ICTVonline=20153973</v>
      </c>
    </row>
    <row r="3060" spans="1:13" x14ac:dyDescent="0.15">
      <c r="A3060" s="1" t="s">
        <v>934</v>
      </c>
      <c r="B3060" s="1" t="s">
        <v>498</v>
      </c>
      <c r="D3060" s="1" t="s">
        <v>607</v>
      </c>
      <c r="E3060" s="1" t="s">
        <v>1679</v>
      </c>
      <c r="F3060" s="3">
        <v>0</v>
      </c>
      <c r="G3060" s="24" t="s">
        <v>6174</v>
      </c>
      <c r="H3060" s="24" t="s">
        <v>5496</v>
      </c>
      <c r="I3060" s="24" t="s">
        <v>3265</v>
      </c>
      <c r="J3060" s="24" t="s">
        <v>2920</v>
      </c>
      <c r="K3060" s="3">
        <v>13</v>
      </c>
      <c r="L3060" s="3" t="s">
        <v>2932</v>
      </c>
      <c r="M3060" s="3" t="str">
        <f>HYPERLINK("http://ictvonline.org/taxonomyHistory.asp?taxnode_id=20153844","ICTVonline=20153844")</f>
        <v>ICTVonline=20153844</v>
      </c>
    </row>
    <row r="3061" spans="1:13" x14ac:dyDescent="0.15">
      <c r="A3061" s="1" t="s">
        <v>934</v>
      </c>
      <c r="B3061" s="1" t="s">
        <v>498</v>
      </c>
      <c r="D3061" s="1" t="s">
        <v>607</v>
      </c>
      <c r="E3061" s="1" t="s">
        <v>1680</v>
      </c>
      <c r="F3061" s="3">
        <v>0</v>
      </c>
      <c r="I3061" s="24" t="s">
        <v>3265</v>
      </c>
      <c r="J3061" s="24" t="s">
        <v>2919</v>
      </c>
      <c r="K3061" s="3">
        <v>18</v>
      </c>
      <c r="L3061" s="3" t="s">
        <v>2929</v>
      </c>
      <c r="M3061" s="3" t="str">
        <f>HYPERLINK("http://ictvonline.org/taxonomyHistory.asp?taxnode_id=20153845","ICTVonline=20153845")</f>
        <v>ICTVonline=20153845</v>
      </c>
    </row>
    <row r="3062" spans="1:13" x14ac:dyDescent="0.15">
      <c r="A3062" s="1" t="s">
        <v>934</v>
      </c>
      <c r="B3062" s="1" t="s">
        <v>498</v>
      </c>
      <c r="D3062" s="1" t="s">
        <v>607</v>
      </c>
      <c r="E3062" s="1" t="s">
        <v>2279</v>
      </c>
      <c r="F3062" s="3">
        <v>0</v>
      </c>
      <c r="G3062" s="24" t="s">
        <v>6175</v>
      </c>
      <c r="H3062" s="24" t="s">
        <v>6176</v>
      </c>
      <c r="I3062" s="24" t="s">
        <v>3265</v>
      </c>
      <c r="J3062" s="24" t="s">
        <v>2919</v>
      </c>
      <c r="K3062" s="3">
        <v>25</v>
      </c>
      <c r="L3062" s="3" t="s">
        <v>7088</v>
      </c>
      <c r="M3062" s="3" t="str">
        <f>HYPERLINK("http://ictvonline.org/taxonomyHistory.asp?taxnode_id=20153846","ICTVonline=20153846")</f>
        <v>ICTVonline=20153846</v>
      </c>
    </row>
    <row r="3063" spans="1:13" x14ac:dyDescent="0.15">
      <c r="A3063" s="1" t="s">
        <v>934</v>
      </c>
      <c r="B3063" s="1" t="s">
        <v>498</v>
      </c>
      <c r="D3063" s="1" t="s">
        <v>607</v>
      </c>
      <c r="E3063" s="1" t="s">
        <v>1681</v>
      </c>
      <c r="F3063" s="3">
        <v>0</v>
      </c>
      <c r="G3063" s="24" t="s">
        <v>6177</v>
      </c>
      <c r="H3063" s="24" t="s">
        <v>6178</v>
      </c>
      <c r="I3063" s="24" t="s">
        <v>3265</v>
      </c>
      <c r="J3063" s="24" t="s">
        <v>2919</v>
      </c>
      <c r="K3063" s="3">
        <v>14</v>
      </c>
      <c r="L3063" s="3" t="s">
        <v>2930</v>
      </c>
      <c r="M3063" s="3" t="str">
        <f>HYPERLINK("http://ictvonline.org/taxonomyHistory.asp?taxnode_id=20153847","ICTVonline=20153847")</f>
        <v>ICTVonline=20153847</v>
      </c>
    </row>
    <row r="3064" spans="1:13" x14ac:dyDescent="0.15">
      <c r="A3064" s="1" t="s">
        <v>934</v>
      </c>
      <c r="B3064" s="1" t="s">
        <v>498</v>
      </c>
      <c r="D3064" s="1" t="s">
        <v>607</v>
      </c>
      <c r="E3064" s="1" t="s">
        <v>1682</v>
      </c>
      <c r="F3064" s="3">
        <v>0</v>
      </c>
      <c r="I3064" s="24" t="s">
        <v>3265</v>
      </c>
      <c r="J3064" s="24" t="s">
        <v>2919</v>
      </c>
      <c r="K3064" s="3">
        <v>24</v>
      </c>
      <c r="L3064" s="3" t="s">
        <v>7087</v>
      </c>
      <c r="M3064" s="3" t="str">
        <f>HYPERLINK("http://ictvonline.org/taxonomyHistory.asp?taxnode_id=20153848","ICTVonline=20153848")</f>
        <v>ICTVonline=20153848</v>
      </c>
    </row>
    <row r="3065" spans="1:13" x14ac:dyDescent="0.15">
      <c r="A3065" s="1" t="s">
        <v>934</v>
      </c>
      <c r="B3065" s="1" t="s">
        <v>498</v>
      </c>
      <c r="D3065" s="1" t="s">
        <v>607</v>
      </c>
      <c r="E3065" s="1" t="s">
        <v>1683</v>
      </c>
      <c r="F3065" s="3">
        <v>0</v>
      </c>
      <c r="I3065" s="24" t="s">
        <v>3265</v>
      </c>
      <c r="J3065" s="24" t="s">
        <v>2919</v>
      </c>
      <c r="K3065" s="3">
        <v>22</v>
      </c>
      <c r="L3065" s="3" t="s">
        <v>7078</v>
      </c>
      <c r="M3065" s="3" t="str">
        <f>HYPERLINK("http://ictvonline.org/taxonomyHistory.asp?taxnode_id=20153849","ICTVonline=20153849")</f>
        <v>ICTVonline=20153849</v>
      </c>
    </row>
    <row r="3066" spans="1:13" x14ac:dyDescent="0.15">
      <c r="A3066" s="1" t="s">
        <v>934</v>
      </c>
      <c r="B3066" s="1" t="s">
        <v>498</v>
      </c>
      <c r="D3066" s="1" t="s">
        <v>607</v>
      </c>
      <c r="E3066" s="1" t="s">
        <v>1684</v>
      </c>
      <c r="F3066" s="3">
        <v>0</v>
      </c>
      <c r="G3066" s="24" t="s">
        <v>6179</v>
      </c>
      <c r="H3066" s="24" t="s">
        <v>6740</v>
      </c>
      <c r="I3066" s="24" t="s">
        <v>3265</v>
      </c>
      <c r="J3066" s="24" t="s">
        <v>2931</v>
      </c>
      <c r="K3066" s="3">
        <v>14</v>
      </c>
      <c r="L3066" s="3" t="s">
        <v>2930</v>
      </c>
      <c r="M3066" s="3" t="str">
        <f>HYPERLINK("http://ictvonline.org/taxonomyHistory.asp?taxnode_id=20153850","ICTVonline=20153850")</f>
        <v>ICTVonline=20153850</v>
      </c>
    </row>
    <row r="3067" spans="1:13" x14ac:dyDescent="0.15">
      <c r="A3067" s="1" t="s">
        <v>934</v>
      </c>
      <c r="B3067" s="1" t="s">
        <v>498</v>
      </c>
      <c r="D3067" s="1" t="s">
        <v>607</v>
      </c>
      <c r="E3067" s="1" t="s">
        <v>2231</v>
      </c>
      <c r="F3067" s="3">
        <v>0</v>
      </c>
      <c r="G3067" s="24" t="s">
        <v>6180</v>
      </c>
      <c r="H3067" s="24" t="s">
        <v>6181</v>
      </c>
      <c r="I3067" s="24" t="s">
        <v>3265</v>
      </c>
      <c r="J3067" s="24" t="s">
        <v>2920</v>
      </c>
      <c r="K3067" s="3">
        <v>13</v>
      </c>
      <c r="L3067" s="3" t="s">
        <v>2932</v>
      </c>
      <c r="M3067" s="3" t="str">
        <f>HYPERLINK("http://ictvonline.org/taxonomyHistory.asp?taxnode_id=20153851","ICTVonline=20153851")</f>
        <v>ICTVonline=20153851</v>
      </c>
    </row>
    <row r="3068" spans="1:13" x14ac:dyDescent="0.15">
      <c r="A3068" s="1" t="s">
        <v>934</v>
      </c>
      <c r="B3068" s="1" t="s">
        <v>498</v>
      </c>
      <c r="D3068" s="1" t="s">
        <v>607</v>
      </c>
      <c r="E3068" s="1" t="s">
        <v>2232</v>
      </c>
      <c r="F3068" s="3">
        <v>0</v>
      </c>
      <c r="G3068" s="24" t="s">
        <v>6182</v>
      </c>
      <c r="H3068" s="24" t="s">
        <v>5109</v>
      </c>
      <c r="I3068" s="24" t="s">
        <v>3265</v>
      </c>
      <c r="J3068" s="24" t="s">
        <v>2920</v>
      </c>
      <c r="K3068" s="3">
        <v>13</v>
      </c>
      <c r="L3068" s="3" t="s">
        <v>2932</v>
      </c>
      <c r="M3068" s="3" t="str">
        <f>HYPERLINK("http://ictvonline.org/taxonomyHistory.asp?taxnode_id=20153852","ICTVonline=20153852")</f>
        <v>ICTVonline=20153852</v>
      </c>
    </row>
    <row r="3069" spans="1:13" x14ac:dyDescent="0.15">
      <c r="A3069" s="1" t="s">
        <v>934</v>
      </c>
      <c r="B3069" s="1" t="s">
        <v>498</v>
      </c>
      <c r="D3069" s="1" t="s">
        <v>607</v>
      </c>
      <c r="E3069" s="1" t="s">
        <v>2233</v>
      </c>
      <c r="F3069" s="3">
        <v>0</v>
      </c>
      <c r="I3069" s="24" t="s">
        <v>3265</v>
      </c>
      <c r="J3069" s="24" t="s">
        <v>2920</v>
      </c>
      <c r="K3069" s="3">
        <v>13</v>
      </c>
      <c r="L3069" s="3" t="s">
        <v>2932</v>
      </c>
      <c r="M3069" s="3" t="str">
        <f>HYPERLINK("http://ictvonline.org/taxonomyHistory.asp?taxnode_id=20153853","ICTVonline=20153853")</f>
        <v>ICTVonline=20153853</v>
      </c>
    </row>
    <row r="3070" spans="1:13" x14ac:dyDescent="0.15">
      <c r="A3070" s="1" t="s">
        <v>934</v>
      </c>
      <c r="B3070" s="1" t="s">
        <v>498</v>
      </c>
      <c r="D3070" s="1" t="s">
        <v>607</v>
      </c>
      <c r="E3070" s="1" t="s">
        <v>2234</v>
      </c>
      <c r="F3070" s="3">
        <v>0</v>
      </c>
      <c r="G3070" s="24" t="s">
        <v>6183</v>
      </c>
      <c r="H3070" s="24" t="s">
        <v>6184</v>
      </c>
      <c r="I3070" s="24" t="s">
        <v>3265</v>
      </c>
      <c r="J3070" s="24" t="s">
        <v>2920</v>
      </c>
      <c r="K3070" s="3">
        <v>13</v>
      </c>
      <c r="L3070" s="3" t="s">
        <v>2932</v>
      </c>
      <c r="M3070" s="3" t="str">
        <f>HYPERLINK("http://ictvonline.org/taxonomyHistory.asp?taxnode_id=20153854","ICTVonline=20153854")</f>
        <v>ICTVonline=20153854</v>
      </c>
    </row>
    <row r="3071" spans="1:13" x14ac:dyDescent="0.15">
      <c r="A3071" s="1" t="s">
        <v>934</v>
      </c>
      <c r="B3071" s="1" t="s">
        <v>498</v>
      </c>
      <c r="D3071" s="1" t="s">
        <v>607</v>
      </c>
      <c r="E3071" s="1" t="s">
        <v>2235</v>
      </c>
      <c r="F3071" s="3">
        <v>0</v>
      </c>
      <c r="I3071" s="24" t="s">
        <v>3265</v>
      </c>
      <c r="J3071" s="24" t="s">
        <v>2920</v>
      </c>
      <c r="K3071" s="3">
        <v>13</v>
      </c>
      <c r="L3071" s="3" t="s">
        <v>2932</v>
      </c>
      <c r="M3071" s="3" t="str">
        <f>HYPERLINK("http://ictvonline.org/taxonomyHistory.asp?taxnode_id=20153855","ICTVonline=20153855")</f>
        <v>ICTVonline=20153855</v>
      </c>
    </row>
    <row r="3072" spans="1:13" x14ac:dyDescent="0.15">
      <c r="A3072" s="1" t="s">
        <v>934</v>
      </c>
      <c r="B3072" s="1" t="s">
        <v>498</v>
      </c>
      <c r="D3072" s="1" t="s">
        <v>607</v>
      </c>
      <c r="E3072" s="1" t="s">
        <v>2236</v>
      </c>
      <c r="F3072" s="3">
        <v>0</v>
      </c>
      <c r="I3072" s="24" t="s">
        <v>3265</v>
      </c>
      <c r="J3072" s="24" t="s">
        <v>2919</v>
      </c>
      <c r="K3072" s="3">
        <v>22</v>
      </c>
      <c r="L3072" s="3" t="s">
        <v>7078</v>
      </c>
      <c r="M3072" s="3" t="str">
        <f>HYPERLINK("http://ictvonline.org/taxonomyHistory.asp?taxnode_id=20153856","ICTVonline=20153856")</f>
        <v>ICTVonline=20153856</v>
      </c>
    </row>
    <row r="3073" spans="1:13" x14ac:dyDescent="0.15">
      <c r="A3073" s="1" t="s">
        <v>934</v>
      </c>
      <c r="B3073" s="1" t="s">
        <v>498</v>
      </c>
      <c r="D3073" s="1" t="s">
        <v>607</v>
      </c>
      <c r="E3073" s="1" t="s">
        <v>2874</v>
      </c>
      <c r="F3073" s="3">
        <v>0</v>
      </c>
      <c r="G3073" s="24" t="s">
        <v>3306</v>
      </c>
      <c r="H3073" s="24" t="s">
        <v>6185</v>
      </c>
      <c r="I3073" s="24" t="s">
        <v>3265</v>
      </c>
      <c r="J3073" s="24" t="s">
        <v>2919</v>
      </c>
      <c r="K3073" s="3">
        <v>29</v>
      </c>
      <c r="L3073" s="3" t="s">
        <v>7089</v>
      </c>
      <c r="M3073" s="3" t="str">
        <f>HYPERLINK("http://ictvonline.org/taxonomyHistory.asp?taxnode_id=20153857","ICTVonline=20153857")</f>
        <v>ICTVonline=20153857</v>
      </c>
    </row>
    <row r="3074" spans="1:13" x14ac:dyDescent="0.15">
      <c r="A3074" s="1" t="s">
        <v>934</v>
      </c>
      <c r="B3074" s="1" t="s">
        <v>498</v>
      </c>
      <c r="D3074" s="1" t="s">
        <v>607</v>
      </c>
      <c r="E3074" s="1" t="s">
        <v>2237</v>
      </c>
      <c r="F3074" s="3">
        <v>0</v>
      </c>
      <c r="G3074" s="24" t="s">
        <v>6186</v>
      </c>
      <c r="H3074" s="24" t="s">
        <v>6187</v>
      </c>
      <c r="I3074" s="24" t="s">
        <v>3265</v>
      </c>
      <c r="J3074" s="24" t="s">
        <v>2919</v>
      </c>
      <c r="K3074" s="3">
        <v>24</v>
      </c>
      <c r="L3074" s="3" t="s">
        <v>7087</v>
      </c>
      <c r="M3074" s="3" t="str">
        <f>HYPERLINK("http://ictvonline.org/taxonomyHistory.asp?taxnode_id=20153858","ICTVonline=20153858")</f>
        <v>ICTVonline=20153858</v>
      </c>
    </row>
    <row r="3075" spans="1:13" x14ac:dyDescent="0.15">
      <c r="A3075" s="1" t="s">
        <v>934</v>
      </c>
      <c r="B3075" s="1" t="s">
        <v>498</v>
      </c>
      <c r="D3075" s="1" t="s">
        <v>607</v>
      </c>
      <c r="E3075" s="1" t="s">
        <v>2238</v>
      </c>
      <c r="F3075" s="3">
        <v>0</v>
      </c>
      <c r="G3075" s="24" t="s">
        <v>6188</v>
      </c>
      <c r="H3075" s="24" t="s">
        <v>6189</v>
      </c>
      <c r="I3075" s="24" t="s">
        <v>3265</v>
      </c>
      <c r="J3075" s="24" t="s">
        <v>2920</v>
      </c>
      <c r="K3075" s="3">
        <v>13</v>
      </c>
      <c r="L3075" s="3" t="s">
        <v>2932</v>
      </c>
      <c r="M3075" s="3" t="str">
        <f>HYPERLINK("http://ictvonline.org/taxonomyHistory.asp?taxnode_id=20153859","ICTVonline=20153859")</f>
        <v>ICTVonline=20153859</v>
      </c>
    </row>
    <row r="3076" spans="1:13" x14ac:dyDescent="0.15">
      <c r="A3076" s="1" t="s">
        <v>934</v>
      </c>
      <c r="B3076" s="1" t="s">
        <v>498</v>
      </c>
      <c r="D3076" s="1" t="s">
        <v>607</v>
      </c>
      <c r="E3076" s="1" t="s">
        <v>2239</v>
      </c>
      <c r="F3076" s="3">
        <v>0</v>
      </c>
      <c r="I3076" s="24" t="s">
        <v>3265</v>
      </c>
      <c r="J3076" s="24" t="s">
        <v>2920</v>
      </c>
      <c r="K3076" s="3">
        <v>13</v>
      </c>
      <c r="L3076" s="3" t="s">
        <v>2932</v>
      </c>
      <c r="M3076" s="3" t="str">
        <f>HYPERLINK("http://ictvonline.org/taxonomyHistory.asp?taxnode_id=20153860","ICTVonline=20153860")</f>
        <v>ICTVonline=20153860</v>
      </c>
    </row>
    <row r="3077" spans="1:13" x14ac:dyDescent="0.15">
      <c r="A3077" s="1" t="s">
        <v>934</v>
      </c>
      <c r="B3077" s="1" t="s">
        <v>498</v>
      </c>
      <c r="D3077" s="1" t="s">
        <v>607</v>
      </c>
      <c r="E3077" s="1" t="s">
        <v>2240</v>
      </c>
      <c r="F3077" s="3">
        <v>0</v>
      </c>
      <c r="I3077" s="24" t="s">
        <v>3265</v>
      </c>
      <c r="J3077" s="24" t="s">
        <v>2919</v>
      </c>
      <c r="K3077" s="3">
        <v>22</v>
      </c>
      <c r="L3077" s="3" t="s">
        <v>7078</v>
      </c>
      <c r="M3077" s="3" t="str">
        <f>HYPERLINK("http://ictvonline.org/taxonomyHistory.asp?taxnode_id=20153861","ICTVonline=20153861")</f>
        <v>ICTVonline=20153861</v>
      </c>
    </row>
    <row r="3078" spans="1:13" x14ac:dyDescent="0.15">
      <c r="A3078" s="1" t="s">
        <v>934</v>
      </c>
      <c r="B3078" s="1" t="s">
        <v>498</v>
      </c>
      <c r="D3078" s="1" t="s">
        <v>607</v>
      </c>
      <c r="E3078" s="1" t="s">
        <v>6190</v>
      </c>
      <c r="F3078" s="3">
        <v>0</v>
      </c>
      <c r="G3078" s="24" t="s">
        <v>7745</v>
      </c>
      <c r="H3078" s="24" t="s">
        <v>7746</v>
      </c>
      <c r="I3078" s="24" t="s">
        <v>3265</v>
      </c>
      <c r="J3078" s="24" t="s">
        <v>2919</v>
      </c>
      <c r="K3078" s="3">
        <v>30</v>
      </c>
      <c r="L3078" s="3" t="s">
        <v>7083</v>
      </c>
      <c r="M3078" s="3" t="str">
        <f>HYPERLINK("http://ictvonline.org/taxonomyHistory.asp?taxnode_id=20153974","ICTVonline=20153974")</f>
        <v>ICTVonline=20153974</v>
      </c>
    </row>
    <row r="3079" spans="1:13" x14ac:dyDescent="0.15">
      <c r="A3079" s="1" t="s">
        <v>934</v>
      </c>
      <c r="B3079" s="1" t="s">
        <v>498</v>
      </c>
      <c r="D3079" s="1" t="s">
        <v>607</v>
      </c>
      <c r="E3079" s="1" t="s">
        <v>2241</v>
      </c>
      <c r="F3079" s="3">
        <v>0</v>
      </c>
      <c r="G3079" s="24" t="s">
        <v>6191</v>
      </c>
      <c r="H3079" s="24" t="s">
        <v>6192</v>
      </c>
      <c r="I3079" s="24" t="s">
        <v>3265</v>
      </c>
      <c r="J3079" s="24" t="s">
        <v>2919</v>
      </c>
      <c r="K3079" s="3">
        <v>24</v>
      </c>
      <c r="L3079" s="3" t="s">
        <v>7087</v>
      </c>
      <c r="M3079" s="3" t="str">
        <f>HYPERLINK("http://ictvonline.org/taxonomyHistory.asp?taxnode_id=20153862","ICTVonline=20153862")</f>
        <v>ICTVonline=20153862</v>
      </c>
    </row>
    <row r="3080" spans="1:13" x14ac:dyDescent="0.15">
      <c r="A3080" s="1" t="s">
        <v>934</v>
      </c>
      <c r="B3080" s="1" t="s">
        <v>498</v>
      </c>
      <c r="D3080" s="1" t="s">
        <v>607</v>
      </c>
      <c r="E3080" s="1" t="s">
        <v>2242</v>
      </c>
      <c r="F3080" s="3">
        <v>0</v>
      </c>
      <c r="I3080" s="24" t="s">
        <v>3265</v>
      </c>
      <c r="J3080" s="24" t="s">
        <v>2919</v>
      </c>
      <c r="K3080" s="3">
        <v>18</v>
      </c>
      <c r="L3080" s="3" t="s">
        <v>2929</v>
      </c>
      <c r="M3080" s="3" t="str">
        <f>HYPERLINK("http://ictvonline.org/taxonomyHistory.asp?taxnode_id=20153863","ICTVonline=20153863")</f>
        <v>ICTVonline=20153863</v>
      </c>
    </row>
    <row r="3081" spans="1:13" x14ac:dyDescent="0.15">
      <c r="A3081" s="1" t="s">
        <v>934</v>
      </c>
      <c r="B3081" s="1" t="s">
        <v>498</v>
      </c>
      <c r="D3081" s="1" t="s">
        <v>607</v>
      </c>
      <c r="E3081" s="1" t="s">
        <v>2243</v>
      </c>
      <c r="F3081" s="3">
        <v>0</v>
      </c>
      <c r="I3081" s="24" t="s">
        <v>3265</v>
      </c>
      <c r="J3081" s="24" t="s">
        <v>2919</v>
      </c>
      <c r="K3081" s="3">
        <v>24</v>
      </c>
      <c r="L3081" s="3" t="s">
        <v>7087</v>
      </c>
      <c r="M3081" s="3" t="str">
        <f>HYPERLINK("http://ictvonline.org/taxonomyHistory.asp?taxnode_id=20153864","ICTVonline=20153864")</f>
        <v>ICTVonline=20153864</v>
      </c>
    </row>
    <row r="3082" spans="1:13" x14ac:dyDescent="0.15">
      <c r="A3082" s="1" t="s">
        <v>934</v>
      </c>
      <c r="B3082" s="1" t="s">
        <v>498</v>
      </c>
      <c r="D3082" s="1" t="s">
        <v>607</v>
      </c>
      <c r="E3082" s="1" t="s">
        <v>2244</v>
      </c>
      <c r="F3082" s="3">
        <v>0</v>
      </c>
      <c r="G3082" s="24" t="s">
        <v>6193</v>
      </c>
      <c r="H3082" s="24" t="s">
        <v>4886</v>
      </c>
      <c r="I3082" s="24" t="s">
        <v>3265</v>
      </c>
      <c r="J3082" s="24" t="s">
        <v>2931</v>
      </c>
      <c r="K3082" s="3">
        <v>25</v>
      </c>
      <c r="L3082" s="3" t="s">
        <v>7090</v>
      </c>
      <c r="M3082" s="3" t="str">
        <f>HYPERLINK("http://ictvonline.org/taxonomyHistory.asp?taxnode_id=20153865","ICTVonline=20153865")</f>
        <v>ICTVonline=20153865</v>
      </c>
    </row>
    <row r="3083" spans="1:13" x14ac:dyDescent="0.15">
      <c r="A3083" s="1" t="s">
        <v>934</v>
      </c>
      <c r="B3083" s="1" t="s">
        <v>498</v>
      </c>
      <c r="D3083" s="1" t="s">
        <v>607</v>
      </c>
      <c r="E3083" s="1" t="s">
        <v>2245</v>
      </c>
      <c r="F3083" s="3">
        <v>0</v>
      </c>
      <c r="G3083" s="24" t="s">
        <v>6194</v>
      </c>
      <c r="H3083" s="24" t="s">
        <v>6195</v>
      </c>
      <c r="I3083" s="24" t="s">
        <v>3265</v>
      </c>
      <c r="J3083" s="24" t="s">
        <v>2919</v>
      </c>
      <c r="K3083" s="3">
        <v>24</v>
      </c>
      <c r="L3083" s="3" t="s">
        <v>7087</v>
      </c>
      <c r="M3083" s="3" t="str">
        <f>HYPERLINK("http://ictvonline.org/taxonomyHistory.asp?taxnode_id=20153866","ICTVonline=20153866")</f>
        <v>ICTVonline=20153866</v>
      </c>
    </row>
    <row r="3084" spans="1:13" x14ac:dyDescent="0.15">
      <c r="A3084" s="1" t="s">
        <v>934</v>
      </c>
      <c r="B3084" s="1" t="s">
        <v>498</v>
      </c>
      <c r="D3084" s="1" t="s">
        <v>607</v>
      </c>
      <c r="E3084" s="1" t="s">
        <v>2246</v>
      </c>
      <c r="F3084" s="3">
        <v>0</v>
      </c>
      <c r="G3084" s="24" t="s">
        <v>6196</v>
      </c>
      <c r="H3084" s="24" t="s">
        <v>6197</v>
      </c>
      <c r="I3084" s="24" t="s">
        <v>3265</v>
      </c>
      <c r="J3084" s="24" t="s">
        <v>2920</v>
      </c>
      <c r="K3084" s="3">
        <v>13</v>
      </c>
      <c r="L3084" s="3" t="s">
        <v>2932</v>
      </c>
      <c r="M3084" s="3" t="str">
        <f>HYPERLINK("http://ictvonline.org/taxonomyHistory.asp?taxnode_id=20153867","ICTVonline=20153867")</f>
        <v>ICTVonline=20153867</v>
      </c>
    </row>
    <row r="3085" spans="1:13" x14ac:dyDescent="0.15">
      <c r="A3085" s="1" t="s">
        <v>934</v>
      </c>
      <c r="B3085" s="1" t="s">
        <v>498</v>
      </c>
      <c r="D3085" s="1" t="s">
        <v>607</v>
      </c>
      <c r="E3085" s="1" t="s">
        <v>2247</v>
      </c>
      <c r="F3085" s="3">
        <v>0</v>
      </c>
      <c r="I3085" s="24" t="s">
        <v>3265</v>
      </c>
      <c r="J3085" s="24" t="s">
        <v>2920</v>
      </c>
      <c r="K3085" s="3">
        <v>13</v>
      </c>
      <c r="L3085" s="3" t="s">
        <v>2932</v>
      </c>
      <c r="M3085" s="3" t="str">
        <f>HYPERLINK("http://ictvonline.org/taxonomyHistory.asp?taxnode_id=20153868","ICTVonline=20153868")</f>
        <v>ICTVonline=20153868</v>
      </c>
    </row>
    <row r="3086" spans="1:13" x14ac:dyDescent="0.15">
      <c r="A3086" s="1" t="s">
        <v>934</v>
      </c>
      <c r="B3086" s="1" t="s">
        <v>498</v>
      </c>
      <c r="D3086" s="1" t="s">
        <v>607</v>
      </c>
      <c r="E3086" s="1" t="s">
        <v>2248</v>
      </c>
      <c r="F3086" s="3">
        <v>0</v>
      </c>
      <c r="I3086" s="24" t="s">
        <v>3265</v>
      </c>
      <c r="J3086" s="24" t="s">
        <v>2920</v>
      </c>
      <c r="K3086" s="3">
        <v>13</v>
      </c>
      <c r="L3086" s="3" t="s">
        <v>2932</v>
      </c>
      <c r="M3086" s="3" t="str">
        <f>HYPERLINK("http://ictvonline.org/taxonomyHistory.asp?taxnode_id=20153869","ICTVonline=20153869")</f>
        <v>ICTVonline=20153869</v>
      </c>
    </row>
    <row r="3087" spans="1:13" x14ac:dyDescent="0.15">
      <c r="A3087" s="1" t="s">
        <v>934</v>
      </c>
      <c r="B3087" s="1" t="s">
        <v>498</v>
      </c>
      <c r="D3087" s="1" t="s">
        <v>607</v>
      </c>
      <c r="E3087" s="1" t="s">
        <v>2875</v>
      </c>
      <c r="F3087" s="3">
        <v>0</v>
      </c>
      <c r="G3087" s="24" t="s">
        <v>3307</v>
      </c>
      <c r="H3087" s="24" t="s">
        <v>6198</v>
      </c>
      <c r="I3087" s="24" t="s">
        <v>3265</v>
      </c>
      <c r="J3087" s="24" t="s">
        <v>2919</v>
      </c>
      <c r="K3087" s="3">
        <v>29</v>
      </c>
      <c r="L3087" s="3" t="s">
        <v>7089</v>
      </c>
      <c r="M3087" s="3" t="str">
        <f>HYPERLINK("http://ictvonline.org/taxonomyHistory.asp?taxnode_id=20153870","ICTVonline=20153870")</f>
        <v>ICTVonline=20153870</v>
      </c>
    </row>
    <row r="3088" spans="1:13" x14ac:dyDescent="0.15">
      <c r="A3088" s="1" t="s">
        <v>934</v>
      </c>
      <c r="B3088" s="1" t="s">
        <v>498</v>
      </c>
      <c r="D3088" s="1" t="s">
        <v>607</v>
      </c>
      <c r="E3088" s="1" t="s">
        <v>2255</v>
      </c>
      <c r="F3088" s="3">
        <v>0</v>
      </c>
      <c r="G3088" s="24" t="s">
        <v>6199</v>
      </c>
      <c r="H3088" s="24" t="s">
        <v>7747</v>
      </c>
      <c r="I3088" s="24" t="s">
        <v>3265</v>
      </c>
      <c r="J3088" s="24" t="s">
        <v>2919</v>
      </c>
      <c r="K3088" s="3">
        <v>25</v>
      </c>
      <c r="L3088" s="3" t="s">
        <v>7086</v>
      </c>
      <c r="M3088" s="3" t="str">
        <f>HYPERLINK("http://ictvonline.org/taxonomyHistory.asp?taxnode_id=20153871","ICTVonline=20153871")</f>
        <v>ICTVonline=20153871</v>
      </c>
    </row>
    <row r="3089" spans="1:13" x14ac:dyDescent="0.15">
      <c r="A3089" s="1" t="s">
        <v>934</v>
      </c>
      <c r="B3089" s="1" t="s">
        <v>498</v>
      </c>
      <c r="D3089" s="1" t="s">
        <v>607</v>
      </c>
      <c r="E3089" s="1" t="s">
        <v>2249</v>
      </c>
      <c r="F3089" s="3">
        <v>0</v>
      </c>
      <c r="I3089" s="24" t="s">
        <v>3265</v>
      </c>
      <c r="J3089" s="24" t="s">
        <v>2920</v>
      </c>
      <c r="K3089" s="3">
        <v>13</v>
      </c>
      <c r="L3089" s="3" t="s">
        <v>2932</v>
      </c>
      <c r="M3089" s="3" t="str">
        <f>HYPERLINK("http://ictvonline.org/taxonomyHistory.asp?taxnode_id=20153872","ICTVonline=20153872")</f>
        <v>ICTVonline=20153872</v>
      </c>
    </row>
    <row r="3090" spans="1:13" x14ac:dyDescent="0.15">
      <c r="A3090" s="1" t="s">
        <v>934</v>
      </c>
      <c r="B3090" s="1" t="s">
        <v>498</v>
      </c>
      <c r="D3090" s="1" t="s">
        <v>607</v>
      </c>
      <c r="E3090" s="1" t="s">
        <v>547</v>
      </c>
      <c r="F3090" s="3">
        <v>0</v>
      </c>
      <c r="I3090" s="24" t="s">
        <v>3265</v>
      </c>
      <c r="J3090" s="24" t="s">
        <v>2920</v>
      </c>
      <c r="K3090" s="3">
        <v>13</v>
      </c>
      <c r="L3090" s="3" t="s">
        <v>2932</v>
      </c>
      <c r="M3090" s="3" t="str">
        <f>HYPERLINK("http://ictvonline.org/taxonomyHistory.asp?taxnode_id=20153873","ICTVonline=20153873")</f>
        <v>ICTVonline=20153873</v>
      </c>
    </row>
    <row r="3091" spans="1:13" x14ac:dyDescent="0.15">
      <c r="A3091" s="1" t="s">
        <v>934</v>
      </c>
      <c r="B3091" s="1" t="s">
        <v>498</v>
      </c>
      <c r="D3091" s="1" t="s">
        <v>607</v>
      </c>
      <c r="E3091" s="1" t="s">
        <v>548</v>
      </c>
      <c r="F3091" s="3">
        <v>0</v>
      </c>
      <c r="I3091" s="24" t="s">
        <v>3265</v>
      </c>
      <c r="J3091" s="24" t="s">
        <v>2919</v>
      </c>
      <c r="K3091" s="3">
        <v>23</v>
      </c>
      <c r="L3091" s="3" t="s">
        <v>2933</v>
      </c>
      <c r="M3091" s="3" t="str">
        <f>HYPERLINK("http://ictvonline.org/taxonomyHistory.asp?taxnode_id=20153874","ICTVonline=20153874")</f>
        <v>ICTVonline=20153874</v>
      </c>
    </row>
    <row r="3092" spans="1:13" x14ac:dyDescent="0.15">
      <c r="A3092" s="1" t="s">
        <v>934</v>
      </c>
      <c r="B3092" s="1" t="s">
        <v>498</v>
      </c>
      <c r="D3092" s="1" t="s">
        <v>607</v>
      </c>
      <c r="E3092" s="1" t="s">
        <v>549</v>
      </c>
      <c r="F3092" s="3">
        <v>0</v>
      </c>
      <c r="G3092" s="24" t="s">
        <v>6200</v>
      </c>
      <c r="H3092" s="24" t="s">
        <v>6201</v>
      </c>
      <c r="I3092" s="24" t="s">
        <v>3265</v>
      </c>
      <c r="J3092" s="24" t="s">
        <v>2920</v>
      </c>
      <c r="K3092" s="3">
        <v>13</v>
      </c>
      <c r="L3092" s="3" t="s">
        <v>2932</v>
      </c>
      <c r="M3092" s="3" t="str">
        <f>HYPERLINK("http://ictvonline.org/taxonomyHistory.asp?taxnode_id=20153875","ICTVonline=20153875")</f>
        <v>ICTVonline=20153875</v>
      </c>
    </row>
    <row r="3093" spans="1:13" x14ac:dyDescent="0.15">
      <c r="A3093" s="1" t="s">
        <v>934</v>
      </c>
      <c r="B3093" s="1" t="s">
        <v>498</v>
      </c>
      <c r="D3093" s="1" t="s">
        <v>607</v>
      </c>
      <c r="E3093" s="1" t="s">
        <v>550</v>
      </c>
      <c r="F3093" s="3">
        <v>0</v>
      </c>
      <c r="I3093" s="24" t="s">
        <v>3265</v>
      </c>
      <c r="J3093" s="24" t="s">
        <v>2919</v>
      </c>
      <c r="K3093" s="3">
        <v>17</v>
      </c>
      <c r="L3093" s="3" t="s">
        <v>2928</v>
      </c>
      <c r="M3093" s="3" t="str">
        <f>HYPERLINK("http://ictvonline.org/taxonomyHistory.asp?taxnode_id=20153876","ICTVonline=20153876")</f>
        <v>ICTVonline=20153876</v>
      </c>
    </row>
    <row r="3094" spans="1:13" x14ac:dyDescent="0.15">
      <c r="A3094" s="1" t="s">
        <v>934</v>
      </c>
      <c r="B3094" s="1" t="s">
        <v>498</v>
      </c>
      <c r="D3094" s="1" t="s">
        <v>607</v>
      </c>
      <c r="E3094" s="1" t="s">
        <v>551</v>
      </c>
      <c r="F3094" s="3">
        <v>0</v>
      </c>
      <c r="I3094" s="24" t="s">
        <v>3265</v>
      </c>
      <c r="J3094" s="24" t="s">
        <v>2920</v>
      </c>
      <c r="K3094" s="3">
        <v>13</v>
      </c>
      <c r="L3094" s="3" t="s">
        <v>2932</v>
      </c>
      <c r="M3094" s="3" t="str">
        <f>HYPERLINK("http://ictvonline.org/taxonomyHistory.asp?taxnode_id=20153877","ICTVonline=20153877")</f>
        <v>ICTVonline=20153877</v>
      </c>
    </row>
    <row r="3095" spans="1:13" x14ac:dyDescent="0.15">
      <c r="A3095" s="1" t="s">
        <v>934</v>
      </c>
      <c r="B3095" s="1" t="s">
        <v>498</v>
      </c>
      <c r="D3095" s="1" t="s">
        <v>607</v>
      </c>
      <c r="E3095" s="1" t="s">
        <v>552</v>
      </c>
      <c r="F3095" s="3">
        <v>0</v>
      </c>
      <c r="I3095" s="24" t="s">
        <v>3265</v>
      </c>
      <c r="J3095" s="24" t="s">
        <v>2920</v>
      </c>
      <c r="K3095" s="3">
        <v>13</v>
      </c>
      <c r="L3095" s="3" t="s">
        <v>2932</v>
      </c>
      <c r="M3095" s="3" t="str">
        <f>HYPERLINK("http://ictvonline.org/taxonomyHistory.asp?taxnode_id=20153878","ICTVonline=20153878")</f>
        <v>ICTVonline=20153878</v>
      </c>
    </row>
    <row r="3096" spans="1:13" x14ac:dyDescent="0.15">
      <c r="A3096" s="1" t="s">
        <v>934</v>
      </c>
      <c r="B3096" s="1" t="s">
        <v>498</v>
      </c>
      <c r="D3096" s="1" t="s">
        <v>607</v>
      </c>
      <c r="E3096" s="1" t="s">
        <v>553</v>
      </c>
      <c r="F3096" s="3">
        <v>0</v>
      </c>
      <c r="I3096" s="24" t="s">
        <v>3265</v>
      </c>
      <c r="J3096" s="24" t="s">
        <v>2920</v>
      </c>
      <c r="K3096" s="3">
        <v>13</v>
      </c>
      <c r="L3096" s="3" t="s">
        <v>2932</v>
      </c>
      <c r="M3096" s="3" t="str">
        <f>HYPERLINK("http://ictvonline.org/taxonomyHistory.asp?taxnode_id=20153879","ICTVonline=20153879")</f>
        <v>ICTVonline=20153879</v>
      </c>
    </row>
    <row r="3097" spans="1:13" x14ac:dyDescent="0.15">
      <c r="A3097" s="1" t="s">
        <v>934</v>
      </c>
      <c r="B3097" s="1" t="s">
        <v>498</v>
      </c>
      <c r="D3097" s="1" t="s">
        <v>607</v>
      </c>
      <c r="E3097" s="1" t="s">
        <v>554</v>
      </c>
      <c r="F3097" s="3">
        <v>0</v>
      </c>
      <c r="G3097" s="24" t="s">
        <v>6202</v>
      </c>
      <c r="H3097" s="24" t="s">
        <v>6713</v>
      </c>
      <c r="I3097" s="24" t="s">
        <v>3265</v>
      </c>
      <c r="J3097" s="24" t="s">
        <v>2919</v>
      </c>
      <c r="K3097" s="3">
        <v>22</v>
      </c>
      <c r="L3097" s="3" t="s">
        <v>7078</v>
      </c>
      <c r="M3097" s="3" t="str">
        <f>HYPERLINK("http://ictvonline.org/taxonomyHistory.asp?taxnode_id=20153880","ICTVonline=20153880")</f>
        <v>ICTVonline=20153880</v>
      </c>
    </row>
    <row r="3098" spans="1:13" x14ac:dyDescent="0.15">
      <c r="A3098" s="1" t="s">
        <v>934</v>
      </c>
      <c r="B3098" s="1" t="s">
        <v>498</v>
      </c>
      <c r="D3098" s="1" t="s">
        <v>607</v>
      </c>
      <c r="E3098" s="1" t="s">
        <v>555</v>
      </c>
      <c r="F3098" s="3">
        <v>0</v>
      </c>
      <c r="G3098" s="24" t="s">
        <v>6203</v>
      </c>
      <c r="H3098" s="24" t="s">
        <v>6204</v>
      </c>
      <c r="I3098" s="24" t="s">
        <v>3265</v>
      </c>
      <c r="J3098" s="24" t="s">
        <v>2920</v>
      </c>
      <c r="K3098" s="3">
        <v>13</v>
      </c>
      <c r="L3098" s="3" t="s">
        <v>2932</v>
      </c>
      <c r="M3098" s="3" t="str">
        <f>HYPERLINK("http://ictvonline.org/taxonomyHistory.asp?taxnode_id=20153881","ICTVonline=20153881")</f>
        <v>ICTVonline=20153881</v>
      </c>
    </row>
    <row r="3099" spans="1:13" x14ac:dyDescent="0.15">
      <c r="A3099" s="1" t="s">
        <v>934</v>
      </c>
      <c r="B3099" s="1" t="s">
        <v>498</v>
      </c>
      <c r="D3099" s="1" t="s">
        <v>607</v>
      </c>
      <c r="E3099" s="1" t="s">
        <v>6741</v>
      </c>
      <c r="F3099" s="3">
        <v>0</v>
      </c>
      <c r="I3099" s="24" t="s">
        <v>3265</v>
      </c>
      <c r="J3099" s="24" t="s">
        <v>2919</v>
      </c>
      <c r="K3099" s="3">
        <v>18</v>
      </c>
      <c r="L3099" s="3" t="s">
        <v>2929</v>
      </c>
      <c r="M3099" s="3" t="str">
        <f>HYPERLINK("http://ictvonline.org/taxonomyHistory.asp?taxnode_id=20153882","ICTVonline=20153882")</f>
        <v>ICTVonline=20153882</v>
      </c>
    </row>
    <row r="3100" spans="1:13" x14ac:dyDescent="0.15">
      <c r="A3100" s="1" t="s">
        <v>934</v>
      </c>
      <c r="B3100" s="1" t="s">
        <v>498</v>
      </c>
      <c r="D3100" s="1" t="s">
        <v>607</v>
      </c>
      <c r="E3100" s="1" t="s">
        <v>2876</v>
      </c>
      <c r="F3100" s="3">
        <v>0</v>
      </c>
      <c r="G3100" s="24" t="s">
        <v>3308</v>
      </c>
      <c r="H3100" s="24" t="s">
        <v>6205</v>
      </c>
      <c r="I3100" s="24" t="s">
        <v>3265</v>
      </c>
      <c r="J3100" s="24" t="s">
        <v>2919</v>
      </c>
      <c r="K3100" s="3">
        <v>29</v>
      </c>
      <c r="L3100" s="3" t="s">
        <v>7089</v>
      </c>
      <c r="M3100" s="3" t="str">
        <f>HYPERLINK("http://ictvonline.org/taxonomyHistory.asp?taxnode_id=20153883","ICTVonline=20153883")</f>
        <v>ICTVonline=20153883</v>
      </c>
    </row>
    <row r="3101" spans="1:13" x14ac:dyDescent="0.15">
      <c r="A3101" s="1" t="s">
        <v>934</v>
      </c>
      <c r="B3101" s="1" t="s">
        <v>498</v>
      </c>
      <c r="D3101" s="1" t="s">
        <v>607</v>
      </c>
      <c r="E3101" s="1" t="s">
        <v>556</v>
      </c>
      <c r="F3101" s="3">
        <v>0</v>
      </c>
      <c r="G3101" s="24" t="s">
        <v>6206</v>
      </c>
      <c r="H3101" s="24" t="s">
        <v>6207</v>
      </c>
      <c r="I3101" s="24" t="s">
        <v>3265</v>
      </c>
      <c r="J3101" s="24" t="s">
        <v>2931</v>
      </c>
      <c r="K3101" s="3">
        <v>24</v>
      </c>
      <c r="L3101" s="3" t="s">
        <v>7091</v>
      </c>
      <c r="M3101" s="3" t="str">
        <f>HYPERLINK("http://ictvonline.org/taxonomyHistory.asp?taxnode_id=20153884","ICTVonline=20153884")</f>
        <v>ICTVonline=20153884</v>
      </c>
    </row>
    <row r="3102" spans="1:13" x14ac:dyDescent="0.15">
      <c r="A3102" s="1" t="s">
        <v>934</v>
      </c>
      <c r="B3102" s="1" t="s">
        <v>498</v>
      </c>
      <c r="D3102" s="1" t="s">
        <v>607</v>
      </c>
      <c r="E3102" s="1" t="s">
        <v>557</v>
      </c>
      <c r="F3102" s="3">
        <v>0</v>
      </c>
      <c r="G3102" s="24" t="s">
        <v>6208</v>
      </c>
      <c r="H3102" s="24" t="s">
        <v>6209</v>
      </c>
      <c r="I3102" s="24" t="s">
        <v>3265</v>
      </c>
      <c r="J3102" s="24" t="s">
        <v>2920</v>
      </c>
      <c r="K3102" s="3">
        <v>13</v>
      </c>
      <c r="L3102" s="3" t="s">
        <v>2932</v>
      </c>
      <c r="M3102" s="3" t="str">
        <f>HYPERLINK("http://ictvonline.org/taxonomyHistory.asp?taxnode_id=20153885","ICTVonline=20153885")</f>
        <v>ICTVonline=20153885</v>
      </c>
    </row>
    <row r="3103" spans="1:13" x14ac:dyDescent="0.15">
      <c r="A3103" s="1" t="s">
        <v>934</v>
      </c>
      <c r="B3103" s="1" t="s">
        <v>498</v>
      </c>
      <c r="D3103" s="1" t="s">
        <v>607</v>
      </c>
      <c r="E3103" s="1" t="s">
        <v>558</v>
      </c>
      <c r="F3103" s="3">
        <v>0</v>
      </c>
      <c r="G3103" s="24" t="s">
        <v>6210</v>
      </c>
      <c r="H3103" s="24" t="s">
        <v>4803</v>
      </c>
      <c r="I3103" s="24" t="s">
        <v>3265</v>
      </c>
      <c r="J3103" s="24" t="s">
        <v>2920</v>
      </c>
      <c r="K3103" s="3">
        <v>13</v>
      </c>
      <c r="L3103" s="3" t="s">
        <v>2932</v>
      </c>
      <c r="M3103" s="3" t="str">
        <f>HYPERLINK("http://ictvonline.org/taxonomyHistory.asp?taxnode_id=20153886","ICTVonline=20153886")</f>
        <v>ICTVonline=20153886</v>
      </c>
    </row>
    <row r="3104" spans="1:13" x14ac:dyDescent="0.15">
      <c r="A3104" s="1" t="s">
        <v>934</v>
      </c>
      <c r="B3104" s="1" t="s">
        <v>498</v>
      </c>
      <c r="D3104" s="1" t="s">
        <v>607</v>
      </c>
      <c r="E3104" s="1" t="s">
        <v>559</v>
      </c>
      <c r="F3104" s="3">
        <v>0</v>
      </c>
      <c r="G3104" s="24" t="s">
        <v>6211</v>
      </c>
      <c r="H3104" s="24" t="s">
        <v>6212</v>
      </c>
      <c r="I3104" s="24" t="s">
        <v>3265</v>
      </c>
      <c r="J3104" s="24" t="s">
        <v>2919</v>
      </c>
      <c r="K3104" s="3">
        <v>18</v>
      </c>
      <c r="L3104" s="3" t="s">
        <v>2929</v>
      </c>
      <c r="M3104" s="3" t="str">
        <f>HYPERLINK("http://ictvonline.org/taxonomyHistory.asp?taxnode_id=20153887","ICTVonline=20153887")</f>
        <v>ICTVonline=20153887</v>
      </c>
    </row>
    <row r="3105" spans="1:13" x14ac:dyDescent="0.15">
      <c r="A3105" s="1" t="s">
        <v>934</v>
      </c>
      <c r="B3105" s="1" t="s">
        <v>498</v>
      </c>
      <c r="D3105" s="1" t="s">
        <v>607</v>
      </c>
      <c r="E3105" s="1" t="s">
        <v>2877</v>
      </c>
      <c r="F3105" s="3">
        <v>0</v>
      </c>
      <c r="G3105" s="24" t="s">
        <v>3309</v>
      </c>
      <c r="H3105" s="24" t="s">
        <v>6213</v>
      </c>
      <c r="I3105" s="24" t="s">
        <v>3265</v>
      </c>
      <c r="J3105" s="24" t="s">
        <v>2919</v>
      </c>
      <c r="K3105" s="3">
        <v>29</v>
      </c>
      <c r="L3105" s="3" t="s">
        <v>7089</v>
      </c>
      <c r="M3105" s="3" t="str">
        <f>HYPERLINK("http://ictvonline.org/taxonomyHistory.asp?taxnode_id=20153888","ICTVonline=20153888")</f>
        <v>ICTVonline=20153888</v>
      </c>
    </row>
    <row r="3106" spans="1:13" x14ac:dyDescent="0.15">
      <c r="A3106" s="1" t="s">
        <v>934</v>
      </c>
      <c r="B3106" s="1" t="s">
        <v>498</v>
      </c>
      <c r="D3106" s="1" t="s">
        <v>607</v>
      </c>
      <c r="E3106" s="1" t="s">
        <v>560</v>
      </c>
      <c r="F3106" s="3">
        <v>0</v>
      </c>
      <c r="I3106" s="24" t="s">
        <v>3265</v>
      </c>
      <c r="J3106" s="24" t="s">
        <v>2919</v>
      </c>
      <c r="K3106" s="3">
        <v>22</v>
      </c>
      <c r="L3106" s="3" t="s">
        <v>7078</v>
      </c>
      <c r="M3106" s="3" t="str">
        <f>HYPERLINK("http://ictvonline.org/taxonomyHistory.asp?taxnode_id=20153889","ICTVonline=20153889")</f>
        <v>ICTVonline=20153889</v>
      </c>
    </row>
    <row r="3107" spans="1:13" x14ac:dyDescent="0.15">
      <c r="A3107" s="1" t="s">
        <v>934</v>
      </c>
      <c r="B3107" s="1" t="s">
        <v>498</v>
      </c>
      <c r="D3107" s="1" t="s">
        <v>607</v>
      </c>
      <c r="E3107" s="1" t="s">
        <v>914</v>
      </c>
      <c r="F3107" s="3">
        <v>0</v>
      </c>
      <c r="G3107" s="24" t="s">
        <v>6214</v>
      </c>
      <c r="H3107" s="24" t="s">
        <v>6215</v>
      </c>
      <c r="I3107" s="24" t="s">
        <v>3265</v>
      </c>
      <c r="J3107" s="24" t="s">
        <v>2920</v>
      </c>
      <c r="K3107" s="3">
        <v>13</v>
      </c>
      <c r="L3107" s="3" t="s">
        <v>2932</v>
      </c>
      <c r="M3107" s="3" t="str">
        <f>HYPERLINK("http://ictvonline.org/taxonomyHistory.asp?taxnode_id=20153890","ICTVonline=20153890")</f>
        <v>ICTVonline=20153890</v>
      </c>
    </row>
    <row r="3108" spans="1:13" x14ac:dyDescent="0.15">
      <c r="A3108" s="1" t="s">
        <v>934</v>
      </c>
      <c r="B3108" s="1" t="s">
        <v>498</v>
      </c>
      <c r="D3108" s="1" t="s">
        <v>607</v>
      </c>
      <c r="E3108" s="1" t="s">
        <v>2280</v>
      </c>
      <c r="F3108" s="3">
        <v>0</v>
      </c>
      <c r="I3108" s="24" t="s">
        <v>3265</v>
      </c>
      <c r="J3108" s="24" t="s">
        <v>2919</v>
      </c>
      <c r="K3108" s="3">
        <v>25</v>
      </c>
      <c r="L3108" s="3" t="s">
        <v>7088</v>
      </c>
      <c r="M3108" s="3" t="str">
        <f>HYPERLINK("http://ictvonline.org/taxonomyHistory.asp?taxnode_id=20153891","ICTVonline=20153891")</f>
        <v>ICTVonline=20153891</v>
      </c>
    </row>
    <row r="3109" spans="1:13" x14ac:dyDescent="0.15">
      <c r="A3109" s="1" t="s">
        <v>934</v>
      </c>
      <c r="B3109" s="1" t="s">
        <v>498</v>
      </c>
      <c r="D3109" s="1" t="s">
        <v>607</v>
      </c>
      <c r="E3109" s="1" t="s">
        <v>915</v>
      </c>
      <c r="F3109" s="3">
        <v>0</v>
      </c>
      <c r="I3109" s="24" t="s">
        <v>3265</v>
      </c>
      <c r="J3109" s="24" t="s">
        <v>2919</v>
      </c>
      <c r="K3109" s="3">
        <v>24</v>
      </c>
      <c r="L3109" s="3" t="s">
        <v>7087</v>
      </c>
      <c r="M3109" s="3" t="str">
        <f>HYPERLINK("http://ictvonline.org/taxonomyHistory.asp?taxnode_id=20153892","ICTVonline=20153892")</f>
        <v>ICTVonline=20153892</v>
      </c>
    </row>
    <row r="3110" spans="1:13" x14ac:dyDescent="0.15">
      <c r="A3110" s="1" t="s">
        <v>934</v>
      </c>
      <c r="B3110" s="1" t="s">
        <v>498</v>
      </c>
      <c r="D3110" s="1" t="s">
        <v>607</v>
      </c>
      <c r="E3110" s="1" t="s">
        <v>916</v>
      </c>
      <c r="F3110" s="3">
        <v>0</v>
      </c>
      <c r="G3110" s="24" t="s">
        <v>6216</v>
      </c>
      <c r="H3110" s="24" t="s">
        <v>6217</v>
      </c>
      <c r="I3110" s="24" t="s">
        <v>3265</v>
      </c>
      <c r="J3110" s="24" t="s">
        <v>2919</v>
      </c>
      <c r="K3110" s="3">
        <v>18</v>
      </c>
      <c r="L3110" s="3" t="s">
        <v>2929</v>
      </c>
      <c r="M3110" s="3" t="str">
        <f>HYPERLINK("http://ictvonline.org/taxonomyHistory.asp?taxnode_id=20153893","ICTVonline=20153893")</f>
        <v>ICTVonline=20153893</v>
      </c>
    </row>
    <row r="3111" spans="1:13" x14ac:dyDescent="0.15">
      <c r="A3111" s="1" t="s">
        <v>934</v>
      </c>
      <c r="B3111" s="1" t="s">
        <v>498</v>
      </c>
      <c r="D3111" s="1" t="s">
        <v>607</v>
      </c>
      <c r="E3111" s="1" t="s">
        <v>995</v>
      </c>
      <c r="F3111" s="3">
        <v>0</v>
      </c>
      <c r="G3111" s="24" t="s">
        <v>6218</v>
      </c>
      <c r="H3111" s="24" t="s">
        <v>6219</v>
      </c>
      <c r="I3111" s="24" t="s">
        <v>3265</v>
      </c>
      <c r="J3111" s="24" t="s">
        <v>2920</v>
      </c>
      <c r="K3111" s="3">
        <v>13</v>
      </c>
      <c r="L3111" s="3" t="s">
        <v>2932</v>
      </c>
      <c r="M3111" s="3" t="str">
        <f>HYPERLINK("http://ictvonline.org/taxonomyHistory.asp?taxnode_id=20153894","ICTVonline=20153894")</f>
        <v>ICTVonline=20153894</v>
      </c>
    </row>
    <row r="3112" spans="1:13" x14ac:dyDescent="0.15">
      <c r="A3112" s="1" t="s">
        <v>934</v>
      </c>
      <c r="B3112" s="1" t="s">
        <v>498</v>
      </c>
      <c r="D3112" s="1" t="s">
        <v>607</v>
      </c>
      <c r="E3112" s="1" t="s">
        <v>996</v>
      </c>
      <c r="F3112" s="3">
        <v>0</v>
      </c>
      <c r="G3112" s="24" t="s">
        <v>6220</v>
      </c>
      <c r="H3112" s="24" t="s">
        <v>6221</v>
      </c>
      <c r="I3112" s="24" t="s">
        <v>3265</v>
      </c>
      <c r="J3112" s="24" t="s">
        <v>2919</v>
      </c>
      <c r="K3112" s="3">
        <v>17</v>
      </c>
      <c r="L3112" s="3" t="s">
        <v>2928</v>
      </c>
      <c r="M3112" s="3" t="str">
        <f>HYPERLINK("http://ictvonline.org/taxonomyHistory.asp?taxnode_id=20153895","ICTVonline=20153895")</f>
        <v>ICTVonline=20153895</v>
      </c>
    </row>
    <row r="3113" spans="1:13" x14ac:dyDescent="0.15">
      <c r="A3113" s="1" t="s">
        <v>934</v>
      </c>
      <c r="B3113" s="1" t="s">
        <v>498</v>
      </c>
      <c r="D3113" s="1" t="s">
        <v>607</v>
      </c>
      <c r="E3113" s="1" t="s">
        <v>997</v>
      </c>
      <c r="F3113" s="3">
        <v>0</v>
      </c>
      <c r="G3113" s="24" t="s">
        <v>6222</v>
      </c>
      <c r="H3113" s="24" t="s">
        <v>6219</v>
      </c>
      <c r="I3113" s="24" t="s">
        <v>3265</v>
      </c>
      <c r="J3113" s="24" t="s">
        <v>2920</v>
      </c>
      <c r="K3113" s="3">
        <v>13</v>
      </c>
      <c r="L3113" s="3" t="s">
        <v>2932</v>
      </c>
      <c r="M3113" s="3" t="str">
        <f>HYPERLINK("http://ictvonline.org/taxonomyHistory.asp?taxnode_id=20153896","ICTVonline=20153896")</f>
        <v>ICTVonline=20153896</v>
      </c>
    </row>
    <row r="3114" spans="1:13" x14ac:dyDescent="0.15">
      <c r="A3114" s="1" t="s">
        <v>934</v>
      </c>
      <c r="B3114" s="1" t="s">
        <v>498</v>
      </c>
      <c r="D3114" s="1" t="s">
        <v>607</v>
      </c>
      <c r="E3114" s="1" t="s">
        <v>998</v>
      </c>
      <c r="F3114" s="3">
        <v>0</v>
      </c>
      <c r="I3114" s="24" t="s">
        <v>3265</v>
      </c>
      <c r="J3114" s="24" t="s">
        <v>2919</v>
      </c>
      <c r="K3114" s="3">
        <v>17</v>
      </c>
      <c r="L3114" s="3" t="s">
        <v>2928</v>
      </c>
      <c r="M3114" s="3" t="str">
        <f>HYPERLINK("http://ictvonline.org/taxonomyHistory.asp?taxnode_id=20153897","ICTVonline=20153897")</f>
        <v>ICTVonline=20153897</v>
      </c>
    </row>
    <row r="3115" spans="1:13" x14ac:dyDescent="0.15">
      <c r="A3115" s="1" t="s">
        <v>934</v>
      </c>
      <c r="B3115" s="1" t="s">
        <v>498</v>
      </c>
      <c r="D3115" s="1" t="s">
        <v>607</v>
      </c>
      <c r="E3115" s="1" t="s">
        <v>920</v>
      </c>
      <c r="F3115" s="3">
        <v>0</v>
      </c>
      <c r="I3115" s="24" t="s">
        <v>3265</v>
      </c>
      <c r="J3115" s="24" t="s">
        <v>2920</v>
      </c>
      <c r="K3115" s="3">
        <v>13</v>
      </c>
      <c r="L3115" s="3" t="s">
        <v>2932</v>
      </c>
      <c r="M3115" s="3" t="str">
        <f>HYPERLINK("http://ictvonline.org/taxonomyHistory.asp?taxnode_id=20153898","ICTVonline=20153898")</f>
        <v>ICTVonline=20153898</v>
      </c>
    </row>
    <row r="3116" spans="1:13" x14ac:dyDescent="0.15">
      <c r="A3116" s="1" t="s">
        <v>934</v>
      </c>
      <c r="B3116" s="1" t="s">
        <v>498</v>
      </c>
      <c r="D3116" s="1" t="s">
        <v>607</v>
      </c>
      <c r="E3116" s="1" t="s">
        <v>921</v>
      </c>
      <c r="F3116" s="3">
        <v>0</v>
      </c>
      <c r="G3116" s="24" t="s">
        <v>6223</v>
      </c>
      <c r="H3116" s="24" t="s">
        <v>6209</v>
      </c>
      <c r="I3116" s="24" t="s">
        <v>3265</v>
      </c>
      <c r="J3116" s="24" t="s">
        <v>2920</v>
      </c>
      <c r="K3116" s="3">
        <v>13</v>
      </c>
      <c r="L3116" s="3" t="s">
        <v>2932</v>
      </c>
      <c r="M3116" s="3" t="str">
        <f>HYPERLINK("http://ictvonline.org/taxonomyHistory.asp?taxnode_id=20153899","ICTVonline=20153899")</f>
        <v>ICTVonline=20153899</v>
      </c>
    </row>
    <row r="3117" spans="1:13" x14ac:dyDescent="0.15">
      <c r="A3117" s="1" t="s">
        <v>934</v>
      </c>
      <c r="B3117" s="1" t="s">
        <v>498</v>
      </c>
      <c r="D3117" s="1" t="s">
        <v>607</v>
      </c>
      <c r="E3117" s="1" t="s">
        <v>922</v>
      </c>
      <c r="F3117" s="3">
        <v>0</v>
      </c>
      <c r="G3117" s="24" t="s">
        <v>6224</v>
      </c>
      <c r="H3117" s="24" t="s">
        <v>7748</v>
      </c>
      <c r="I3117" s="24" t="s">
        <v>3265</v>
      </c>
      <c r="J3117" s="24" t="s">
        <v>2920</v>
      </c>
      <c r="K3117" s="3">
        <v>13</v>
      </c>
      <c r="L3117" s="3" t="s">
        <v>2932</v>
      </c>
      <c r="M3117" s="3" t="str">
        <f>HYPERLINK("http://ictvonline.org/taxonomyHistory.asp?taxnode_id=20153900","ICTVonline=20153900")</f>
        <v>ICTVonline=20153900</v>
      </c>
    </row>
    <row r="3118" spans="1:13" x14ac:dyDescent="0.15">
      <c r="A3118" s="1" t="s">
        <v>934</v>
      </c>
      <c r="B3118" s="1" t="s">
        <v>498</v>
      </c>
      <c r="D3118" s="1" t="s">
        <v>607</v>
      </c>
      <c r="E3118" s="1" t="s">
        <v>1001</v>
      </c>
      <c r="F3118" s="3">
        <v>0</v>
      </c>
      <c r="I3118" s="24" t="s">
        <v>3265</v>
      </c>
      <c r="J3118" s="24" t="s">
        <v>2919</v>
      </c>
      <c r="K3118" s="3">
        <v>22</v>
      </c>
      <c r="L3118" s="3" t="s">
        <v>7078</v>
      </c>
      <c r="M3118" s="3" t="str">
        <f>HYPERLINK("http://ictvonline.org/taxonomyHistory.asp?taxnode_id=20153901","ICTVonline=20153901")</f>
        <v>ICTVonline=20153901</v>
      </c>
    </row>
    <row r="3119" spans="1:13" x14ac:dyDescent="0.15">
      <c r="A3119" s="1" t="s">
        <v>934</v>
      </c>
      <c r="B3119" s="1" t="s">
        <v>498</v>
      </c>
      <c r="D3119" s="1" t="s">
        <v>607</v>
      </c>
      <c r="E3119" s="1" t="s">
        <v>1002</v>
      </c>
      <c r="F3119" s="3">
        <v>0</v>
      </c>
      <c r="I3119" s="24" t="s">
        <v>3265</v>
      </c>
      <c r="J3119" s="24" t="s">
        <v>2919</v>
      </c>
      <c r="K3119" s="3">
        <v>22</v>
      </c>
      <c r="L3119" s="3" t="s">
        <v>7078</v>
      </c>
      <c r="M3119" s="3" t="str">
        <f>HYPERLINK("http://ictvonline.org/taxonomyHistory.asp?taxnode_id=20153902","ICTVonline=20153902")</f>
        <v>ICTVonline=20153902</v>
      </c>
    </row>
    <row r="3120" spans="1:13" x14ac:dyDescent="0.15">
      <c r="A3120" s="1" t="s">
        <v>934</v>
      </c>
      <c r="B3120" s="1" t="s">
        <v>498</v>
      </c>
      <c r="D3120" s="1" t="s">
        <v>607</v>
      </c>
      <c r="E3120" s="1" t="s">
        <v>2878</v>
      </c>
      <c r="F3120" s="3">
        <v>0</v>
      </c>
      <c r="G3120" s="24" t="s">
        <v>3310</v>
      </c>
      <c r="H3120" s="24" t="s">
        <v>6225</v>
      </c>
      <c r="I3120" s="24" t="s">
        <v>3265</v>
      </c>
      <c r="J3120" s="24" t="s">
        <v>2919</v>
      </c>
      <c r="K3120" s="3">
        <v>29</v>
      </c>
      <c r="L3120" s="3" t="s">
        <v>7089</v>
      </c>
      <c r="M3120" s="3" t="str">
        <f>HYPERLINK("http://ictvonline.org/taxonomyHistory.asp?taxnode_id=20153903","ICTVonline=20153903")</f>
        <v>ICTVonline=20153903</v>
      </c>
    </row>
    <row r="3121" spans="1:13" x14ac:dyDescent="0.15">
      <c r="A3121" s="1" t="s">
        <v>934</v>
      </c>
      <c r="B3121" s="1" t="s">
        <v>498</v>
      </c>
      <c r="D3121" s="1" t="s">
        <v>607</v>
      </c>
      <c r="E3121" s="1" t="s">
        <v>1003</v>
      </c>
      <c r="F3121" s="3">
        <v>0</v>
      </c>
      <c r="G3121" s="24" t="s">
        <v>6226</v>
      </c>
      <c r="H3121" s="24" t="s">
        <v>6227</v>
      </c>
      <c r="I3121" s="24" t="s">
        <v>3265</v>
      </c>
      <c r="J3121" s="24" t="s">
        <v>2919</v>
      </c>
      <c r="K3121" s="3">
        <v>22</v>
      </c>
      <c r="L3121" s="3" t="s">
        <v>7078</v>
      </c>
      <c r="M3121" s="3" t="str">
        <f>HYPERLINK("http://ictvonline.org/taxonomyHistory.asp?taxnode_id=20153904","ICTVonline=20153904")</f>
        <v>ICTVonline=20153904</v>
      </c>
    </row>
    <row r="3122" spans="1:13" x14ac:dyDescent="0.15">
      <c r="A3122" s="1" t="s">
        <v>934</v>
      </c>
      <c r="B3122" s="1" t="s">
        <v>498</v>
      </c>
      <c r="D3122" s="1" t="s">
        <v>607</v>
      </c>
      <c r="E3122" s="1" t="s">
        <v>1004</v>
      </c>
      <c r="F3122" s="3">
        <v>0</v>
      </c>
      <c r="G3122" s="24" t="s">
        <v>6228</v>
      </c>
      <c r="H3122" s="24" t="s">
        <v>6229</v>
      </c>
      <c r="I3122" s="24" t="s">
        <v>3265</v>
      </c>
      <c r="J3122" s="24" t="s">
        <v>2920</v>
      </c>
      <c r="K3122" s="3">
        <v>13</v>
      </c>
      <c r="L3122" s="3" t="s">
        <v>2932</v>
      </c>
      <c r="M3122" s="3" t="str">
        <f>HYPERLINK("http://ictvonline.org/taxonomyHistory.asp?taxnode_id=20153905","ICTVonline=20153905")</f>
        <v>ICTVonline=20153905</v>
      </c>
    </row>
    <row r="3123" spans="1:13" x14ac:dyDescent="0.15">
      <c r="A3123" s="1" t="s">
        <v>934</v>
      </c>
      <c r="B3123" s="1" t="s">
        <v>498</v>
      </c>
      <c r="D3123" s="1" t="s">
        <v>607</v>
      </c>
      <c r="E3123" s="1" t="s">
        <v>1005</v>
      </c>
      <c r="F3123" s="3">
        <v>0</v>
      </c>
      <c r="I3123" s="24" t="s">
        <v>3265</v>
      </c>
      <c r="J3123" s="24" t="s">
        <v>2920</v>
      </c>
      <c r="K3123" s="3">
        <v>13</v>
      </c>
      <c r="L3123" s="3" t="s">
        <v>2932</v>
      </c>
      <c r="M3123" s="3" t="str">
        <f>HYPERLINK("http://ictvonline.org/taxonomyHistory.asp?taxnode_id=20153906","ICTVonline=20153906")</f>
        <v>ICTVonline=20153906</v>
      </c>
    </row>
    <row r="3124" spans="1:13" x14ac:dyDescent="0.15">
      <c r="A3124" s="1" t="s">
        <v>934</v>
      </c>
      <c r="B3124" s="1" t="s">
        <v>498</v>
      </c>
      <c r="D3124" s="1" t="s">
        <v>607</v>
      </c>
      <c r="E3124" s="1" t="s">
        <v>1006</v>
      </c>
      <c r="F3124" s="3">
        <v>0</v>
      </c>
      <c r="I3124" s="24" t="s">
        <v>3265</v>
      </c>
      <c r="J3124" s="24" t="s">
        <v>2919</v>
      </c>
      <c r="K3124" s="3">
        <v>24</v>
      </c>
      <c r="L3124" s="3" t="s">
        <v>7087</v>
      </c>
      <c r="M3124" s="3" t="str">
        <f>HYPERLINK("http://ictvonline.org/taxonomyHistory.asp?taxnode_id=20153907","ICTVonline=20153907")</f>
        <v>ICTVonline=20153907</v>
      </c>
    </row>
    <row r="3125" spans="1:13" x14ac:dyDescent="0.15">
      <c r="A3125" s="1" t="s">
        <v>934</v>
      </c>
      <c r="B3125" s="1" t="s">
        <v>498</v>
      </c>
      <c r="D3125" s="1" t="s">
        <v>607</v>
      </c>
      <c r="E3125" s="1" t="s">
        <v>1007</v>
      </c>
      <c r="F3125" s="3">
        <v>0</v>
      </c>
      <c r="G3125" s="24" t="s">
        <v>6230</v>
      </c>
      <c r="H3125" s="24" t="s">
        <v>6231</v>
      </c>
      <c r="I3125" s="24" t="s">
        <v>3265</v>
      </c>
      <c r="J3125" s="24" t="s">
        <v>2924</v>
      </c>
      <c r="K3125" s="3">
        <v>18</v>
      </c>
      <c r="L3125" s="3" t="s">
        <v>2929</v>
      </c>
      <c r="M3125" s="3" t="str">
        <f>HYPERLINK("http://ictvonline.org/taxonomyHistory.asp?taxnode_id=20153908","ICTVonline=20153908")</f>
        <v>ICTVonline=20153908</v>
      </c>
    </row>
    <row r="3126" spans="1:13" x14ac:dyDescent="0.15">
      <c r="A3126" s="1" t="s">
        <v>934</v>
      </c>
      <c r="B3126" s="1" t="s">
        <v>498</v>
      </c>
      <c r="D3126" s="1" t="s">
        <v>607</v>
      </c>
      <c r="E3126" s="1" t="s">
        <v>1008</v>
      </c>
      <c r="F3126" s="3">
        <v>0</v>
      </c>
      <c r="G3126" s="24" t="s">
        <v>6232</v>
      </c>
      <c r="H3126" s="24" t="s">
        <v>6233</v>
      </c>
      <c r="I3126" s="24" t="s">
        <v>3265</v>
      </c>
      <c r="J3126" s="24" t="s">
        <v>2920</v>
      </c>
      <c r="K3126" s="3">
        <v>13</v>
      </c>
      <c r="L3126" s="3" t="s">
        <v>2932</v>
      </c>
      <c r="M3126" s="3" t="str">
        <f>HYPERLINK("http://ictvonline.org/taxonomyHistory.asp?taxnode_id=20153909","ICTVonline=20153909")</f>
        <v>ICTVonline=20153909</v>
      </c>
    </row>
    <row r="3127" spans="1:13" x14ac:dyDescent="0.15">
      <c r="A3127" s="1" t="s">
        <v>934</v>
      </c>
      <c r="B3127" s="1" t="s">
        <v>498</v>
      </c>
      <c r="D3127" s="1" t="s">
        <v>607</v>
      </c>
      <c r="E3127" s="1" t="s">
        <v>1009</v>
      </c>
      <c r="F3127" s="3">
        <v>0</v>
      </c>
      <c r="G3127" s="24" t="s">
        <v>6234</v>
      </c>
      <c r="H3127" s="24" t="s">
        <v>6235</v>
      </c>
      <c r="I3127" s="24" t="s">
        <v>3265</v>
      </c>
      <c r="J3127" s="24" t="s">
        <v>2920</v>
      </c>
      <c r="K3127" s="3">
        <v>13</v>
      </c>
      <c r="L3127" s="3" t="s">
        <v>2932</v>
      </c>
      <c r="M3127" s="3" t="str">
        <f>HYPERLINK("http://ictvonline.org/taxonomyHistory.asp?taxnode_id=20153910","ICTVonline=20153910")</f>
        <v>ICTVonline=20153910</v>
      </c>
    </row>
    <row r="3128" spans="1:13" x14ac:dyDescent="0.15">
      <c r="A3128" s="1" t="s">
        <v>934</v>
      </c>
      <c r="B3128" s="1" t="s">
        <v>498</v>
      </c>
      <c r="D3128" s="1" t="s">
        <v>607</v>
      </c>
      <c r="E3128" s="1" t="s">
        <v>659</v>
      </c>
      <c r="F3128" s="3">
        <v>0</v>
      </c>
      <c r="G3128" s="24" t="s">
        <v>6236</v>
      </c>
      <c r="H3128" s="24" t="s">
        <v>6237</v>
      </c>
      <c r="I3128" s="24" t="s">
        <v>3265</v>
      </c>
      <c r="J3128" s="24" t="s">
        <v>2919</v>
      </c>
      <c r="K3128" s="3">
        <v>24</v>
      </c>
      <c r="L3128" s="3" t="s">
        <v>7087</v>
      </c>
      <c r="M3128" s="3" t="str">
        <f>HYPERLINK("http://ictvonline.org/taxonomyHistory.asp?taxnode_id=20153911","ICTVonline=20153911")</f>
        <v>ICTVonline=20153911</v>
      </c>
    </row>
    <row r="3129" spans="1:13" x14ac:dyDescent="0.15">
      <c r="A3129" s="1" t="s">
        <v>934</v>
      </c>
      <c r="B3129" s="1" t="s">
        <v>498</v>
      </c>
      <c r="D3129" s="1" t="s">
        <v>607</v>
      </c>
      <c r="E3129" s="1" t="s">
        <v>660</v>
      </c>
      <c r="F3129" s="3">
        <v>0</v>
      </c>
      <c r="G3129" s="24" t="s">
        <v>6238</v>
      </c>
      <c r="H3129" s="24" t="s">
        <v>5785</v>
      </c>
      <c r="I3129" s="24" t="s">
        <v>3265</v>
      </c>
      <c r="J3129" s="24" t="s">
        <v>2920</v>
      </c>
      <c r="K3129" s="3">
        <v>13</v>
      </c>
      <c r="L3129" s="3" t="s">
        <v>2932</v>
      </c>
      <c r="M3129" s="3" t="str">
        <f>HYPERLINK("http://ictvonline.org/taxonomyHistory.asp?taxnode_id=20153912","ICTVonline=20153912")</f>
        <v>ICTVonline=20153912</v>
      </c>
    </row>
    <row r="3130" spans="1:13" x14ac:dyDescent="0.15">
      <c r="A3130" s="1" t="s">
        <v>934</v>
      </c>
      <c r="B3130" s="1" t="s">
        <v>498</v>
      </c>
      <c r="D3130" s="1" t="s">
        <v>607</v>
      </c>
      <c r="E3130" s="1" t="s">
        <v>661</v>
      </c>
      <c r="F3130" s="3">
        <v>0</v>
      </c>
      <c r="G3130" s="24" t="s">
        <v>6239</v>
      </c>
      <c r="H3130" s="24" t="s">
        <v>4886</v>
      </c>
      <c r="I3130" s="24" t="s">
        <v>3265</v>
      </c>
      <c r="J3130" s="24" t="s">
        <v>2920</v>
      </c>
      <c r="K3130" s="3">
        <v>13</v>
      </c>
      <c r="L3130" s="3" t="s">
        <v>2932</v>
      </c>
      <c r="M3130" s="3" t="str">
        <f>HYPERLINK("http://ictvonline.org/taxonomyHistory.asp?taxnode_id=20153913","ICTVonline=20153913")</f>
        <v>ICTVonline=20153913</v>
      </c>
    </row>
    <row r="3131" spans="1:13" x14ac:dyDescent="0.15">
      <c r="A3131" s="1" t="s">
        <v>934</v>
      </c>
      <c r="B3131" s="1" t="s">
        <v>498</v>
      </c>
      <c r="D3131" s="1" t="s">
        <v>607</v>
      </c>
      <c r="E3131" s="1" t="s">
        <v>662</v>
      </c>
      <c r="F3131" s="3">
        <v>0</v>
      </c>
      <c r="G3131" s="24" t="s">
        <v>6240</v>
      </c>
      <c r="H3131" s="24" t="s">
        <v>6227</v>
      </c>
      <c r="I3131" s="24" t="s">
        <v>3265</v>
      </c>
      <c r="J3131" s="24" t="s">
        <v>2920</v>
      </c>
      <c r="K3131" s="3">
        <v>13</v>
      </c>
      <c r="L3131" s="3" t="s">
        <v>2932</v>
      </c>
      <c r="M3131" s="3" t="str">
        <f>HYPERLINK("http://ictvonline.org/taxonomyHistory.asp?taxnode_id=20153914","ICTVonline=20153914")</f>
        <v>ICTVonline=20153914</v>
      </c>
    </row>
    <row r="3132" spans="1:13" x14ac:dyDescent="0.15">
      <c r="A3132" s="1" t="s">
        <v>934</v>
      </c>
      <c r="B3132" s="1" t="s">
        <v>498</v>
      </c>
      <c r="D3132" s="1" t="s">
        <v>607</v>
      </c>
      <c r="E3132" s="1" t="s">
        <v>663</v>
      </c>
      <c r="F3132" s="3">
        <v>0</v>
      </c>
      <c r="G3132" s="24" t="s">
        <v>6241</v>
      </c>
      <c r="H3132" s="24" t="s">
        <v>6242</v>
      </c>
      <c r="I3132" s="24" t="s">
        <v>3265</v>
      </c>
      <c r="J3132" s="24" t="s">
        <v>2919</v>
      </c>
      <c r="K3132" s="3">
        <v>22</v>
      </c>
      <c r="L3132" s="3" t="s">
        <v>7078</v>
      </c>
      <c r="M3132" s="3" t="str">
        <f>HYPERLINK("http://ictvonline.org/taxonomyHistory.asp?taxnode_id=20153915","ICTVonline=20153915")</f>
        <v>ICTVonline=20153915</v>
      </c>
    </row>
    <row r="3133" spans="1:13" x14ac:dyDescent="0.15">
      <c r="A3133" s="1" t="s">
        <v>934</v>
      </c>
      <c r="B3133" s="1" t="s">
        <v>498</v>
      </c>
      <c r="D3133" s="1" t="s">
        <v>607</v>
      </c>
      <c r="E3133" s="1" t="s">
        <v>664</v>
      </c>
      <c r="F3133" s="3">
        <v>0</v>
      </c>
      <c r="G3133" s="24" t="s">
        <v>6243</v>
      </c>
      <c r="H3133" s="24" t="s">
        <v>6244</v>
      </c>
      <c r="I3133" s="24" t="s">
        <v>3265</v>
      </c>
      <c r="J3133" s="24" t="s">
        <v>2924</v>
      </c>
      <c r="K3133" s="3">
        <v>14</v>
      </c>
      <c r="L3133" s="3" t="s">
        <v>2930</v>
      </c>
      <c r="M3133" s="3" t="str">
        <f>HYPERLINK("http://ictvonline.org/taxonomyHistory.asp?taxnode_id=20153916","ICTVonline=20153916")</f>
        <v>ICTVonline=20153916</v>
      </c>
    </row>
    <row r="3134" spans="1:13" x14ac:dyDescent="0.15">
      <c r="A3134" s="1" t="s">
        <v>934</v>
      </c>
      <c r="B3134" s="1" t="s">
        <v>498</v>
      </c>
      <c r="D3134" s="1" t="s">
        <v>607</v>
      </c>
      <c r="E3134" s="1" t="s">
        <v>665</v>
      </c>
      <c r="F3134" s="3">
        <v>0</v>
      </c>
      <c r="I3134" s="24" t="s">
        <v>3265</v>
      </c>
      <c r="J3134" s="24" t="s">
        <v>2919</v>
      </c>
      <c r="K3134" s="3">
        <v>24</v>
      </c>
      <c r="L3134" s="3" t="s">
        <v>7087</v>
      </c>
      <c r="M3134" s="3" t="str">
        <f>HYPERLINK("http://ictvonline.org/taxonomyHistory.asp?taxnode_id=20153917","ICTVonline=20153917")</f>
        <v>ICTVonline=20153917</v>
      </c>
    </row>
    <row r="3135" spans="1:13" x14ac:dyDescent="0.15">
      <c r="A3135" s="1" t="s">
        <v>934</v>
      </c>
      <c r="B3135" s="1" t="s">
        <v>498</v>
      </c>
      <c r="D3135" s="1" t="s">
        <v>607</v>
      </c>
      <c r="E3135" s="1" t="s">
        <v>666</v>
      </c>
      <c r="F3135" s="3">
        <v>0</v>
      </c>
      <c r="I3135" s="24" t="s">
        <v>3265</v>
      </c>
      <c r="J3135" s="24" t="s">
        <v>2919</v>
      </c>
      <c r="K3135" s="3">
        <v>22</v>
      </c>
      <c r="L3135" s="3" t="s">
        <v>7078</v>
      </c>
      <c r="M3135" s="3" t="str">
        <f>HYPERLINK("http://ictvonline.org/taxonomyHistory.asp?taxnode_id=20153918","ICTVonline=20153918")</f>
        <v>ICTVonline=20153918</v>
      </c>
    </row>
    <row r="3136" spans="1:13" x14ac:dyDescent="0.15">
      <c r="A3136" s="1" t="s">
        <v>934</v>
      </c>
      <c r="B3136" s="1" t="s">
        <v>498</v>
      </c>
      <c r="D3136" s="1" t="s">
        <v>607</v>
      </c>
      <c r="E3136" s="1" t="s">
        <v>475</v>
      </c>
      <c r="F3136" s="3">
        <v>0</v>
      </c>
      <c r="G3136" s="24" t="s">
        <v>6245</v>
      </c>
      <c r="H3136" s="24" t="s">
        <v>4860</v>
      </c>
      <c r="I3136" s="24" t="s">
        <v>3265</v>
      </c>
      <c r="J3136" s="24" t="s">
        <v>2920</v>
      </c>
      <c r="K3136" s="3">
        <v>13</v>
      </c>
      <c r="L3136" s="3" t="s">
        <v>2932</v>
      </c>
      <c r="M3136" s="3" t="str">
        <f>HYPERLINK("http://ictvonline.org/taxonomyHistory.asp?taxnode_id=20153919","ICTVonline=20153919")</f>
        <v>ICTVonline=20153919</v>
      </c>
    </row>
    <row r="3137" spans="1:13" x14ac:dyDescent="0.15">
      <c r="A3137" s="1" t="s">
        <v>934</v>
      </c>
      <c r="B3137" s="1" t="s">
        <v>498</v>
      </c>
      <c r="D3137" s="1" t="s">
        <v>607</v>
      </c>
      <c r="E3137" s="1" t="s">
        <v>1685</v>
      </c>
      <c r="F3137" s="3">
        <v>0</v>
      </c>
      <c r="G3137" s="24" t="s">
        <v>6246</v>
      </c>
      <c r="H3137" s="24" t="s">
        <v>6247</v>
      </c>
      <c r="I3137" s="24" t="s">
        <v>3265</v>
      </c>
      <c r="J3137" s="24" t="s">
        <v>2920</v>
      </c>
      <c r="K3137" s="3">
        <v>13</v>
      </c>
      <c r="L3137" s="3" t="s">
        <v>2932</v>
      </c>
      <c r="M3137" s="3" t="str">
        <f>HYPERLINK("http://ictvonline.org/taxonomyHistory.asp?taxnode_id=20153920","ICTVonline=20153920")</f>
        <v>ICTVonline=20153920</v>
      </c>
    </row>
    <row r="3138" spans="1:13" x14ac:dyDescent="0.15">
      <c r="A3138" s="1" t="s">
        <v>934</v>
      </c>
      <c r="B3138" s="1" t="s">
        <v>498</v>
      </c>
      <c r="D3138" s="1" t="s">
        <v>607</v>
      </c>
      <c r="E3138" s="1" t="s">
        <v>1686</v>
      </c>
      <c r="F3138" s="3">
        <v>0</v>
      </c>
      <c r="G3138" s="24" t="s">
        <v>6248</v>
      </c>
      <c r="H3138" s="24" t="s">
        <v>6249</v>
      </c>
      <c r="I3138" s="24" t="s">
        <v>3265</v>
      </c>
      <c r="J3138" s="24" t="s">
        <v>2931</v>
      </c>
      <c r="K3138" s="3">
        <v>23</v>
      </c>
      <c r="L3138" s="3" t="s">
        <v>2933</v>
      </c>
      <c r="M3138" s="3" t="str">
        <f>HYPERLINK("http://ictvonline.org/taxonomyHistory.asp?taxnode_id=20153921","ICTVonline=20153921")</f>
        <v>ICTVonline=20153921</v>
      </c>
    </row>
    <row r="3139" spans="1:13" x14ac:dyDescent="0.15">
      <c r="A3139" s="1" t="s">
        <v>934</v>
      </c>
      <c r="B3139" s="1" t="s">
        <v>498</v>
      </c>
      <c r="D3139" s="1" t="s">
        <v>607</v>
      </c>
      <c r="E3139" s="1" t="s">
        <v>529</v>
      </c>
      <c r="F3139" s="3">
        <v>0</v>
      </c>
      <c r="G3139" s="24" t="s">
        <v>6250</v>
      </c>
      <c r="H3139" s="24" t="s">
        <v>6251</v>
      </c>
      <c r="I3139" s="24" t="s">
        <v>3265</v>
      </c>
      <c r="J3139" s="24" t="s">
        <v>2920</v>
      </c>
      <c r="K3139" s="3">
        <v>13</v>
      </c>
      <c r="L3139" s="3" t="s">
        <v>2932</v>
      </c>
      <c r="M3139" s="3" t="str">
        <f>HYPERLINK("http://ictvonline.org/taxonomyHistory.asp?taxnode_id=20153922","ICTVonline=20153922")</f>
        <v>ICTVonline=20153922</v>
      </c>
    </row>
    <row r="3140" spans="1:13" x14ac:dyDescent="0.15">
      <c r="A3140" s="1" t="s">
        <v>934</v>
      </c>
      <c r="B3140" s="1" t="s">
        <v>498</v>
      </c>
      <c r="D3140" s="1" t="s">
        <v>607</v>
      </c>
      <c r="E3140" s="1" t="s">
        <v>530</v>
      </c>
      <c r="F3140" s="3">
        <v>1</v>
      </c>
      <c r="G3140" s="24" t="s">
        <v>6252</v>
      </c>
      <c r="H3140" s="24" t="s">
        <v>6253</v>
      </c>
      <c r="I3140" s="24" t="s">
        <v>3265</v>
      </c>
      <c r="J3140" s="24" t="s">
        <v>2920</v>
      </c>
      <c r="K3140" s="3">
        <v>13</v>
      </c>
      <c r="L3140" s="3" t="s">
        <v>2932</v>
      </c>
      <c r="M3140" s="3" t="str">
        <f>HYPERLINK("http://ictvonline.org/taxonomyHistory.asp?taxnode_id=20153923","ICTVonline=20153923")</f>
        <v>ICTVonline=20153923</v>
      </c>
    </row>
    <row r="3141" spans="1:13" x14ac:dyDescent="0.15">
      <c r="A3141" s="1" t="s">
        <v>934</v>
      </c>
      <c r="B3141" s="1" t="s">
        <v>498</v>
      </c>
      <c r="D3141" s="1" t="s">
        <v>607</v>
      </c>
      <c r="E3141" s="1" t="s">
        <v>531</v>
      </c>
      <c r="F3141" s="3">
        <v>0</v>
      </c>
      <c r="I3141" s="24" t="s">
        <v>3265</v>
      </c>
      <c r="J3141" s="24" t="s">
        <v>2919</v>
      </c>
      <c r="K3141" s="3">
        <v>24</v>
      </c>
      <c r="L3141" s="3" t="s">
        <v>7087</v>
      </c>
      <c r="M3141" s="3" t="str">
        <f>HYPERLINK("http://ictvonline.org/taxonomyHistory.asp?taxnode_id=20153924","ICTVonline=20153924")</f>
        <v>ICTVonline=20153924</v>
      </c>
    </row>
    <row r="3142" spans="1:13" x14ac:dyDescent="0.15">
      <c r="A3142" s="1" t="s">
        <v>934</v>
      </c>
      <c r="B3142" s="1" t="s">
        <v>498</v>
      </c>
      <c r="D3142" s="1" t="s">
        <v>607</v>
      </c>
      <c r="E3142" s="1" t="s">
        <v>1553</v>
      </c>
      <c r="F3142" s="3">
        <v>0</v>
      </c>
      <c r="I3142" s="24" t="s">
        <v>3265</v>
      </c>
      <c r="J3142" s="24" t="s">
        <v>2919</v>
      </c>
      <c r="K3142" s="3">
        <v>24</v>
      </c>
      <c r="L3142" s="3" t="s">
        <v>7087</v>
      </c>
      <c r="M3142" s="3" t="str">
        <f>HYPERLINK("http://ictvonline.org/taxonomyHistory.asp?taxnode_id=20153925","ICTVonline=20153925")</f>
        <v>ICTVonline=20153925</v>
      </c>
    </row>
    <row r="3143" spans="1:13" x14ac:dyDescent="0.15">
      <c r="A3143" s="1" t="s">
        <v>934</v>
      </c>
      <c r="B3143" s="1" t="s">
        <v>498</v>
      </c>
      <c r="D3143" s="1" t="s">
        <v>607</v>
      </c>
      <c r="E3143" s="1" t="s">
        <v>1554</v>
      </c>
      <c r="F3143" s="3">
        <v>0</v>
      </c>
      <c r="I3143" s="24" t="s">
        <v>3265</v>
      </c>
      <c r="J3143" s="24" t="s">
        <v>2919</v>
      </c>
      <c r="K3143" s="3">
        <v>24</v>
      </c>
      <c r="L3143" s="3" t="s">
        <v>7087</v>
      </c>
      <c r="M3143" s="3" t="str">
        <f>HYPERLINK("http://ictvonline.org/taxonomyHistory.asp?taxnode_id=20153926","ICTVonline=20153926")</f>
        <v>ICTVonline=20153926</v>
      </c>
    </row>
    <row r="3144" spans="1:13" x14ac:dyDescent="0.15">
      <c r="A3144" s="1" t="s">
        <v>934</v>
      </c>
      <c r="B3144" s="1" t="s">
        <v>498</v>
      </c>
      <c r="D3144" s="1" t="s">
        <v>607</v>
      </c>
      <c r="E3144" s="1" t="s">
        <v>393</v>
      </c>
      <c r="F3144" s="3">
        <v>0</v>
      </c>
      <c r="I3144" s="24" t="s">
        <v>3265</v>
      </c>
      <c r="J3144" s="24" t="s">
        <v>2919</v>
      </c>
      <c r="K3144" s="3">
        <v>22</v>
      </c>
      <c r="L3144" s="3" t="s">
        <v>7078</v>
      </c>
      <c r="M3144" s="3" t="str">
        <f>HYPERLINK("http://ictvonline.org/taxonomyHistory.asp?taxnode_id=20153927","ICTVonline=20153927")</f>
        <v>ICTVonline=20153927</v>
      </c>
    </row>
    <row r="3145" spans="1:13" x14ac:dyDescent="0.15">
      <c r="A3145" s="1" t="s">
        <v>934</v>
      </c>
      <c r="B3145" s="1" t="s">
        <v>498</v>
      </c>
      <c r="D3145" s="1" t="s">
        <v>607</v>
      </c>
      <c r="E3145" s="1" t="s">
        <v>394</v>
      </c>
      <c r="F3145" s="3">
        <v>0</v>
      </c>
      <c r="I3145" s="24" t="s">
        <v>3265</v>
      </c>
      <c r="J3145" s="24" t="s">
        <v>2919</v>
      </c>
      <c r="K3145" s="3">
        <v>22</v>
      </c>
      <c r="L3145" s="3" t="s">
        <v>7078</v>
      </c>
      <c r="M3145" s="3" t="str">
        <f>HYPERLINK("http://ictvonline.org/taxonomyHistory.asp?taxnode_id=20153928","ICTVonline=20153928")</f>
        <v>ICTVonline=20153928</v>
      </c>
    </row>
    <row r="3146" spans="1:13" x14ac:dyDescent="0.15">
      <c r="A3146" s="1" t="s">
        <v>934</v>
      </c>
      <c r="B3146" s="1" t="s">
        <v>498</v>
      </c>
      <c r="D3146" s="1" t="s">
        <v>607</v>
      </c>
      <c r="E3146" s="1" t="s">
        <v>395</v>
      </c>
      <c r="F3146" s="3">
        <v>0</v>
      </c>
      <c r="G3146" s="24" t="s">
        <v>6254</v>
      </c>
      <c r="H3146" s="24" t="s">
        <v>6255</v>
      </c>
      <c r="I3146" s="24" t="s">
        <v>3265</v>
      </c>
      <c r="J3146" s="24" t="s">
        <v>2919</v>
      </c>
      <c r="K3146" s="3">
        <v>22</v>
      </c>
      <c r="L3146" s="3" t="s">
        <v>7078</v>
      </c>
      <c r="M3146" s="3" t="str">
        <f>HYPERLINK("http://ictvonline.org/taxonomyHistory.asp?taxnode_id=20153929","ICTVonline=20153929")</f>
        <v>ICTVonline=20153929</v>
      </c>
    </row>
    <row r="3147" spans="1:13" x14ac:dyDescent="0.15">
      <c r="A3147" s="1" t="s">
        <v>934</v>
      </c>
      <c r="B3147" s="1" t="s">
        <v>498</v>
      </c>
      <c r="D3147" s="1" t="s">
        <v>607</v>
      </c>
      <c r="E3147" s="1" t="s">
        <v>396</v>
      </c>
      <c r="F3147" s="3">
        <v>0</v>
      </c>
      <c r="G3147" s="24" t="s">
        <v>6256</v>
      </c>
      <c r="H3147" s="24" t="s">
        <v>6257</v>
      </c>
      <c r="I3147" s="24" t="s">
        <v>3265</v>
      </c>
      <c r="J3147" s="24" t="s">
        <v>2919</v>
      </c>
      <c r="K3147" s="3">
        <v>18</v>
      </c>
      <c r="L3147" s="3" t="s">
        <v>2929</v>
      </c>
      <c r="M3147" s="3" t="str">
        <f>HYPERLINK("http://ictvonline.org/taxonomyHistory.asp?taxnode_id=20153930","ICTVonline=20153930")</f>
        <v>ICTVonline=20153930</v>
      </c>
    </row>
    <row r="3148" spans="1:13" x14ac:dyDescent="0.15">
      <c r="A3148" s="1" t="s">
        <v>934</v>
      </c>
      <c r="B3148" s="1" t="s">
        <v>498</v>
      </c>
      <c r="D3148" s="1" t="s">
        <v>607</v>
      </c>
      <c r="E3148" s="1" t="s">
        <v>1557</v>
      </c>
      <c r="F3148" s="3">
        <v>0</v>
      </c>
      <c r="G3148" s="24" t="s">
        <v>6258</v>
      </c>
      <c r="H3148" s="24" t="s">
        <v>6259</v>
      </c>
      <c r="I3148" s="24" t="s">
        <v>3265</v>
      </c>
      <c r="J3148" s="24" t="s">
        <v>2920</v>
      </c>
      <c r="K3148" s="3">
        <v>13</v>
      </c>
      <c r="L3148" s="3" t="s">
        <v>2932</v>
      </c>
      <c r="M3148" s="3" t="str">
        <f>HYPERLINK("http://ictvonline.org/taxonomyHistory.asp?taxnode_id=20153931","ICTVonline=20153931")</f>
        <v>ICTVonline=20153931</v>
      </c>
    </row>
    <row r="3149" spans="1:13" x14ac:dyDescent="0.15">
      <c r="A3149" s="1" t="s">
        <v>934</v>
      </c>
      <c r="B3149" s="1" t="s">
        <v>498</v>
      </c>
      <c r="D3149" s="1" t="s">
        <v>607</v>
      </c>
      <c r="E3149" s="1" t="s">
        <v>1558</v>
      </c>
      <c r="F3149" s="3">
        <v>0</v>
      </c>
      <c r="G3149" s="24" t="s">
        <v>6260</v>
      </c>
      <c r="H3149" s="24" t="s">
        <v>6261</v>
      </c>
      <c r="I3149" s="24" t="s">
        <v>3265</v>
      </c>
      <c r="J3149" s="24" t="s">
        <v>2920</v>
      </c>
      <c r="K3149" s="3">
        <v>13</v>
      </c>
      <c r="L3149" s="3" t="s">
        <v>2932</v>
      </c>
      <c r="M3149" s="3" t="str">
        <f>HYPERLINK("http://ictvonline.org/taxonomyHistory.asp?taxnode_id=20153932","ICTVonline=20153932")</f>
        <v>ICTVonline=20153932</v>
      </c>
    </row>
    <row r="3150" spans="1:13" x14ac:dyDescent="0.15">
      <c r="A3150" s="1" t="s">
        <v>934</v>
      </c>
      <c r="B3150" s="1" t="s">
        <v>498</v>
      </c>
      <c r="D3150" s="1" t="s">
        <v>607</v>
      </c>
      <c r="E3150" s="1" t="s">
        <v>2015</v>
      </c>
      <c r="F3150" s="3">
        <v>0</v>
      </c>
      <c r="I3150" s="24" t="s">
        <v>3265</v>
      </c>
      <c r="J3150" s="24" t="s">
        <v>2919</v>
      </c>
      <c r="K3150" s="3">
        <v>25</v>
      </c>
      <c r="L3150" s="3" t="s">
        <v>7086</v>
      </c>
      <c r="M3150" s="3" t="str">
        <f>HYPERLINK("http://ictvonline.org/taxonomyHistory.asp?taxnode_id=20153933","ICTVonline=20153933")</f>
        <v>ICTVonline=20153933</v>
      </c>
    </row>
    <row r="3151" spans="1:13" x14ac:dyDescent="0.15">
      <c r="A3151" s="1" t="s">
        <v>934</v>
      </c>
      <c r="B3151" s="1" t="s">
        <v>498</v>
      </c>
      <c r="D3151" s="1" t="s">
        <v>607</v>
      </c>
      <c r="E3151" s="1" t="s">
        <v>1559</v>
      </c>
      <c r="F3151" s="3">
        <v>0</v>
      </c>
      <c r="G3151" s="24" t="s">
        <v>6262</v>
      </c>
      <c r="H3151" s="24" t="s">
        <v>6263</v>
      </c>
      <c r="I3151" s="24" t="s">
        <v>3265</v>
      </c>
      <c r="J3151" s="24" t="s">
        <v>2920</v>
      </c>
      <c r="K3151" s="3">
        <v>13</v>
      </c>
      <c r="L3151" s="3" t="s">
        <v>2932</v>
      </c>
      <c r="M3151" s="3" t="str">
        <f>HYPERLINK("http://ictvonline.org/taxonomyHistory.asp?taxnode_id=20153934","ICTVonline=20153934")</f>
        <v>ICTVonline=20153934</v>
      </c>
    </row>
    <row r="3152" spans="1:13" x14ac:dyDescent="0.15">
      <c r="A3152" s="1" t="s">
        <v>934</v>
      </c>
      <c r="B3152" s="1" t="s">
        <v>498</v>
      </c>
      <c r="D3152" s="1" t="s">
        <v>607</v>
      </c>
      <c r="E3152" s="1" t="s">
        <v>198</v>
      </c>
      <c r="F3152" s="3">
        <v>0</v>
      </c>
      <c r="G3152" s="24" t="s">
        <v>6264</v>
      </c>
      <c r="H3152" s="24" t="s">
        <v>6265</v>
      </c>
      <c r="I3152" s="24" t="s">
        <v>3265</v>
      </c>
      <c r="J3152" s="24" t="s">
        <v>2919</v>
      </c>
      <c r="K3152" s="3">
        <v>26</v>
      </c>
      <c r="L3152" s="3" t="s">
        <v>7092</v>
      </c>
      <c r="M3152" s="3" t="str">
        <f>HYPERLINK("http://ictvonline.org/taxonomyHistory.asp?taxnode_id=20153935","ICTVonline=20153935")</f>
        <v>ICTVonline=20153935</v>
      </c>
    </row>
    <row r="3153" spans="1:13" x14ac:dyDescent="0.15">
      <c r="A3153" s="1" t="s">
        <v>934</v>
      </c>
      <c r="B3153" s="1" t="s">
        <v>498</v>
      </c>
      <c r="D3153" s="1" t="s">
        <v>607</v>
      </c>
      <c r="E3153" s="1" t="s">
        <v>6266</v>
      </c>
      <c r="F3153" s="3">
        <v>0</v>
      </c>
      <c r="G3153" s="24" t="s">
        <v>7749</v>
      </c>
      <c r="H3153" s="24" t="s">
        <v>6267</v>
      </c>
      <c r="I3153" s="24" t="s">
        <v>3265</v>
      </c>
      <c r="J3153" s="24" t="s">
        <v>2919</v>
      </c>
      <c r="K3153" s="3">
        <v>30</v>
      </c>
      <c r="L3153" s="3" t="s">
        <v>7083</v>
      </c>
      <c r="M3153" s="3" t="str">
        <f>HYPERLINK("http://ictvonline.org/taxonomyHistory.asp?taxnode_id=20153975","ICTVonline=20153975")</f>
        <v>ICTVonline=20153975</v>
      </c>
    </row>
    <row r="3154" spans="1:13" x14ac:dyDescent="0.15">
      <c r="A3154" s="1" t="s">
        <v>934</v>
      </c>
      <c r="B3154" s="1" t="s">
        <v>498</v>
      </c>
      <c r="D3154" s="1" t="s">
        <v>607</v>
      </c>
      <c r="E3154" s="1" t="s">
        <v>1560</v>
      </c>
      <c r="F3154" s="3">
        <v>0</v>
      </c>
      <c r="I3154" s="24" t="s">
        <v>3265</v>
      </c>
      <c r="J3154" s="24" t="s">
        <v>2919</v>
      </c>
      <c r="K3154" s="3">
        <v>22</v>
      </c>
      <c r="L3154" s="3" t="s">
        <v>7078</v>
      </c>
      <c r="M3154" s="3" t="str">
        <f>HYPERLINK("http://ictvonline.org/taxonomyHistory.asp?taxnode_id=20153936","ICTVonline=20153936")</f>
        <v>ICTVonline=20153936</v>
      </c>
    </row>
    <row r="3155" spans="1:13" x14ac:dyDescent="0.15">
      <c r="A3155" s="1" t="s">
        <v>934</v>
      </c>
      <c r="B3155" s="1" t="s">
        <v>498</v>
      </c>
      <c r="D3155" s="1" t="s">
        <v>607</v>
      </c>
      <c r="E3155" s="1" t="s">
        <v>1561</v>
      </c>
      <c r="F3155" s="3">
        <v>0</v>
      </c>
      <c r="G3155" s="24" t="s">
        <v>6268</v>
      </c>
      <c r="H3155" s="24" t="s">
        <v>5093</v>
      </c>
      <c r="I3155" s="24" t="s">
        <v>3265</v>
      </c>
      <c r="J3155" s="24" t="s">
        <v>2920</v>
      </c>
      <c r="K3155" s="3">
        <v>13</v>
      </c>
      <c r="L3155" s="3" t="s">
        <v>2932</v>
      </c>
      <c r="M3155" s="3" t="str">
        <f>HYPERLINK("http://ictvonline.org/taxonomyHistory.asp?taxnode_id=20153937","ICTVonline=20153937")</f>
        <v>ICTVonline=20153937</v>
      </c>
    </row>
    <row r="3156" spans="1:13" x14ac:dyDescent="0.15">
      <c r="A3156" s="1" t="s">
        <v>934</v>
      </c>
      <c r="B3156" s="1" t="s">
        <v>498</v>
      </c>
      <c r="D3156" s="1" t="s">
        <v>607</v>
      </c>
      <c r="E3156" s="1" t="s">
        <v>1562</v>
      </c>
      <c r="F3156" s="3">
        <v>0</v>
      </c>
      <c r="G3156" s="24" t="s">
        <v>6269</v>
      </c>
      <c r="H3156" s="24" t="s">
        <v>4805</v>
      </c>
      <c r="I3156" s="24" t="s">
        <v>3265</v>
      </c>
      <c r="J3156" s="24" t="s">
        <v>2919</v>
      </c>
      <c r="K3156" s="3">
        <v>17</v>
      </c>
      <c r="L3156" s="3" t="s">
        <v>2928</v>
      </c>
      <c r="M3156" s="3" t="str">
        <f>HYPERLINK("http://ictvonline.org/taxonomyHistory.asp?taxnode_id=20153938","ICTVonline=20153938")</f>
        <v>ICTVonline=20153938</v>
      </c>
    </row>
    <row r="3157" spans="1:13" x14ac:dyDescent="0.15">
      <c r="A3157" s="1" t="s">
        <v>934</v>
      </c>
      <c r="B3157" s="1" t="s">
        <v>498</v>
      </c>
      <c r="D3157" s="1" t="s">
        <v>607</v>
      </c>
      <c r="E3157" s="1" t="s">
        <v>252</v>
      </c>
      <c r="F3157" s="3">
        <v>0</v>
      </c>
      <c r="I3157" s="24" t="s">
        <v>3265</v>
      </c>
      <c r="J3157" s="24" t="s">
        <v>2919</v>
      </c>
      <c r="K3157" s="3">
        <v>22</v>
      </c>
      <c r="L3157" s="3" t="s">
        <v>7078</v>
      </c>
      <c r="M3157" s="3" t="str">
        <f>HYPERLINK("http://ictvonline.org/taxonomyHistory.asp?taxnode_id=20153939","ICTVonline=20153939")</f>
        <v>ICTVonline=20153939</v>
      </c>
    </row>
    <row r="3158" spans="1:13" x14ac:dyDescent="0.15">
      <c r="A3158" s="1" t="s">
        <v>934</v>
      </c>
      <c r="B3158" s="1" t="s">
        <v>498</v>
      </c>
      <c r="D3158" s="1" t="s">
        <v>607</v>
      </c>
      <c r="E3158" s="1" t="s">
        <v>253</v>
      </c>
      <c r="F3158" s="3">
        <v>0</v>
      </c>
      <c r="G3158" s="24" t="s">
        <v>6270</v>
      </c>
      <c r="H3158" s="24" t="s">
        <v>6271</v>
      </c>
      <c r="I3158" s="24" t="s">
        <v>3265</v>
      </c>
      <c r="J3158" s="24" t="s">
        <v>2919</v>
      </c>
      <c r="K3158" s="3">
        <v>24</v>
      </c>
      <c r="L3158" s="3" t="s">
        <v>7087</v>
      </c>
      <c r="M3158" s="3" t="str">
        <f>HYPERLINK("http://ictvonline.org/taxonomyHistory.asp?taxnode_id=20153940","ICTVonline=20153940")</f>
        <v>ICTVonline=20153940</v>
      </c>
    </row>
    <row r="3159" spans="1:13" x14ac:dyDescent="0.15">
      <c r="A3159" s="1" t="s">
        <v>934</v>
      </c>
      <c r="B3159" s="1" t="s">
        <v>498</v>
      </c>
      <c r="D3159" s="1" t="s">
        <v>607</v>
      </c>
      <c r="E3159" s="1" t="s">
        <v>199</v>
      </c>
      <c r="F3159" s="3">
        <v>0</v>
      </c>
      <c r="G3159" s="24" t="s">
        <v>6272</v>
      </c>
      <c r="H3159" s="24" t="s">
        <v>6273</v>
      </c>
      <c r="I3159" s="24" t="s">
        <v>3265</v>
      </c>
      <c r="J3159" s="24" t="s">
        <v>2919</v>
      </c>
      <c r="K3159" s="3">
        <v>26</v>
      </c>
      <c r="L3159" s="3" t="s">
        <v>7093</v>
      </c>
      <c r="M3159" s="3" t="str">
        <f>HYPERLINK("http://ictvonline.org/taxonomyHistory.asp?taxnode_id=20153941","ICTVonline=20153941")</f>
        <v>ICTVonline=20153941</v>
      </c>
    </row>
    <row r="3160" spans="1:13" x14ac:dyDescent="0.15">
      <c r="A3160" s="1" t="s">
        <v>934</v>
      </c>
      <c r="B3160" s="1" t="s">
        <v>498</v>
      </c>
      <c r="D3160" s="1" t="s">
        <v>607</v>
      </c>
      <c r="E3160" s="1" t="s">
        <v>254</v>
      </c>
      <c r="F3160" s="3">
        <v>0</v>
      </c>
      <c r="G3160" s="24" t="s">
        <v>6274</v>
      </c>
      <c r="H3160" s="24" t="s">
        <v>6275</v>
      </c>
      <c r="I3160" s="24" t="s">
        <v>3265</v>
      </c>
      <c r="J3160" s="24" t="s">
        <v>2919</v>
      </c>
      <c r="K3160" s="3">
        <v>23</v>
      </c>
      <c r="L3160" s="3" t="s">
        <v>2933</v>
      </c>
      <c r="M3160" s="3" t="str">
        <f>HYPERLINK("http://ictvonline.org/taxonomyHistory.asp?taxnode_id=20153942","ICTVonline=20153942")</f>
        <v>ICTVonline=20153942</v>
      </c>
    </row>
    <row r="3161" spans="1:13" x14ac:dyDescent="0.15">
      <c r="A3161" s="1" t="s">
        <v>934</v>
      </c>
      <c r="B3161" s="1" t="s">
        <v>498</v>
      </c>
      <c r="D3161" s="1" t="s">
        <v>607</v>
      </c>
      <c r="E3161" s="1" t="s">
        <v>6276</v>
      </c>
      <c r="F3161" s="3">
        <v>0</v>
      </c>
      <c r="G3161" s="24" t="s">
        <v>7750</v>
      </c>
      <c r="H3161" s="24" t="s">
        <v>5724</v>
      </c>
      <c r="I3161" s="24" t="s">
        <v>3265</v>
      </c>
      <c r="J3161" s="24" t="s">
        <v>2919</v>
      </c>
      <c r="K3161" s="3">
        <v>30</v>
      </c>
      <c r="L3161" s="3" t="s">
        <v>7083</v>
      </c>
      <c r="M3161" s="3" t="str">
        <f>HYPERLINK("http://ictvonline.org/taxonomyHistory.asp?taxnode_id=20153976","ICTVonline=20153976")</f>
        <v>ICTVonline=20153976</v>
      </c>
    </row>
    <row r="3162" spans="1:13" x14ac:dyDescent="0.15">
      <c r="A3162" s="1" t="s">
        <v>934</v>
      </c>
      <c r="B3162" s="1" t="s">
        <v>498</v>
      </c>
      <c r="D3162" s="1" t="s">
        <v>607</v>
      </c>
      <c r="E3162" s="1" t="s">
        <v>255</v>
      </c>
      <c r="F3162" s="3">
        <v>0</v>
      </c>
      <c r="I3162" s="24" t="s">
        <v>3265</v>
      </c>
      <c r="J3162" s="24" t="s">
        <v>2920</v>
      </c>
      <c r="K3162" s="3">
        <v>13</v>
      </c>
      <c r="L3162" s="3" t="s">
        <v>2932</v>
      </c>
      <c r="M3162" s="3" t="str">
        <f>HYPERLINK("http://ictvonline.org/taxonomyHistory.asp?taxnode_id=20153943","ICTVonline=20153943")</f>
        <v>ICTVonline=20153943</v>
      </c>
    </row>
    <row r="3163" spans="1:13" x14ac:dyDescent="0.15">
      <c r="A3163" s="1" t="s">
        <v>934</v>
      </c>
      <c r="B3163" s="1" t="s">
        <v>498</v>
      </c>
      <c r="D3163" s="1" t="s">
        <v>607</v>
      </c>
      <c r="E3163" s="1" t="s">
        <v>2281</v>
      </c>
      <c r="F3163" s="3">
        <v>0</v>
      </c>
      <c r="G3163" s="24" t="s">
        <v>6277</v>
      </c>
      <c r="H3163" s="24" t="s">
        <v>6278</v>
      </c>
      <c r="I3163" s="24" t="s">
        <v>3265</v>
      </c>
      <c r="J3163" s="24" t="s">
        <v>2919</v>
      </c>
      <c r="K3163" s="3">
        <v>25</v>
      </c>
      <c r="L3163" s="3" t="s">
        <v>7088</v>
      </c>
      <c r="M3163" s="3" t="str">
        <f>HYPERLINK("http://ictvonline.org/taxonomyHistory.asp?taxnode_id=20153944","ICTVonline=20153944")</f>
        <v>ICTVonline=20153944</v>
      </c>
    </row>
    <row r="3164" spans="1:13" x14ac:dyDescent="0.15">
      <c r="A3164" s="1" t="s">
        <v>934</v>
      </c>
      <c r="B3164" s="1" t="s">
        <v>498</v>
      </c>
      <c r="D3164" s="1" t="s">
        <v>607</v>
      </c>
      <c r="E3164" s="1" t="s">
        <v>256</v>
      </c>
      <c r="F3164" s="3">
        <v>0</v>
      </c>
      <c r="G3164" s="24" t="s">
        <v>6279</v>
      </c>
      <c r="H3164" s="24" t="s">
        <v>6280</v>
      </c>
      <c r="I3164" s="24" t="s">
        <v>3265</v>
      </c>
      <c r="J3164" s="24" t="s">
        <v>2919</v>
      </c>
      <c r="K3164" s="3">
        <v>24</v>
      </c>
      <c r="L3164" s="3" t="s">
        <v>7087</v>
      </c>
      <c r="M3164" s="3" t="str">
        <f>HYPERLINK("http://ictvonline.org/taxonomyHistory.asp?taxnode_id=20153945","ICTVonline=20153945")</f>
        <v>ICTVonline=20153945</v>
      </c>
    </row>
    <row r="3165" spans="1:13" x14ac:dyDescent="0.15">
      <c r="A3165" s="1" t="s">
        <v>934</v>
      </c>
      <c r="B3165" s="1" t="s">
        <v>498</v>
      </c>
      <c r="D3165" s="1" t="s">
        <v>607</v>
      </c>
      <c r="E3165" s="1" t="s">
        <v>257</v>
      </c>
      <c r="F3165" s="3">
        <v>0</v>
      </c>
      <c r="G3165" s="24" t="s">
        <v>6281</v>
      </c>
      <c r="H3165" s="24" t="s">
        <v>6282</v>
      </c>
      <c r="I3165" s="24" t="s">
        <v>3265</v>
      </c>
      <c r="J3165" s="24" t="s">
        <v>2920</v>
      </c>
      <c r="K3165" s="3">
        <v>13</v>
      </c>
      <c r="L3165" s="3" t="s">
        <v>2932</v>
      </c>
      <c r="M3165" s="3" t="str">
        <f>HYPERLINK("http://ictvonline.org/taxonomyHistory.asp?taxnode_id=20153946","ICTVonline=20153946")</f>
        <v>ICTVonline=20153946</v>
      </c>
    </row>
    <row r="3166" spans="1:13" x14ac:dyDescent="0.15">
      <c r="A3166" s="1" t="s">
        <v>934</v>
      </c>
      <c r="B3166" s="1" t="s">
        <v>498</v>
      </c>
      <c r="D3166" s="1" t="s">
        <v>607</v>
      </c>
      <c r="E3166" s="1" t="s">
        <v>397</v>
      </c>
      <c r="F3166" s="3">
        <v>0</v>
      </c>
      <c r="G3166" s="24" t="s">
        <v>6283</v>
      </c>
      <c r="H3166" s="24" t="s">
        <v>6284</v>
      </c>
      <c r="I3166" s="24" t="s">
        <v>3265</v>
      </c>
      <c r="J3166" s="24" t="s">
        <v>2919</v>
      </c>
      <c r="K3166" s="3">
        <v>17</v>
      </c>
      <c r="L3166" s="3" t="s">
        <v>2928</v>
      </c>
      <c r="M3166" s="3" t="str">
        <f>HYPERLINK("http://ictvonline.org/taxonomyHistory.asp?taxnode_id=20153947","ICTVonline=20153947")</f>
        <v>ICTVonline=20153947</v>
      </c>
    </row>
    <row r="3167" spans="1:13" x14ac:dyDescent="0.15">
      <c r="A3167" s="1" t="s">
        <v>934</v>
      </c>
      <c r="B3167" s="1" t="s">
        <v>498</v>
      </c>
      <c r="D3167" s="1" t="s">
        <v>607</v>
      </c>
      <c r="E3167" s="1" t="s">
        <v>398</v>
      </c>
      <c r="F3167" s="3">
        <v>0</v>
      </c>
      <c r="G3167" s="24" t="s">
        <v>6285</v>
      </c>
      <c r="H3167" s="24" t="s">
        <v>6713</v>
      </c>
      <c r="I3167" s="24" t="s">
        <v>3265</v>
      </c>
      <c r="J3167" s="24" t="s">
        <v>2920</v>
      </c>
      <c r="K3167" s="3">
        <v>13</v>
      </c>
      <c r="L3167" s="3" t="s">
        <v>2932</v>
      </c>
      <c r="M3167" s="3" t="str">
        <f>HYPERLINK("http://ictvonline.org/taxonomyHistory.asp?taxnode_id=20153948","ICTVonline=20153948")</f>
        <v>ICTVonline=20153948</v>
      </c>
    </row>
    <row r="3168" spans="1:13" x14ac:dyDescent="0.15">
      <c r="A3168" s="1" t="s">
        <v>934</v>
      </c>
      <c r="B3168" s="1" t="s">
        <v>498</v>
      </c>
      <c r="D3168" s="1" t="s">
        <v>607</v>
      </c>
      <c r="E3168" s="1" t="s">
        <v>2879</v>
      </c>
      <c r="F3168" s="3">
        <v>0</v>
      </c>
      <c r="G3168" s="24" t="s">
        <v>3311</v>
      </c>
      <c r="H3168" s="24" t="s">
        <v>6286</v>
      </c>
      <c r="I3168" s="24" t="s">
        <v>3265</v>
      </c>
      <c r="J3168" s="24" t="s">
        <v>2919</v>
      </c>
      <c r="K3168" s="3">
        <v>29</v>
      </c>
      <c r="L3168" s="3" t="s">
        <v>7089</v>
      </c>
      <c r="M3168" s="3" t="str">
        <f>HYPERLINK("http://ictvonline.org/taxonomyHistory.asp?taxnode_id=20153949","ICTVonline=20153949")</f>
        <v>ICTVonline=20153949</v>
      </c>
    </row>
    <row r="3169" spans="1:13" x14ac:dyDescent="0.15">
      <c r="A3169" s="1" t="s">
        <v>934</v>
      </c>
      <c r="B3169" s="1" t="s">
        <v>498</v>
      </c>
      <c r="D3169" s="1" t="s">
        <v>607</v>
      </c>
      <c r="E3169" s="1" t="s">
        <v>399</v>
      </c>
      <c r="F3169" s="3">
        <v>0</v>
      </c>
      <c r="I3169" s="24" t="s">
        <v>3265</v>
      </c>
      <c r="J3169" s="24" t="s">
        <v>2919</v>
      </c>
      <c r="K3169" s="3">
        <v>24</v>
      </c>
      <c r="L3169" s="3" t="s">
        <v>7087</v>
      </c>
      <c r="M3169" s="3" t="str">
        <f>HYPERLINK("http://ictvonline.org/taxonomyHistory.asp?taxnode_id=20153950","ICTVonline=20153950")</f>
        <v>ICTVonline=20153950</v>
      </c>
    </row>
    <row r="3170" spans="1:13" x14ac:dyDescent="0.15">
      <c r="A3170" s="1" t="s">
        <v>934</v>
      </c>
      <c r="B3170" s="1" t="s">
        <v>498</v>
      </c>
      <c r="D3170" s="1" t="s">
        <v>607</v>
      </c>
      <c r="E3170" s="1" t="s">
        <v>400</v>
      </c>
      <c r="F3170" s="3">
        <v>0</v>
      </c>
      <c r="I3170" s="24" t="s">
        <v>3265</v>
      </c>
      <c r="J3170" s="24" t="s">
        <v>2919</v>
      </c>
      <c r="K3170" s="3">
        <v>18</v>
      </c>
      <c r="L3170" s="3" t="s">
        <v>2929</v>
      </c>
      <c r="M3170" s="3" t="str">
        <f>HYPERLINK("http://ictvonline.org/taxonomyHistory.asp?taxnode_id=20153951","ICTVonline=20153951")</f>
        <v>ICTVonline=20153951</v>
      </c>
    </row>
    <row r="3171" spans="1:13" x14ac:dyDescent="0.15">
      <c r="A3171" s="1" t="s">
        <v>934</v>
      </c>
      <c r="B3171" s="1" t="s">
        <v>498</v>
      </c>
      <c r="D3171" s="1" t="s">
        <v>607</v>
      </c>
      <c r="E3171" s="1" t="s">
        <v>401</v>
      </c>
      <c r="F3171" s="3">
        <v>0</v>
      </c>
      <c r="I3171" s="24" t="s">
        <v>3265</v>
      </c>
      <c r="J3171" s="24" t="s">
        <v>2919</v>
      </c>
      <c r="K3171" s="3">
        <v>18</v>
      </c>
      <c r="L3171" s="3" t="s">
        <v>2929</v>
      </c>
      <c r="M3171" s="3" t="str">
        <f>HYPERLINK("http://ictvonline.org/taxonomyHistory.asp?taxnode_id=20153952","ICTVonline=20153952")</f>
        <v>ICTVonline=20153952</v>
      </c>
    </row>
    <row r="3172" spans="1:13" x14ac:dyDescent="0.15">
      <c r="A3172" s="1" t="s">
        <v>934</v>
      </c>
      <c r="B3172" s="1" t="s">
        <v>498</v>
      </c>
      <c r="D3172" s="1" t="s">
        <v>607</v>
      </c>
      <c r="E3172" s="1" t="s">
        <v>402</v>
      </c>
      <c r="F3172" s="3">
        <v>0</v>
      </c>
      <c r="I3172" s="24" t="s">
        <v>3265</v>
      </c>
      <c r="J3172" s="24" t="s">
        <v>2919</v>
      </c>
      <c r="K3172" s="3">
        <v>24</v>
      </c>
      <c r="L3172" s="3" t="s">
        <v>7087</v>
      </c>
      <c r="M3172" s="3" t="str">
        <f>HYPERLINK("http://ictvonline.org/taxonomyHistory.asp?taxnode_id=20153953","ICTVonline=20153953")</f>
        <v>ICTVonline=20153953</v>
      </c>
    </row>
    <row r="3173" spans="1:13" x14ac:dyDescent="0.15">
      <c r="A3173" s="1" t="s">
        <v>934</v>
      </c>
      <c r="B3173" s="1" t="s">
        <v>498</v>
      </c>
      <c r="D3173" s="1" t="s">
        <v>607</v>
      </c>
      <c r="E3173" s="1" t="s">
        <v>403</v>
      </c>
      <c r="F3173" s="3">
        <v>0</v>
      </c>
      <c r="I3173" s="24" t="s">
        <v>3265</v>
      </c>
      <c r="J3173" s="24" t="s">
        <v>2920</v>
      </c>
      <c r="K3173" s="3">
        <v>13</v>
      </c>
      <c r="L3173" s="3" t="s">
        <v>2932</v>
      </c>
      <c r="M3173" s="3" t="str">
        <f>HYPERLINK("http://ictvonline.org/taxonomyHistory.asp?taxnode_id=20153954","ICTVonline=20153954")</f>
        <v>ICTVonline=20153954</v>
      </c>
    </row>
    <row r="3174" spans="1:13" x14ac:dyDescent="0.15">
      <c r="A3174" s="1" t="s">
        <v>934</v>
      </c>
      <c r="B3174" s="1" t="s">
        <v>498</v>
      </c>
      <c r="D3174" s="1" t="s">
        <v>607</v>
      </c>
      <c r="E3174" s="1" t="s">
        <v>404</v>
      </c>
      <c r="F3174" s="3">
        <v>0</v>
      </c>
      <c r="I3174" s="24" t="s">
        <v>3265</v>
      </c>
      <c r="J3174" s="24" t="s">
        <v>2919</v>
      </c>
      <c r="K3174" s="3">
        <v>23</v>
      </c>
      <c r="L3174" s="3" t="s">
        <v>2933</v>
      </c>
      <c r="M3174" s="3" t="str">
        <f>HYPERLINK("http://ictvonline.org/taxonomyHistory.asp?taxnode_id=20153955","ICTVonline=20153955")</f>
        <v>ICTVonline=20153955</v>
      </c>
    </row>
    <row r="3175" spans="1:13" x14ac:dyDescent="0.15">
      <c r="A3175" s="1" t="s">
        <v>934</v>
      </c>
      <c r="B3175" s="1" t="s">
        <v>498</v>
      </c>
      <c r="D3175" s="1" t="s">
        <v>607</v>
      </c>
      <c r="E3175" s="1" t="s">
        <v>405</v>
      </c>
      <c r="F3175" s="3">
        <v>0</v>
      </c>
      <c r="G3175" s="24" t="s">
        <v>6287</v>
      </c>
      <c r="H3175" s="24" t="s">
        <v>6288</v>
      </c>
      <c r="I3175" s="24" t="s">
        <v>3265</v>
      </c>
      <c r="J3175" s="24" t="s">
        <v>2931</v>
      </c>
      <c r="K3175" s="3">
        <v>18</v>
      </c>
      <c r="L3175" s="3" t="s">
        <v>2929</v>
      </c>
      <c r="M3175" s="3" t="str">
        <f>HYPERLINK("http://ictvonline.org/taxonomyHistory.asp?taxnode_id=20153956","ICTVonline=20153956")</f>
        <v>ICTVonline=20153956</v>
      </c>
    </row>
    <row r="3176" spans="1:13" x14ac:dyDescent="0.15">
      <c r="A3176" s="1" t="s">
        <v>934</v>
      </c>
      <c r="B3176" s="1" t="s">
        <v>498</v>
      </c>
      <c r="D3176" s="1" t="s">
        <v>607</v>
      </c>
      <c r="E3176" s="1" t="s">
        <v>2282</v>
      </c>
      <c r="F3176" s="3">
        <v>0</v>
      </c>
      <c r="I3176" s="24" t="s">
        <v>3265</v>
      </c>
      <c r="J3176" s="24" t="s">
        <v>2919</v>
      </c>
      <c r="K3176" s="3">
        <v>25</v>
      </c>
      <c r="L3176" s="3" t="s">
        <v>7088</v>
      </c>
      <c r="M3176" s="3" t="str">
        <f>HYPERLINK("http://ictvonline.org/taxonomyHistory.asp?taxnode_id=20153957","ICTVonline=20153957")</f>
        <v>ICTVonline=20153957</v>
      </c>
    </row>
    <row r="3177" spans="1:13" x14ac:dyDescent="0.15">
      <c r="A3177" s="1" t="s">
        <v>934</v>
      </c>
      <c r="B3177" s="1" t="s">
        <v>498</v>
      </c>
      <c r="D3177" s="1" t="s">
        <v>607</v>
      </c>
      <c r="E3177" s="1" t="s">
        <v>2283</v>
      </c>
      <c r="F3177" s="3">
        <v>0</v>
      </c>
      <c r="I3177" s="24" t="s">
        <v>3265</v>
      </c>
      <c r="J3177" s="24" t="s">
        <v>2919</v>
      </c>
      <c r="K3177" s="3">
        <v>25</v>
      </c>
      <c r="L3177" s="3" t="s">
        <v>7088</v>
      </c>
      <c r="M3177" s="3" t="str">
        <f>HYPERLINK("http://ictvonline.org/taxonomyHistory.asp?taxnode_id=20153958","ICTVonline=20153958")</f>
        <v>ICTVonline=20153958</v>
      </c>
    </row>
    <row r="3178" spans="1:13" x14ac:dyDescent="0.15">
      <c r="A3178" s="1" t="s">
        <v>934</v>
      </c>
      <c r="B3178" s="1" t="s">
        <v>498</v>
      </c>
      <c r="D3178" s="1" t="s">
        <v>607</v>
      </c>
      <c r="E3178" s="1" t="s">
        <v>6289</v>
      </c>
      <c r="F3178" s="3">
        <v>0</v>
      </c>
      <c r="G3178" s="24" t="s">
        <v>7751</v>
      </c>
      <c r="H3178" s="24" t="s">
        <v>6290</v>
      </c>
      <c r="I3178" s="24" t="s">
        <v>3265</v>
      </c>
      <c r="J3178" s="24" t="s">
        <v>2919</v>
      </c>
      <c r="K3178" s="3">
        <v>30</v>
      </c>
      <c r="L3178" s="3" t="s">
        <v>7083</v>
      </c>
      <c r="M3178" s="3" t="str">
        <f>HYPERLINK("http://ictvonline.org/taxonomyHistory.asp?taxnode_id=20153977","ICTVonline=20153977")</f>
        <v>ICTVonline=20153977</v>
      </c>
    </row>
    <row r="3179" spans="1:13" x14ac:dyDescent="0.15">
      <c r="A3179" s="1" t="s">
        <v>934</v>
      </c>
      <c r="B3179" s="1" t="s">
        <v>498</v>
      </c>
      <c r="D3179" s="1" t="s">
        <v>607</v>
      </c>
      <c r="E3179" s="1" t="s">
        <v>2880</v>
      </c>
      <c r="F3179" s="3">
        <v>0</v>
      </c>
      <c r="G3179" s="24" t="s">
        <v>3312</v>
      </c>
      <c r="H3179" s="24" t="s">
        <v>6291</v>
      </c>
      <c r="I3179" s="24" t="s">
        <v>3265</v>
      </c>
      <c r="J3179" s="24" t="s">
        <v>2919</v>
      </c>
      <c r="K3179" s="3">
        <v>29</v>
      </c>
      <c r="L3179" s="3" t="s">
        <v>7089</v>
      </c>
      <c r="M3179" s="3" t="str">
        <f>HYPERLINK("http://ictvonline.org/taxonomyHistory.asp?taxnode_id=20153959","ICTVonline=20153959")</f>
        <v>ICTVonline=20153959</v>
      </c>
    </row>
    <row r="3180" spans="1:13" x14ac:dyDescent="0.15">
      <c r="A3180" s="1" t="s">
        <v>934</v>
      </c>
      <c r="B3180" s="1" t="s">
        <v>498</v>
      </c>
      <c r="D3180" s="1" t="s">
        <v>607</v>
      </c>
      <c r="E3180" s="1" t="s">
        <v>406</v>
      </c>
      <c r="F3180" s="3">
        <v>0</v>
      </c>
      <c r="I3180" s="24" t="s">
        <v>3265</v>
      </c>
      <c r="J3180" s="24" t="s">
        <v>2919</v>
      </c>
      <c r="K3180" s="3">
        <v>23</v>
      </c>
      <c r="L3180" s="3" t="s">
        <v>2933</v>
      </c>
      <c r="M3180" s="3" t="str">
        <f>HYPERLINK("http://ictvonline.org/taxonomyHistory.asp?taxnode_id=20153960","ICTVonline=20153960")</f>
        <v>ICTVonline=20153960</v>
      </c>
    </row>
    <row r="3181" spans="1:13" x14ac:dyDescent="0.15">
      <c r="A3181" s="1" t="s">
        <v>934</v>
      </c>
      <c r="B3181" s="1" t="s">
        <v>498</v>
      </c>
      <c r="D3181" s="1" t="s">
        <v>607</v>
      </c>
      <c r="E3181" s="1" t="s">
        <v>407</v>
      </c>
      <c r="F3181" s="3">
        <v>0</v>
      </c>
      <c r="G3181" s="24" t="s">
        <v>6292</v>
      </c>
      <c r="H3181" s="24" t="s">
        <v>6253</v>
      </c>
      <c r="I3181" s="24" t="s">
        <v>3265</v>
      </c>
      <c r="J3181" s="24" t="s">
        <v>2924</v>
      </c>
      <c r="K3181" s="3">
        <v>18</v>
      </c>
      <c r="L3181" s="3" t="s">
        <v>2929</v>
      </c>
      <c r="M3181" s="3" t="str">
        <f>HYPERLINK("http://ictvonline.org/taxonomyHistory.asp?taxnode_id=20153961","ICTVonline=20153961")</f>
        <v>ICTVonline=20153961</v>
      </c>
    </row>
    <row r="3182" spans="1:13" x14ac:dyDescent="0.15">
      <c r="A3182" s="1" t="s">
        <v>934</v>
      </c>
      <c r="B3182" s="1" t="s">
        <v>498</v>
      </c>
      <c r="D3182" s="1" t="s">
        <v>607</v>
      </c>
      <c r="E3182" s="1" t="s">
        <v>1581</v>
      </c>
      <c r="F3182" s="3">
        <v>0</v>
      </c>
      <c r="G3182" s="24" t="s">
        <v>6293</v>
      </c>
      <c r="H3182" s="24" t="s">
        <v>4969</v>
      </c>
      <c r="I3182" s="24" t="s">
        <v>3265</v>
      </c>
      <c r="J3182" s="24" t="s">
        <v>2919</v>
      </c>
      <c r="K3182" s="3">
        <v>18</v>
      </c>
      <c r="L3182" s="3" t="s">
        <v>2929</v>
      </c>
      <c r="M3182" s="3" t="str">
        <f>HYPERLINK("http://ictvonline.org/taxonomyHistory.asp?taxnode_id=20153962","ICTVonline=20153962")</f>
        <v>ICTVonline=20153962</v>
      </c>
    </row>
    <row r="3183" spans="1:13" x14ac:dyDescent="0.15">
      <c r="A3183" s="1" t="s">
        <v>934</v>
      </c>
      <c r="B3183" s="1" t="s">
        <v>498</v>
      </c>
      <c r="D3183" s="1" t="s">
        <v>607</v>
      </c>
      <c r="E3183" s="1" t="s">
        <v>2284</v>
      </c>
      <c r="F3183" s="3">
        <v>0</v>
      </c>
      <c r="G3183" s="24" t="s">
        <v>6294</v>
      </c>
      <c r="H3183" s="24" t="s">
        <v>6295</v>
      </c>
      <c r="I3183" s="24" t="s">
        <v>3265</v>
      </c>
      <c r="J3183" s="24" t="s">
        <v>2919</v>
      </c>
      <c r="K3183" s="3">
        <v>25</v>
      </c>
      <c r="L3183" s="3" t="s">
        <v>7088</v>
      </c>
      <c r="M3183" s="3" t="str">
        <f>HYPERLINK("http://ictvonline.org/taxonomyHistory.asp?taxnode_id=20153963","ICTVonline=20153963")</f>
        <v>ICTVonline=20153963</v>
      </c>
    </row>
    <row r="3184" spans="1:13" x14ac:dyDescent="0.15">
      <c r="A3184" s="1" t="s">
        <v>934</v>
      </c>
      <c r="B3184" s="1" t="s">
        <v>498</v>
      </c>
      <c r="D3184" s="1" t="s">
        <v>607</v>
      </c>
      <c r="E3184" s="1" t="s">
        <v>1582</v>
      </c>
      <c r="F3184" s="3">
        <v>0</v>
      </c>
      <c r="G3184" s="24" t="s">
        <v>6296</v>
      </c>
      <c r="H3184" s="24" t="s">
        <v>6297</v>
      </c>
      <c r="I3184" s="24" t="s">
        <v>3265</v>
      </c>
      <c r="J3184" s="24" t="s">
        <v>2920</v>
      </c>
      <c r="K3184" s="3">
        <v>13</v>
      </c>
      <c r="L3184" s="3" t="s">
        <v>2932</v>
      </c>
      <c r="M3184" s="3" t="str">
        <f>HYPERLINK("http://ictvonline.org/taxonomyHistory.asp?taxnode_id=20153964","ICTVonline=20153964")</f>
        <v>ICTVonline=20153964</v>
      </c>
    </row>
    <row r="3185" spans="1:13" x14ac:dyDescent="0.15">
      <c r="A3185" s="1" t="s">
        <v>934</v>
      </c>
      <c r="B3185" s="1" t="s">
        <v>498</v>
      </c>
      <c r="D3185" s="1" t="s">
        <v>607</v>
      </c>
      <c r="E3185" s="1" t="s">
        <v>1583</v>
      </c>
      <c r="F3185" s="3">
        <v>0</v>
      </c>
      <c r="G3185" s="24" t="s">
        <v>6298</v>
      </c>
      <c r="H3185" s="24" t="s">
        <v>4807</v>
      </c>
      <c r="I3185" s="24" t="s">
        <v>3265</v>
      </c>
      <c r="J3185" s="24" t="s">
        <v>2919</v>
      </c>
      <c r="K3185" s="3">
        <v>23</v>
      </c>
      <c r="L3185" s="3" t="s">
        <v>2933</v>
      </c>
      <c r="M3185" s="3" t="str">
        <f>HYPERLINK("http://ictvonline.org/taxonomyHistory.asp?taxnode_id=20153965","ICTVonline=20153965")</f>
        <v>ICTVonline=20153965</v>
      </c>
    </row>
    <row r="3186" spans="1:13" x14ac:dyDescent="0.15">
      <c r="A3186" s="1" t="s">
        <v>934</v>
      </c>
      <c r="B3186" s="1" t="s">
        <v>498</v>
      </c>
      <c r="D3186" s="1" t="s">
        <v>607</v>
      </c>
      <c r="E3186" s="1" t="s">
        <v>1584</v>
      </c>
      <c r="F3186" s="3">
        <v>0</v>
      </c>
      <c r="G3186" s="24" t="s">
        <v>6299</v>
      </c>
      <c r="H3186" s="24" t="s">
        <v>6300</v>
      </c>
      <c r="I3186" s="24" t="s">
        <v>3265</v>
      </c>
      <c r="J3186" s="24" t="s">
        <v>2920</v>
      </c>
      <c r="K3186" s="3">
        <v>13</v>
      </c>
      <c r="L3186" s="3" t="s">
        <v>2932</v>
      </c>
      <c r="M3186" s="3" t="str">
        <f>HYPERLINK("http://ictvonline.org/taxonomyHistory.asp?taxnode_id=20153966","ICTVonline=20153966")</f>
        <v>ICTVonline=20153966</v>
      </c>
    </row>
    <row r="3187" spans="1:13" x14ac:dyDescent="0.15">
      <c r="A3187" s="1" t="s">
        <v>934</v>
      </c>
      <c r="B3187" s="1" t="s">
        <v>498</v>
      </c>
      <c r="D3187" s="1" t="s">
        <v>607</v>
      </c>
      <c r="E3187" s="1" t="s">
        <v>200</v>
      </c>
      <c r="F3187" s="3">
        <v>0</v>
      </c>
      <c r="G3187" s="24" t="s">
        <v>6301</v>
      </c>
      <c r="H3187" s="24" t="s">
        <v>6302</v>
      </c>
      <c r="I3187" s="24" t="s">
        <v>3265</v>
      </c>
      <c r="J3187" s="24" t="s">
        <v>2919</v>
      </c>
      <c r="K3187" s="3">
        <v>26</v>
      </c>
      <c r="L3187" s="3" t="s">
        <v>7094</v>
      </c>
      <c r="M3187" s="3" t="str">
        <f>HYPERLINK("http://ictvonline.org/taxonomyHistory.asp?taxnode_id=20153967","ICTVonline=20153967")</f>
        <v>ICTVonline=20153967</v>
      </c>
    </row>
    <row r="3188" spans="1:13" x14ac:dyDescent="0.15">
      <c r="A3188" s="1" t="s">
        <v>934</v>
      </c>
      <c r="B3188" s="1" t="s">
        <v>498</v>
      </c>
      <c r="D3188" s="1" t="s">
        <v>607</v>
      </c>
      <c r="E3188" s="1" t="s">
        <v>1585</v>
      </c>
      <c r="F3188" s="3">
        <v>0</v>
      </c>
      <c r="G3188" s="24" t="s">
        <v>6303</v>
      </c>
      <c r="H3188" s="24" t="s">
        <v>6304</v>
      </c>
      <c r="I3188" s="24" t="s">
        <v>3265</v>
      </c>
      <c r="J3188" s="24" t="s">
        <v>2919</v>
      </c>
      <c r="K3188" s="3">
        <v>24</v>
      </c>
      <c r="L3188" s="3" t="s">
        <v>7087</v>
      </c>
      <c r="M3188" s="3" t="str">
        <f>HYPERLINK("http://ictvonline.org/taxonomyHistory.asp?taxnode_id=20153968","ICTVonline=20153968")</f>
        <v>ICTVonline=20153968</v>
      </c>
    </row>
    <row r="3189" spans="1:13" x14ac:dyDescent="0.15">
      <c r="A3189" s="1" t="s">
        <v>934</v>
      </c>
      <c r="B3189" s="1" t="s">
        <v>498</v>
      </c>
      <c r="D3189" s="1" t="s">
        <v>607</v>
      </c>
      <c r="E3189" s="1" t="s">
        <v>1586</v>
      </c>
      <c r="F3189" s="3">
        <v>0</v>
      </c>
      <c r="G3189" s="24" t="s">
        <v>6305</v>
      </c>
      <c r="H3189" s="24" t="s">
        <v>6306</v>
      </c>
      <c r="I3189" s="24" t="s">
        <v>3265</v>
      </c>
      <c r="J3189" s="24" t="s">
        <v>2919</v>
      </c>
      <c r="K3189" s="3">
        <v>22</v>
      </c>
      <c r="L3189" s="3" t="s">
        <v>7078</v>
      </c>
      <c r="M3189" s="3" t="str">
        <f>HYPERLINK("http://ictvonline.org/taxonomyHistory.asp?taxnode_id=20153969","ICTVonline=20153969")</f>
        <v>ICTVonline=20153969</v>
      </c>
    </row>
    <row r="3190" spans="1:13" x14ac:dyDescent="0.15">
      <c r="A3190" s="1" t="s">
        <v>934</v>
      </c>
      <c r="B3190" s="1" t="s">
        <v>498</v>
      </c>
      <c r="D3190" s="1" t="s">
        <v>607</v>
      </c>
      <c r="E3190" s="1" t="s">
        <v>2881</v>
      </c>
      <c r="F3190" s="3">
        <v>0</v>
      </c>
      <c r="G3190" s="24" t="s">
        <v>3313</v>
      </c>
      <c r="H3190" s="24" t="s">
        <v>6307</v>
      </c>
      <c r="I3190" s="24" t="s">
        <v>3265</v>
      </c>
      <c r="J3190" s="24" t="s">
        <v>2919</v>
      </c>
      <c r="K3190" s="3">
        <v>29</v>
      </c>
      <c r="L3190" s="3" t="s">
        <v>7089</v>
      </c>
      <c r="M3190" s="3" t="str">
        <f>HYPERLINK("http://ictvonline.org/taxonomyHistory.asp?taxnode_id=20153970","ICTVonline=20153970")</f>
        <v>ICTVonline=20153970</v>
      </c>
    </row>
    <row r="3191" spans="1:13" x14ac:dyDescent="0.15">
      <c r="A3191" s="1" t="s">
        <v>934</v>
      </c>
      <c r="B3191" s="1" t="s">
        <v>498</v>
      </c>
      <c r="D3191" s="1" t="s">
        <v>607</v>
      </c>
      <c r="E3191" s="1" t="s">
        <v>1697</v>
      </c>
      <c r="F3191" s="3">
        <v>0</v>
      </c>
      <c r="I3191" s="24" t="s">
        <v>3265</v>
      </c>
      <c r="J3191" s="24" t="s">
        <v>2920</v>
      </c>
      <c r="K3191" s="3">
        <v>13</v>
      </c>
      <c r="L3191" s="3" t="s">
        <v>2932</v>
      </c>
      <c r="M3191" s="3" t="str">
        <f>HYPERLINK("http://ictvonline.org/taxonomyHistory.asp?taxnode_id=20153971","ICTVonline=20153971")</f>
        <v>ICTVonline=20153971</v>
      </c>
    </row>
    <row r="3192" spans="1:13" x14ac:dyDescent="0.15">
      <c r="A3192" s="1" t="s">
        <v>934</v>
      </c>
      <c r="B3192" s="1" t="s">
        <v>498</v>
      </c>
      <c r="D3192" s="1" t="s">
        <v>607</v>
      </c>
      <c r="E3192" s="1" t="s">
        <v>1698</v>
      </c>
      <c r="F3192" s="3">
        <v>0</v>
      </c>
      <c r="G3192" s="24" t="s">
        <v>6308</v>
      </c>
      <c r="H3192" s="24" t="s">
        <v>6309</v>
      </c>
      <c r="I3192" s="24" t="s">
        <v>3265</v>
      </c>
      <c r="J3192" s="24" t="s">
        <v>2920</v>
      </c>
      <c r="K3192" s="3">
        <v>13</v>
      </c>
      <c r="L3192" s="3" t="s">
        <v>2932</v>
      </c>
      <c r="M3192" s="3" t="str">
        <f>HYPERLINK("http://ictvonline.org/taxonomyHistory.asp?taxnode_id=20153972","ICTVonline=20153972")</f>
        <v>ICTVonline=20153972</v>
      </c>
    </row>
    <row r="3193" spans="1:13" x14ac:dyDescent="0.15">
      <c r="A3193" s="1" t="s">
        <v>934</v>
      </c>
      <c r="B3193" s="1" t="s">
        <v>498</v>
      </c>
      <c r="D3193" s="1" t="s">
        <v>1651</v>
      </c>
      <c r="E3193" s="1" t="s">
        <v>1652</v>
      </c>
      <c r="F3193" s="3">
        <v>0</v>
      </c>
      <c r="G3193" s="24" t="s">
        <v>6310</v>
      </c>
      <c r="H3193" s="24" t="s">
        <v>6311</v>
      </c>
      <c r="I3193" s="24" t="s">
        <v>3265</v>
      </c>
      <c r="J3193" s="24" t="s">
        <v>2919</v>
      </c>
      <c r="K3193" s="3">
        <v>13</v>
      </c>
      <c r="L3193" s="3" t="s">
        <v>2932</v>
      </c>
      <c r="M3193" s="3" t="str">
        <f>HYPERLINK("http://ictvonline.org/taxonomyHistory.asp?taxnode_id=20153979","ICTVonline=20153979")</f>
        <v>ICTVonline=20153979</v>
      </c>
    </row>
    <row r="3194" spans="1:13" x14ac:dyDescent="0.15">
      <c r="A3194" s="1" t="s">
        <v>934</v>
      </c>
      <c r="B3194" s="1" t="s">
        <v>498</v>
      </c>
      <c r="D3194" s="1" t="s">
        <v>1651</v>
      </c>
      <c r="E3194" s="1" t="s">
        <v>1653</v>
      </c>
      <c r="F3194" s="3">
        <v>0</v>
      </c>
      <c r="G3194" s="24" t="s">
        <v>6312</v>
      </c>
      <c r="H3194" s="24" t="s">
        <v>6313</v>
      </c>
      <c r="I3194" s="24" t="s">
        <v>3265</v>
      </c>
      <c r="J3194" s="24" t="s">
        <v>2919</v>
      </c>
      <c r="K3194" s="3">
        <v>13</v>
      </c>
      <c r="L3194" s="3" t="s">
        <v>2932</v>
      </c>
      <c r="M3194" s="3" t="str">
        <f>HYPERLINK("http://ictvonline.org/taxonomyHistory.asp?taxnode_id=20153980","ICTVonline=20153980")</f>
        <v>ICTVonline=20153980</v>
      </c>
    </row>
    <row r="3195" spans="1:13" x14ac:dyDescent="0.15">
      <c r="A3195" s="1" t="s">
        <v>934</v>
      </c>
      <c r="B3195" s="1" t="s">
        <v>498</v>
      </c>
      <c r="D3195" s="1" t="s">
        <v>1651</v>
      </c>
      <c r="E3195" s="1" t="s">
        <v>1654</v>
      </c>
      <c r="F3195" s="3">
        <v>1</v>
      </c>
      <c r="G3195" s="24" t="s">
        <v>6314</v>
      </c>
      <c r="H3195" s="24" t="s">
        <v>4860</v>
      </c>
      <c r="I3195" s="24" t="s">
        <v>3265</v>
      </c>
      <c r="J3195" s="24" t="s">
        <v>2921</v>
      </c>
      <c r="K3195" s="3">
        <v>13</v>
      </c>
      <c r="L3195" s="3" t="s">
        <v>2932</v>
      </c>
      <c r="M3195" s="3" t="str">
        <f>HYPERLINK("http://ictvonline.org/taxonomyHistory.asp?taxnode_id=20153981","ICTVonline=20153981")</f>
        <v>ICTVonline=20153981</v>
      </c>
    </row>
    <row r="3196" spans="1:13" x14ac:dyDescent="0.15">
      <c r="A3196" s="1" t="s">
        <v>934</v>
      </c>
      <c r="B3196" s="1" t="s">
        <v>498</v>
      </c>
      <c r="D3196" s="1" t="s">
        <v>1655</v>
      </c>
      <c r="E3196" s="1" t="s">
        <v>1656</v>
      </c>
      <c r="F3196" s="3">
        <v>0</v>
      </c>
      <c r="G3196" s="24" t="s">
        <v>6315</v>
      </c>
      <c r="H3196" s="24" t="s">
        <v>6181</v>
      </c>
      <c r="I3196" s="24" t="s">
        <v>3265</v>
      </c>
      <c r="J3196" s="24" t="s">
        <v>2919</v>
      </c>
      <c r="K3196" s="3">
        <v>17</v>
      </c>
      <c r="L3196" s="3" t="s">
        <v>2928</v>
      </c>
      <c r="M3196" s="3" t="str">
        <f>HYPERLINK("http://ictvonline.org/taxonomyHistory.asp?taxnode_id=20153983","ICTVonline=20153983")</f>
        <v>ICTVonline=20153983</v>
      </c>
    </row>
    <row r="3197" spans="1:13" x14ac:dyDescent="0.15">
      <c r="A3197" s="1" t="s">
        <v>934</v>
      </c>
      <c r="B3197" s="1" t="s">
        <v>498</v>
      </c>
      <c r="D3197" s="1" t="s">
        <v>1655</v>
      </c>
      <c r="E3197" s="1" t="s">
        <v>1657</v>
      </c>
      <c r="F3197" s="3">
        <v>0</v>
      </c>
      <c r="G3197" s="24" t="s">
        <v>6316</v>
      </c>
      <c r="H3197" s="24" t="s">
        <v>6317</v>
      </c>
      <c r="I3197" s="24" t="s">
        <v>3265</v>
      </c>
      <c r="J3197" s="24" t="s">
        <v>2920</v>
      </c>
      <c r="K3197" s="3">
        <v>22</v>
      </c>
      <c r="L3197" s="3" t="s">
        <v>7078</v>
      </c>
      <c r="M3197" s="3" t="str">
        <f>HYPERLINK("http://ictvonline.org/taxonomyHistory.asp?taxnode_id=20153984","ICTVonline=20153984")</f>
        <v>ICTVonline=20153984</v>
      </c>
    </row>
    <row r="3198" spans="1:13" x14ac:dyDescent="0.15">
      <c r="A3198" s="1" t="s">
        <v>934</v>
      </c>
      <c r="B3198" s="1" t="s">
        <v>498</v>
      </c>
      <c r="D3198" s="1" t="s">
        <v>1655</v>
      </c>
      <c r="E3198" s="1" t="s">
        <v>2882</v>
      </c>
      <c r="F3198" s="3">
        <v>0</v>
      </c>
      <c r="G3198" s="24" t="s">
        <v>3314</v>
      </c>
      <c r="H3198" s="24" t="s">
        <v>6318</v>
      </c>
      <c r="I3198" s="24" t="s">
        <v>3265</v>
      </c>
      <c r="J3198" s="24" t="s">
        <v>2919</v>
      </c>
      <c r="K3198" s="3">
        <v>29</v>
      </c>
      <c r="L3198" s="3" t="s">
        <v>7095</v>
      </c>
      <c r="M3198" s="3" t="str">
        <f>HYPERLINK("http://ictvonline.org/taxonomyHistory.asp?taxnode_id=20153985","ICTVonline=20153985")</f>
        <v>ICTVonline=20153985</v>
      </c>
    </row>
    <row r="3199" spans="1:13" x14ac:dyDescent="0.15">
      <c r="A3199" s="1" t="s">
        <v>934</v>
      </c>
      <c r="B3199" s="1" t="s">
        <v>498</v>
      </c>
      <c r="D3199" s="1" t="s">
        <v>1655</v>
      </c>
      <c r="E3199" s="1" t="s">
        <v>2285</v>
      </c>
      <c r="F3199" s="3">
        <v>0</v>
      </c>
      <c r="G3199" s="24" t="s">
        <v>6319</v>
      </c>
      <c r="H3199" s="24" t="s">
        <v>6320</v>
      </c>
      <c r="I3199" s="24" t="s">
        <v>3265</v>
      </c>
      <c r="J3199" s="24" t="s">
        <v>2919</v>
      </c>
      <c r="K3199" s="3">
        <v>25</v>
      </c>
      <c r="L3199" s="3" t="s">
        <v>7088</v>
      </c>
      <c r="M3199" s="3" t="str">
        <f>HYPERLINK("http://ictvonline.org/taxonomyHistory.asp?taxnode_id=20153986","ICTVonline=20153986")</f>
        <v>ICTVonline=20153986</v>
      </c>
    </row>
    <row r="3200" spans="1:13" x14ac:dyDescent="0.15">
      <c r="A3200" s="1" t="s">
        <v>934</v>
      </c>
      <c r="B3200" s="1" t="s">
        <v>498</v>
      </c>
      <c r="D3200" s="1" t="s">
        <v>1655</v>
      </c>
      <c r="E3200" s="1" t="s">
        <v>1658</v>
      </c>
      <c r="F3200" s="3">
        <v>1</v>
      </c>
      <c r="G3200" s="24" t="s">
        <v>6321</v>
      </c>
      <c r="H3200" s="24" t="s">
        <v>6322</v>
      </c>
      <c r="I3200" s="24" t="s">
        <v>3265</v>
      </c>
      <c r="J3200" s="24" t="s">
        <v>2922</v>
      </c>
      <c r="K3200" s="3">
        <v>17</v>
      </c>
      <c r="L3200" s="3" t="s">
        <v>2928</v>
      </c>
      <c r="M3200" s="3" t="str">
        <f>HYPERLINK("http://ictvonline.org/taxonomyHistory.asp?taxnode_id=20153987","ICTVonline=20153987")</f>
        <v>ICTVonline=20153987</v>
      </c>
    </row>
    <row r="3201" spans="1:13" x14ac:dyDescent="0.15">
      <c r="A3201" s="1" t="s">
        <v>934</v>
      </c>
      <c r="B3201" s="1" t="s">
        <v>498</v>
      </c>
      <c r="D3201" s="1" t="s">
        <v>1655</v>
      </c>
      <c r="E3201" s="1" t="s">
        <v>2423</v>
      </c>
      <c r="F3201" s="3">
        <v>0</v>
      </c>
      <c r="G3201" s="24" t="s">
        <v>6323</v>
      </c>
      <c r="H3201" s="24" t="s">
        <v>6324</v>
      </c>
      <c r="I3201" s="24" t="s">
        <v>3265</v>
      </c>
      <c r="J3201" s="24" t="s">
        <v>2919</v>
      </c>
      <c r="K3201" s="3">
        <v>27</v>
      </c>
      <c r="L3201" s="3" t="s">
        <v>7096</v>
      </c>
      <c r="M3201" s="3" t="str">
        <f>HYPERLINK("http://ictvonline.org/taxonomyHistory.asp?taxnode_id=20153988","ICTVonline=20153988")</f>
        <v>ICTVonline=20153988</v>
      </c>
    </row>
    <row r="3202" spans="1:13" x14ac:dyDescent="0.15">
      <c r="A3202" s="1" t="s">
        <v>934</v>
      </c>
      <c r="B3202" s="1" t="s">
        <v>498</v>
      </c>
      <c r="D3202" s="1" t="s">
        <v>934</v>
      </c>
      <c r="E3202" s="1" t="s">
        <v>2766</v>
      </c>
      <c r="F3202" s="3">
        <v>0</v>
      </c>
      <c r="G3202" s="24" t="s">
        <v>6325</v>
      </c>
      <c r="H3202" s="24" t="s">
        <v>6326</v>
      </c>
      <c r="I3202" s="24" t="s">
        <v>3265</v>
      </c>
      <c r="J3202" s="24" t="s">
        <v>2919</v>
      </c>
      <c r="K3202" s="3">
        <v>28</v>
      </c>
      <c r="L3202" s="3" t="s">
        <v>7097</v>
      </c>
      <c r="M3202" s="3" t="str">
        <f>HYPERLINK("http://ictvonline.org/taxonomyHistory.asp?taxnode_id=20153990","ICTVonline=20153990")</f>
        <v>ICTVonline=20153990</v>
      </c>
    </row>
    <row r="3203" spans="1:13" x14ac:dyDescent="0.15">
      <c r="A3203" s="1" t="s">
        <v>934</v>
      </c>
      <c r="B3203" s="1" t="s">
        <v>498</v>
      </c>
      <c r="D3203" s="1" t="s">
        <v>934</v>
      </c>
      <c r="E3203" s="1" t="s">
        <v>511</v>
      </c>
      <c r="F3203" s="3">
        <v>0</v>
      </c>
      <c r="I3203" s="24" t="s">
        <v>3265</v>
      </c>
      <c r="J3203" s="24" t="s">
        <v>2919</v>
      </c>
      <c r="K3203" s="3">
        <v>22</v>
      </c>
      <c r="L3203" s="3" t="s">
        <v>7078</v>
      </c>
      <c r="M3203" s="3" t="str">
        <f>HYPERLINK("http://ictvonline.org/taxonomyHistory.asp?taxnode_id=20153991","ICTVonline=20153991")</f>
        <v>ICTVonline=20153991</v>
      </c>
    </row>
    <row r="3204" spans="1:13" x14ac:dyDescent="0.15">
      <c r="A3204" s="1" t="s">
        <v>934</v>
      </c>
      <c r="B3204" s="1" t="s">
        <v>2216</v>
      </c>
      <c r="C3204" s="1" t="s">
        <v>2217</v>
      </c>
      <c r="D3204" s="1" t="s">
        <v>2218</v>
      </c>
      <c r="E3204" s="1" t="s">
        <v>516</v>
      </c>
      <c r="F3204" s="3">
        <v>0</v>
      </c>
      <c r="I3204" s="24" t="s">
        <v>2965</v>
      </c>
      <c r="J3204" s="24" t="s">
        <v>2924</v>
      </c>
      <c r="K3204" s="3">
        <v>12</v>
      </c>
      <c r="L3204" s="3" t="s">
        <v>2927</v>
      </c>
      <c r="M3204" s="3" t="str">
        <f>HYPERLINK("http://ictvonline.org/taxonomyHistory.asp?taxnode_id=20153995","ICTVonline=20153995")</f>
        <v>ICTVonline=20153995</v>
      </c>
    </row>
    <row r="3205" spans="1:13" x14ac:dyDescent="0.15">
      <c r="A3205" s="1" t="s">
        <v>934</v>
      </c>
      <c r="B3205" s="1" t="s">
        <v>2216</v>
      </c>
      <c r="C3205" s="1" t="s">
        <v>2217</v>
      </c>
      <c r="D3205" s="1" t="s">
        <v>2218</v>
      </c>
      <c r="E3205" s="1" t="s">
        <v>517</v>
      </c>
      <c r="F3205" s="3">
        <v>1</v>
      </c>
      <c r="I3205" s="24" t="s">
        <v>2965</v>
      </c>
      <c r="J3205" s="24" t="s">
        <v>2920</v>
      </c>
      <c r="K3205" s="3">
        <v>5</v>
      </c>
      <c r="L3205" s="3" t="s">
        <v>2948</v>
      </c>
      <c r="M3205" s="3" t="str">
        <f>HYPERLINK("http://ictvonline.org/taxonomyHistory.asp?taxnode_id=20153996","ICTVonline=20153996")</f>
        <v>ICTVonline=20153996</v>
      </c>
    </row>
    <row r="3206" spans="1:13" x14ac:dyDescent="0.15">
      <c r="A3206" s="1" t="s">
        <v>934</v>
      </c>
      <c r="B3206" s="1" t="s">
        <v>2216</v>
      </c>
      <c r="C3206" s="1" t="s">
        <v>2217</v>
      </c>
      <c r="D3206" s="1" t="s">
        <v>2218</v>
      </c>
      <c r="E3206" s="1" t="s">
        <v>518</v>
      </c>
      <c r="F3206" s="3">
        <v>0</v>
      </c>
      <c r="I3206" s="24" t="s">
        <v>2965</v>
      </c>
      <c r="J3206" s="24" t="s">
        <v>2924</v>
      </c>
      <c r="K3206" s="3">
        <v>12</v>
      </c>
      <c r="L3206" s="3" t="s">
        <v>2927</v>
      </c>
      <c r="M3206" s="3" t="str">
        <f>HYPERLINK("http://ictvonline.org/taxonomyHistory.asp?taxnode_id=20153997","ICTVonline=20153997")</f>
        <v>ICTVonline=20153997</v>
      </c>
    </row>
    <row r="3207" spans="1:13" x14ac:dyDescent="0.15">
      <c r="A3207" s="1" t="s">
        <v>934</v>
      </c>
      <c r="B3207" s="1" t="s">
        <v>2216</v>
      </c>
      <c r="C3207" s="1" t="s">
        <v>2217</v>
      </c>
      <c r="D3207" s="1" t="s">
        <v>2218</v>
      </c>
      <c r="E3207" s="1" t="s">
        <v>519</v>
      </c>
      <c r="F3207" s="3">
        <v>0</v>
      </c>
      <c r="I3207" s="24" t="s">
        <v>2965</v>
      </c>
      <c r="J3207" s="24" t="s">
        <v>2919</v>
      </c>
      <c r="K3207" s="3">
        <v>14</v>
      </c>
      <c r="L3207" s="3" t="s">
        <v>2930</v>
      </c>
      <c r="M3207" s="3" t="str">
        <f>HYPERLINK("http://ictvonline.org/taxonomyHistory.asp?taxnode_id=20153998","ICTVonline=20153998")</f>
        <v>ICTVonline=20153998</v>
      </c>
    </row>
    <row r="3208" spans="1:13" x14ac:dyDescent="0.15">
      <c r="A3208" s="1" t="s">
        <v>934</v>
      </c>
      <c r="B3208" s="1" t="s">
        <v>2216</v>
      </c>
      <c r="C3208" s="1" t="s">
        <v>2217</v>
      </c>
      <c r="D3208" s="1" t="s">
        <v>2218</v>
      </c>
      <c r="E3208" s="1" t="s">
        <v>520</v>
      </c>
      <c r="F3208" s="3">
        <v>0</v>
      </c>
      <c r="I3208" s="24" t="s">
        <v>2965</v>
      </c>
      <c r="J3208" s="24" t="s">
        <v>2924</v>
      </c>
      <c r="K3208" s="3">
        <v>12</v>
      </c>
      <c r="L3208" s="3" t="s">
        <v>2927</v>
      </c>
      <c r="M3208" s="3" t="str">
        <f>HYPERLINK("http://ictvonline.org/taxonomyHistory.asp?taxnode_id=20153999","ICTVonline=20153999")</f>
        <v>ICTVonline=20153999</v>
      </c>
    </row>
    <row r="3209" spans="1:13" x14ac:dyDescent="0.15">
      <c r="A3209" s="1" t="s">
        <v>934</v>
      </c>
      <c r="B3209" s="1" t="s">
        <v>2216</v>
      </c>
      <c r="C3209" s="1" t="s">
        <v>2217</v>
      </c>
      <c r="D3209" s="1" t="s">
        <v>2218</v>
      </c>
      <c r="E3209" s="1" t="s">
        <v>521</v>
      </c>
      <c r="F3209" s="3">
        <v>0</v>
      </c>
      <c r="I3209" s="24" t="s">
        <v>2965</v>
      </c>
      <c r="J3209" s="24" t="s">
        <v>2919</v>
      </c>
      <c r="K3209" s="3">
        <v>12</v>
      </c>
      <c r="L3209" s="3" t="s">
        <v>2927</v>
      </c>
      <c r="M3209" s="3" t="str">
        <f>HYPERLINK("http://ictvonline.org/taxonomyHistory.asp?taxnode_id=20154000","ICTVonline=20154000")</f>
        <v>ICTVonline=20154000</v>
      </c>
    </row>
    <row r="3210" spans="1:13" x14ac:dyDescent="0.15">
      <c r="A3210" s="1" t="s">
        <v>934</v>
      </c>
      <c r="B3210" s="1" t="s">
        <v>2216</v>
      </c>
      <c r="C3210" s="1" t="s">
        <v>2217</v>
      </c>
      <c r="D3210" s="1" t="s">
        <v>2218</v>
      </c>
      <c r="E3210" s="1" t="s">
        <v>522</v>
      </c>
      <c r="F3210" s="3">
        <v>0</v>
      </c>
      <c r="I3210" s="24" t="s">
        <v>2965</v>
      </c>
      <c r="J3210" s="24" t="s">
        <v>2924</v>
      </c>
      <c r="K3210" s="3">
        <v>12</v>
      </c>
      <c r="L3210" s="3" t="s">
        <v>2927</v>
      </c>
      <c r="M3210" s="3" t="str">
        <f>HYPERLINK("http://ictvonline.org/taxonomyHistory.asp?taxnode_id=20154001","ICTVonline=20154001")</f>
        <v>ICTVonline=20154001</v>
      </c>
    </row>
    <row r="3211" spans="1:13" x14ac:dyDescent="0.15">
      <c r="A3211" s="1" t="s">
        <v>934</v>
      </c>
      <c r="B3211" s="1" t="s">
        <v>2216</v>
      </c>
      <c r="C3211" s="1" t="s">
        <v>2217</v>
      </c>
      <c r="D3211" s="1" t="s">
        <v>2218</v>
      </c>
      <c r="E3211" s="1" t="s">
        <v>523</v>
      </c>
      <c r="F3211" s="3">
        <v>0</v>
      </c>
      <c r="I3211" s="24" t="s">
        <v>2965</v>
      </c>
      <c r="J3211" s="24" t="s">
        <v>2924</v>
      </c>
      <c r="K3211" s="3">
        <v>12</v>
      </c>
      <c r="L3211" s="3" t="s">
        <v>2927</v>
      </c>
      <c r="M3211" s="3" t="str">
        <f>HYPERLINK("http://ictvonline.org/taxonomyHistory.asp?taxnode_id=20154002","ICTVonline=20154002")</f>
        <v>ICTVonline=20154002</v>
      </c>
    </row>
    <row r="3212" spans="1:13" x14ac:dyDescent="0.15">
      <c r="A3212" s="1" t="s">
        <v>934</v>
      </c>
      <c r="B3212" s="1" t="s">
        <v>2216</v>
      </c>
      <c r="C3212" s="1" t="s">
        <v>2217</v>
      </c>
      <c r="D3212" s="1" t="s">
        <v>2218</v>
      </c>
      <c r="E3212" s="1" t="s">
        <v>524</v>
      </c>
      <c r="F3212" s="3">
        <v>0</v>
      </c>
      <c r="I3212" s="24" t="s">
        <v>2965</v>
      </c>
      <c r="J3212" s="24" t="s">
        <v>2924</v>
      </c>
      <c r="K3212" s="3">
        <v>12</v>
      </c>
      <c r="L3212" s="3" t="s">
        <v>2927</v>
      </c>
      <c r="M3212" s="3" t="str">
        <f>HYPERLINK("http://ictvonline.org/taxonomyHistory.asp?taxnode_id=20154003","ICTVonline=20154003")</f>
        <v>ICTVonline=20154003</v>
      </c>
    </row>
    <row r="3213" spans="1:13" x14ac:dyDescent="0.15">
      <c r="A3213" s="1" t="s">
        <v>934</v>
      </c>
      <c r="B3213" s="1" t="s">
        <v>2216</v>
      </c>
      <c r="C3213" s="1" t="s">
        <v>2217</v>
      </c>
      <c r="D3213" s="1" t="s">
        <v>2218</v>
      </c>
      <c r="E3213" s="1" t="s">
        <v>525</v>
      </c>
      <c r="F3213" s="3">
        <v>0</v>
      </c>
      <c r="I3213" s="24" t="s">
        <v>2965</v>
      </c>
      <c r="J3213" s="24" t="s">
        <v>2924</v>
      </c>
      <c r="K3213" s="3">
        <v>12</v>
      </c>
      <c r="L3213" s="3" t="s">
        <v>2927</v>
      </c>
      <c r="M3213" s="3" t="str">
        <f>HYPERLINK("http://ictvonline.org/taxonomyHistory.asp?taxnode_id=20154004","ICTVonline=20154004")</f>
        <v>ICTVonline=20154004</v>
      </c>
    </row>
    <row r="3214" spans="1:13" x14ac:dyDescent="0.15">
      <c r="A3214" s="1" t="s">
        <v>934</v>
      </c>
      <c r="B3214" s="1" t="s">
        <v>2216</v>
      </c>
      <c r="C3214" s="1" t="s">
        <v>2217</v>
      </c>
      <c r="D3214" s="1" t="s">
        <v>526</v>
      </c>
      <c r="E3214" s="1" t="s">
        <v>1666</v>
      </c>
      <c r="F3214" s="3">
        <v>0</v>
      </c>
      <c r="I3214" s="24" t="s">
        <v>2965</v>
      </c>
      <c r="J3214" s="24" t="s">
        <v>2924</v>
      </c>
      <c r="K3214" s="3">
        <v>12</v>
      </c>
      <c r="L3214" s="3" t="s">
        <v>2927</v>
      </c>
      <c r="M3214" s="3" t="str">
        <f>HYPERLINK("http://ictvonline.org/taxonomyHistory.asp?taxnode_id=20154006","ICTVonline=20154006")</f>
        <v>ICTVonline=20154006</v>
      </c>
    </row>
    <row r="3215" spans="1:13" x14ac:dyDescent="0.15">
      <c r="A3215" s="1" t="s">
        <v>934</v>
      </c>
      <c r="B3215" s="1" t="s">
        <v>2216</v>
      </c>
      <c r="C3215" s="1" t="s">
        <v>2217</v>
      </c>
      <c r="D3215" s="1" t="s">
        <v>526</v>
      </c>
      <c r="E3215" s="1" t="s">
        <v>1667</v>
      </c>
      <c r="F3215" s="3">
        <v>0</v>
      </c>
      <c r="I3215" s="24" t="s">
        <v>2965</v>
      </c>
      <c r="J3215" s="24" t="s">
        <v>2920</v>
      </c>
      <c r="K3215" s="3">
        <v>5</v>
      </c>
      <c r="L3215" s="3" t="s">
        <v>2948</v>
      </c>
      <c r="M3215" s="3" t="str">
        <f>HYPERLINK("http://ictvonline.org/taxonomyHistory.asp?taxnode_id=20154007","ICTVonline=20154007")</f>
        <v>ICTVonline=20154007</v>
      </c>
    </row>
    <row r="3216" spans="1:13" x14ac:dyDescent="0.15">
      <c r="A3216" s="1" t="s">
        <v>934</v>
      </c>
      <c r="B3216" s="1" t="s">
        <v>2216</v>
      </c>
      <c r="C3216" s="1" t="s">
        <v>2217</v>
      </c>
      <c r="D3216" s="1" t="s">
        <v>526</v>
      </c>
      <c r="E3216" s="1" t="s">
        <v>1668</v>
      </c>
      <c r="F3216" s="3">
        <v>1</v>
      </c>
      <c r="I3216" s="24" t="s">
        <v>2965</v>
      </c>
      <c r="J3216" s="24" t="s">
        <v>2924</v>
      </c>
      <c r="K3216" s="3">
        <v>12</v>
      </c>
      <c r="L3216" s="3" t="s">
        <v>2927</v>
      </c>
      <c r="M3216" s="3" t="str">
        <f>HYPERLINK("http://ictvonline.org/taxonomyHistory.asp?taxnode_id=20154008","ICTVonline=20154008")</f>
        <v>ICTVonline=20154008</v>
      </c>
    </row>
    <row r="3217" spans="1:13" x14ac:dyDescent="0.15">
      <c r="A3217" s="1" t="s">
        <v>934</v>
      </c>
      <c r="B3217" s="1" t="s">
        <v>2216</v>
      </c>
      <c r="C3217" s="1" t="s">
        <v>2217</v>
      </c>
      <c r="D3217" s="1" t="s">
        <v>1669</v>
      </c>
      <c r="E3217" s="1" t="s">
        <v>201</v>
      </c>
      <c r="F3217" s="3">
        <v>1</v>
      </c>
      <c r="I3217" s="24" t="s">
        <v>2965</v>
      </c>
      <c r="J3217" s="24" t="s">
        <v>2924</v>
      </c>
      <c r="K3217" s="3">
        <v>26</v>
      </c>
      <c r="L3217" s="3" t="s">
        <v>7098</v>
      </c>
      <c r="M3217" s="3" t="str">
        <f>HYPERLINK("http://ictvonline.org/taxonomyHistory.asp?taxnode_id=20154010","ICTVonline=20154010")</f>
        <v>ICTVonline=20154010</v>
      </c>
    </row>
    <row r="3218" spans="1:13" x14ac:dyDescent="0.15">
      <c r="A3218" s="1" t="s">
        <v>934</v>
      </c>
      <c r="B3218" s="1" t="s">
        <v>2216</v>
      </c>
      <c r="C3218" s="1" t="s">
        <v>2217</v>
      </c>
      <c r="D3218" s="1" t="s">
        <v>202</v>
      </c>
      <c r="E3218" s="1" t="s">
        <v>203</v>
      </c>
      <c r="F3218" s="3">
        <v>1</v>
      </c>
      <c r="I3218" s="24" t="s">
        <v>2965</v>
      </c>
      <c r="J3218" s="24" t="s">
        <v>2921</v>
      </c>
      <c r="K3218" s="3">
        <v>26</v>
      </c>
      <c r="L3218" s="3" t="s">
        <v>7099</v>
      </c>
      <c r="M3218" s="3" t="str">
        <f>HYPERLINK("http://ictvonline.org/taxonomyHistory.asp?taxnode_id=20154012","ICTVonline=20154012")</f>
        <v>ICTVonline=20154012</v>
      </c>
    </row>
    <row r="3219" spans="1:13" x14ac:dyDescent="0.15">
      <c r="A3219" s="1" t="s">
        <v>934</v>
      </c>
      <c r="B3219" s="1" t="s">
        <v>2216</v>
      </c>
      <c r="C3219" s="1" t="s">
        <v>2217</v>
      </c>
      <c r="D3219" s="1" t="s">
        <v>513</v>
      </c>
      <c r="E3219" s="1" t="s">
        <v>514</v>
      </c>
      <c r="F3219" s="3">
        <v>0</v>
      </c>
      <c r="I3219" s="24" t="s">
        <v>2965</v>
      </c>
      <c r="J3219" s="24" t="s">
        <v>2920</v>
      </c>
      <c r="K3219" s="3">
        <v>5</v>
      </c>
      <c r="L3219" s="3" t="s">
        <v>2948</v>
      </c>
      <c r="M3219" s="3" t="str">
        <f>HYPERLINK("http://ictvonline.org/taxonomyHistory.asp?taxnode_id=20154014","ICTVonline=20154014")</f>
        <v>ICTVonline=20154014</v>
      </c>
    </row>
    <row r="3220" spans="1:13" x14ac:dyDescent="0.15">
      <c r="A3220" s="1" t="s">
        <v>934</v>
      </c>
      <c r="B3220" s="1" t="s">
        <v>2216</v>
      </c>
      <c r="C3220" s="1" t="s">
        <v>2217</v>
      </c>
      <c r="D3220" s="1" t="s">
        <v>513</v>
      </c>
      <c r="E3220" s="1" t="s">
        <v>515</v>
      </c>
      <c r="F3220" s="3">
        <v>1</v>
      </c>
      <c r="I3220" s="24" t="s">
        <v>2965</v>
      </c>
      <c r="J3220" s="24" t="s">
        <v>2920</v>
      </c>
      <c r="K3220" s="3">
        <v>5</v>
      </c>
      <c r="L3220" s="3" t="s">
        <v>2948</v>
      </c>
      <c r="M3220" s="3" t="str">
        <f>HYPERLINK("http://ictvonline.org/taxonomyHistory.asp?taxnode_id=20154015","ICTVonline=20154015")</f>
        <v>ICTVonline=20154015</v>
      </c>
    </row>
    <row r="3221" spans="1:13" x14ac:dyDescent="0.15">
      <c r="A3221" s="1" t="s">
        <v>934</v>
      </c>
      <c r="B3221" s="1" t="s">
        <v>2216</v>
      </c>
      <c r="C3221" s="1" t="s">
        <v>2217</v>
      </c>
      <c r="D3221" s="1" t="s">
        <v>513</v>
      </c>
      <c r="E3221" s="1" t="s">
        <v>508</v>
      </c>
      <c r="F3221" s="3">
        <v>0</v>
      </c>
      <c r="I3221" s="24" t="s">
        <v>2965</v>
      </c>
      <c r="J3221" s="24" t="s">
        <v>2924</v>
      </c>
      <c r="K3221" s="3">
        <v>14</v>
      </c>
      <c r="L3221" s="3" t="s">
        <v>2930</v>
      </c>
      <c r="M3221" s="3" t="str">
        <f>HYPERLINK("http://ictvonline.org/taxonomyHistory.asp?taxnode_id=20154016","ICTVonline=20154016")</f>
        <v>ICTVonline=20154016</v>
      </c>
    </row>
    <row r="3222" spans="1:13" x14ac:dyDescent="0.15">
      <c r="A3222" s="1" t="s">
        <v>934</v>
      </c>
      <c r="B3222" s="1" t="s">
        <v>2216</v>
      </c>
      <c r="C3222" s="1" t="s">
        <v>2217</v>
      </c>
      <c r="D3222" s="1" t="s">
        <v>513</v>
      </c>
      <c r="E3222" s="1" t="s">
        <v>509</v>
      </c>
      <c r="F3222" s="3">
        <v>0</v>
      </c>
      <c r="I3222" s="24" t="s">
        <v>2965</v>
      </c>
      <c r="J3222" s="24" t="s">
        <v>2920</v>
      </c>
      <c r="K3222" s="3">
        <v>5</v>
      </c>
      <c r="L3222" s="3" t="s">
        <v>2948</v>
      </c>
      <c r="M3222" s="3" t="str">
        <f>HYPERLINK("http://ictvonline.org/taxonomyHistory.asp?taxnode_id=20154017","ICTVonline=20154017")</f>
        <v>ICTVonline=20154017</v>
      </c>
    </row>
    <row r="3223" spans="1:13" x14ac:dyDescent="0.15">
      <c r="A3223" s="1" t="s">
        <v>934</v>
      </c>
      <c r="B3223" s="1" t="s">
        <v>2216</v>
      </c>
      <c r="C3223" s="1" t="s">
        <v>2217</v>
      </c>
      <c r="D3223" s="1" t="s">
        <v>510</v>
      </c>
      <c r="E3223" s="1" t="s">
        <v>2057</v>
      </c>
      <c r="F3223" s="3">
        <v>1</v>
      </c>
      <c r="I3223" s="24" t="s">
        <v>2965</v>
      </c>
      <c r="J3223" s="24" t="s">
        <v>2922</v>
      </c>
      <c r="K3223" s="3">
        <v>11</v>
      </c>
      <c r="L3223" s="3" t="s">
        <v>2926</v>
      </c>
      <c r="M3223" s="3" t="str">
        <f>HYPERLINK("http://ictvonline.org/taxonomyHistory.asp?taxnode_id=20154019","ICTVonline=20154019")</f>
        <v>ICTVonline=20154019</v>
      </c>
    </row>
    <row r="3224" spans="1:13" x14ac:dyDescent="0.15">
      <c r="A3224" s="1" t="s">
        <v>934</v>
      </c>
      <c r="B3224" s="1" t="s">
        <v>2216</v>
      </c>
      <c r="C3224" s="1" t="s">
        <v>2217</v>
      </c>
      <c r="D3224" s="1" t="s">
        <v>1267</v>
      </c>
      <c r="E3224" s="1" t="s">
        <v>1268</v>
      </c>
      <c r="F3224" s="3">
        <v>0</v>
      </c>
      <c r="I3224" s="24" t="s">
        <v>2965</v>
      </c>
      <c r="J3224" s="24" t="s">
        <v>2924</v>
      </c>
      <c r="K3224" s="3">
        <v>6</v>
      </c>
      <c r="L3224" s="3" t="s">
        <v>2949</v>
      </c>
      <c r="M3224" s="3" t="str">
        <f>HYPERLINK("http://ictvonline.org/taxonomyHistory.asp?taxnode_id=20154021","ICTVonline=20154021")</f>
        <v>ICTVonline=20154021</v>
      </c>
    </row>
    <row r="3225" spans="1:13" x14ac:dyDescent="0.15">
      <c r="A3225" s="1" t="s">
        <v>934</v>
      </c>
      <c r="B3225" s="1" t="s">
        <v>2216</v>
      </c>
      <c r="C3225" s="1" t="s">
        <v>2217</v>
      </c>
      <c r="D3225" s="1" t="s">
        <v>1267</v>
      </c>
      <c r="E3225" s="1" t="s">
        <v>1269</v>
      </c>
      <c r="F3225" s="3">
        <v>0</v>
      </c>
      <c r="I3225" s="24" t="s">
        <v>2965</v>
      </c>
      <c r="J3225" s="24" t="s">
        <v>2920</v>
      </c>
      <c r="K3225" s="3">
        <v>5</v>
      </c>
      <c r="L3225" s="3" t="s">
        <v>2948</v>
      </c>
      <c r="M3225" s="3" t="str">
        <f>HYPERLINK("http://ictvonline.org/taxonomyHistory.asp?taxnode_id=20154022","ICTVonline=20154022")</f>
        <v>ICTVonline=20154022</v>
      </c>
    </row>
    <row r="3226" spans="1:13" x14ac:dyDescent="0.15">
      <c r="A3226" s="1" t="s">
        <v>934</v>
      </c>
      <c r="B3226" s="1" t="s">
        <v>2216</v>
      </c>
      <c r="C3226" s="1" t="s">
        <v>2217</v>
      </c>
      <c r="D3226" s="1" t="s">
        <v>1267</v>
      </c>
      <c r="E3226" s="1" t="s">
        <v>1270</v>
      </c>
      <c r="F3226" s="3">
        <v>0</v>
      </c>
      <c r="I3226" s="24" t="s">
        <v>2965</v>
      </c>
      <c r="J3226" s="24" t="s">
        <v>2920</v>
      </c>
      <c r="K3226" s="3">
        <v>5</v>
      </c>
      <c r="L3226" s="3" t="s">
        <v>2948</v>
      </c>
      <c r="M3226" s="3" t="str">
        <f>HYPERLINK("http://ictvonline.org/taxonomyHistory.asp?taxnode_id=20154023","ICTVonline=20154023")</f>
        <v>ICTVonline=20154023</v>
      </c>
    </row>
    <row r="3227" spans="1:13" x14ac:dyDescent="0.15">
      <c r="A3227" s="1" t="s">
        <v>934</v>
      </c>
      <c r="B3227" s="1" t="s">
        <v>2216</v>
      </c>
      <c r="C3227" s="1" t="s">
        <v>2217</v>
      </c>
      <c r="D3227" s="1" t="s">
        <v>1267</v>
      </c>
      <c r="E3227" s="1" t="s">
        <v>1271</v>
      </c>
      <c r="F3227" s="3">
        <v>0</v>
      </c>
      <c r="I3227" s="24" t="s">
        <v>2965</v>
      </c>
      <c r="J3227" s="24" t="s">
        <v>2920</v>
      </c>
      <c r="K3227" s="3">
        <v>5</v>
      </c>
      <c r="L3227" s="3" t="s">
        <v>2948</v>
      </c>
      <c r="M3227" s="3" t="str">
        <f>HYPERLINK("http://ictvonline.org/taxonomyHistory.asp?taxnode_id=20154024","ICTVonline=20154024")</f>
        <v>ICTVonline=20154024</v>
      </c>
    </row>
    <row r="3228" spans="1:13" x14ac:dyDescent="0.15">
      <c r="A3228" s="1" t="s">
        <v>934</v>
      </c>
      <c r="B3228" s="1" t="s">
        <v>2216</v>
      </c>
      <c r="C3228" s="1" t="s">
        <v>2217</v>
      </c>
      <c r="D3228" s="1" t="s">
        <v>1267</v>
      </c>
      <c r="E3228" s="1" t="s">
        <v>1272</v>
      </c>
      <c r="F3228" s="3">
        <v>0</v>
      </c>
      <c r="I3228" s="24" t="s">
        <v>2965</v>
      </c>
      <c r="J3228" s="24" t="s">
        <v>2920</v>
      </c>
      <c r="K3228" s="3">
        <v>12</v>
      </c>
      <c r="L3228" s="3" t="s">
        <v>2927</v>
      </c>
      <c r="M3228" s="3" t="str">
        <f>HYPERLINK("http://ictvonline.org/taxonomyHistory.asp?taxnode_id=20154025","ICTVonline=20154025")</f>
        <v>ICTVonline=20154025</v>
      </c>
    </row>
    <row r="3229" spans="1:13" x14ac:dyDescent="0.15">
      <c r="A3229" s="1" t="s">
        <v>934</v>
      </c>
      <c r="B3229" s="1" t="s">
        <v>2216</v>
      </c>
      <c r="C3229" s="1" t="s">
        <v>2217</v>
      </c>
      <c r="D3229" s="1" t="s">
        <v>1267</v>
      </c>
      <c r="E3229" s="1" t="s">
        <v>204</v>
      </c>
      <c r="F3229" s="3">
        <v>0</v>
      </c>
      <c r="I3229" s="24" t="s">
        <v>2965</v>
      </c>
      <c r="J3229" s="24" t="s">
        <v>2919</v>
      </c>
      <c r="K3229" s="3">
        <v>26</v>
      </c>
      <c r="L3229" s="3" t="s">
        <v>7099</v>
      </c>
      <c r="M3229" s="3" t="str">
        <f>HYPERLINK("http://ictvonline.org/taxonomyHistory.asp?taxnode_id=20154026","ICTVonline=20154026")</f>
        <v>ICTVonline=20154026</v>
      </c>
    </row>
    <row r="3230" spans="1:13" x14ac:dyDescent="0.15">
      <c r="A3230" s="1" t="s">
        <v>934</v>
      </c>
      <c r="B3230" s="1" t="s">
        <v>2216</v>
      </c>
      <c r="C3230" s="1" t="s">
        <v>2217</v>
      </c>
      <c r="D3230" s="1" t="s">
        <v>1267</v>
      </c>
      <c r="E3230" s="1" t="s">
        <v>1273</v>
      </c>
      <c r="F3230" s="3">
        <v>0</v>
      </c>
      <c r="I3230" s="24" t="s">
        <v>2965</v>
      </c>
      <c r="J3230" s="24" t="s">
        <v>2919</v>
      </c>
      <c r="K3230" s="3">
        <v>12</v>
      </c>
      <c r="L3230" s="3" t="s">
        <v>2927</v>
      </c>
      <c r="M3230" s="3" t="str">
        <f>HYPERLINK("http://ictvonline.org/taxonomyHistory.asp?taxnode_id=20154027","ICTVonline=20154027")</f>
        <v>ICTVonline=20154027</v>
      </c>
    </row>
    <row r="3231" spans="1:13" x14ac:dyDescent="0.15">
      <c r="A3231" s="1" t="s">
        <v>934</v>
      </c>
      <c r="B3231" s="1" t="s">
        <v>2216</v>
      </c>
      <c r="C3231" s="1" t="s">
        <v>2217</v>
      </c>
      <c r="D3231" s="1" t="s">
        <v>1267</v>
      </c>
      <c r="E3231" s="1" t="s">
        <v>1274</v>
      </c>
      <c r="F3231" s="3">
        <v>1</v>
      </c>
      <c r="I3231" s="24" t="s">
        <v>2965</v>
      </c>
      <c r="J3231" s="24" t="s">
        <v>2938</v>
      </c>
      <c r="K3231" s="3">
        <v>12</v>
      </c>
      <c r="L3231" s="3" t="s">
        <v>2927</v>
      </c>
      <c r="M3231" s="3" t="str">
        <f>HYPERLINK("http://ictvonline.org/taxonomyHistory.asp?taxnode_id=20154028","ICTVonline=20154028")</f>
        <v>ICTVonline=20154028</v>
      </c>
    </row>
    <row r="3232" spans="1:13" x14ac:dyDescent="0.15">
      <c r="A3232" s="1" t="s">
        <v>934</v>
      </c>
      <c r="B3232" s="1" t="s">
        <v>2216</v>
      </c>
      <c r="C3232" s="1" t="s">
        <v>2217</v>
      </c>
      <c r="D3232" s="1" t="s">
        <v>1267</v>
      </c>
      <c r="E3232" s="1" t="s">
        <v>1275</v>
      </c>
      <c r="F3232" s="3">
        <v>0</v>
      </c>
      <c r="I3232" s="24" t="s">
        <v>2965</v>
      </c>
      <c r="J3232" s="24" t="s">
        <v>2920</v>
      </c>
      <c r="K3232" s="3">
        <v>5</v>
      </c>
      <c r="L3232" s="3" t="s">
        <v>2948</v>
      </c>
      <c r="M3232" s="3" t="str">
        <f>HYPERLINK("http://ictvonline.org/taxonomyHistory.asp?taxnode_id=20154029","ICTVonline=20154029")</f>
        <v>ICTVonline=20154029</v>
      </c>
    </row>
    <row r="3233" spans="1:13" x14ac:dyDescent="0.15">
      <c r="A3233" s="1" t="s">
        <v>934</v>
      </c>
      <c r="B3233" s="1" t="s">
        <v>2216</v>
      </c>
      <c r="C3233" s="1" t="s">
        <v>2217</v>
      </c>
      <c r="D3233" s="1" t="s">
        <v>1267</v>
      </c>
      <c r="E3233" s="1" t="s">
        <v>1276</v>
      </c>
      <c r="F3233" s="3">
        <v>0</v>
      </c>
      <c r="I3233" s="24" t="s">
        <v>2965</v>
      </c>
      <c r="J3233" s="24" t="s">
        <v>2919</v>
      </c>
      <c r="K3233" s="3">
        <v>14</v>
      </c>
      <c r="L3233" s="3" t="s">
        <v>2930</v>
      </c>
      <c r="M3233" s="3" t="str">
        <f>HYPERLINK("http://ictvonline.org/taxonomyHistory.asp?taxnode_id=20154030","ICTVonline=20154030")</f>
        <v>ICTVonline=20154030</v>
      </c>
    </row>
    <row r="3234" spans="1:13" x14ac:dyDescent="0.15">
      <c r="A3234" s="1" t="s">
        <v>934</v>
      </c>
      <c r="B3234" s="1" t="s">
        <v>2216</v>
      </c>
      <c r="C3234" s="1" t="s">
        <v>2217</v>
      </c>
      <c r="D3234" s="1" t="s">
        <v>1277</v>
      </c>
      <c r="E3234" s="1" t="s">
        <v>1278</v>
      </c>
      <c r="F3234" s="3">
        <v>0</v>
      </c>
      <c r="I3234" s="24" t="s">
        <v>2965</v>
      </c>
      <c r="J3234" s="24" t="s">
        <v>2924</v>
      </c>
      <c r="K3234" s="3">
        <v>14</v>
      </c>
      <c r="L3234" s="3" t="s">
        <v>2930</v>
      </c>
      <c r="M3234" s="3" t="str">
        <f>HYPERLINK("http://ictvonline.org/taxonomyHistory.asp?taxnode_id=20154032","ICTVonline=20154032")</f>
        <v>ICTVonline=20154032</v>
      </c>
    </row>
    <row r="3235" spans="1:13" x14ac:dyDescent="0.15">
      <c r="A3235" s="1" t="s">
        <v>934</v>
      </c>
      <c r="B3235" s="1" t="s">
        <v>2216</v>
      </c>
      <c r="C3235" s="1" t="s">
        <v>2217</v>
      </c>
      <c r="D3235" s="1" t="s">
        <v>1277</v>
      </c>
      <c r="E3235" s="1" t="s">
        <v>1279</v>
      </c>
      <c r="F3235" s="3">
        <v>1</v>
      </c>
      <c r="I3235" s="24" t="s">
        <v>2965</v>
      </c>
      <c r="J3235" s="24" t="s">
        <v>2920</v>
      </c>
      <c r="K3235" s="3">
        <v>5</v>
      </c>
      <c r="L3235" s="3" t="s">
        <v>2948</v>
      </c>
      <c r="M3235" s="3" t="str">
        <f>HYPERLINK("http://ictvonline.org/taxonomyHistory.asp?taxnode_id=20154033","ICTVonline=20154033")</f>
        <v>ICTVonline=20154033</v>
      </c>
    </row>
    <row r="3236" spans="1:13" x14ac:dyDescent="0.15">
      <c r="A3236" s="1" t="s">
        <v>934</v>
      </c>
      <c r="B3236" s="1" t="s">
        <v>2216</v>
      </c>
      <c r="C3236" s="1" t="s">
        <v>2217</v>
      </c>
      <c r="D3236" s="1" t="s">
        <v>1277</v>
      </c>
      <c r="E3236" s="1" t="s">
        <v>1280</v>
      </c>
      <c r="F3236" s="3">
        <v>0</v>
      </c>
      <c r="I3236" s="24" t="s">
        <v>2965</v>
      </c>
      <c r="J3236" s="24" t="s">
        <v>2919</v>
      </c>
      <c r="K3236" s="3">
        <v>14</v>
      </c>
      <c r="L3236" s="3" t="s">
        <v>2930</v>
      </c>
      <c r="M3236" s="3" t="str">
        <f>HYPERLINK("http://ictvonline.org/taxonomyHistory.asp?taxnode_id=20154034","ICTVonline=20154034")</f>
        <v>ICTVonline=20154034</v>
      </c>
    </row>
    <row r="3237" spans="1:13" x14ac:dyDescent="0.15">
      <c r="A3237" s="1" t="s">
        <v>934</v>
      </c>
      <c r="B3237" s="1" t="s">
        <v>2216</v>
      </c>
      <c r="C3237" s="1" t="s">
        <v>2217</v>
      </c>
      <c r="D3237" s="1" t="s">
        <v>1277</v>
      </c>
      <c r="E3237" s="1" t="s">
        <v>1281</v>
      </c>
      <c r="F3237" s="3">
        <v>0</v>
      </c>
      <c r="I3237" s="24" t="s">
        <v>2965</v>
      </c>
      <c r="J3237" s="24" t="s">
        <v>2924</v>
      </c>
      <c r="K3237" s="3">
        <v>12</v>
      </c>
      <c r="L3237" s="3" t="s">
        <v>2927</v>
      </c>
      <c r="M3237" s="3" t="str">
        <f>HYPERLINK("http://ictvonline.org/taxonomyHistory.asp?taxnode_id=20154035","ICTVonline=20154035")</f>
        <v>ICTVonline=20154035</v>
      </c>
    </row>
    <row r="3238" spans="1:13" x14ac:dyDescent="0.15">
      <c r="A3238" s="1" t="s">
        <v>934</v>
      </c>
      <c r="B3238" s="1" t="s">
        <v>2216</v>
      </c>
      <c r="C3238" s="1" t="s">
        <v>2217</v>
      </c>
      <c r="D3238" s="1" t="s">
        <v>1282</v>
      </c>
      <c r="E3238" s="1" t="s">
        <v>1283</v>
      </c>
      <c r="F3238" s="3">
        <v>1</v>
      </c>
      <c r="I3238" s="24" t="s">
        <v>2965</v>
      </c>
      <c r="J3238" s="24" t="s">
        <v>2922</v>
      </c>
      <c r="K3238" s="3">
        <v>5</v>
      </c>
      <c r="L3238" s="3" t="s">
        <v>2948</v>
      </c>
      <c r="M3238" s="3" t="str">
        <f>HYPERLINK("http://ictvonline.org/taxonomyHistory.asp?taxnode_id=20154037","ICTVonline=20154037")</f>
        <v>ICTVonline=20154037</v>
      </c>
    </row>
    <row r="3239" spans="1:13" x14ac:dyDescent="0.15">
      <c r="A3239" s="1" t="s">
        <v>934</v>
      </c>
      <c r="B3239" s="1" t="s">
        <v>2216</v>
      </c>
      <c r="C3239" s="1" t="s">
        <v>2217</v>
      </c>
      <c r="D3239" s="1" t="s">
        <v>934</v>
      </c>
      <c r="E3239" s="1" t="s">
        <v>205</v>
      </c>
      <c r="F3239" s="3">
        <v>0</v>
      </c>
      <c r="I3239" s="24" t="s">
        <v>2965</v>
      </c>
      <c r="J3239" s="24" t="s">
        <v>2924</v>
      </c>
      <c r="K3239" s="3">
        <v>26</v>
      </c>
      <c r="L3239" s="3" t="s">
        <v>7098</v>
      </c>
      <c r="M3239" s="3" t="str">
        <f>HYPERLINK("http://ictvonline.org/taxonomyHistory.asp?taxnode_id=20154039","ICTVonline=20154039")</f>
        <v>ICTVonline=20154039</v>
      </c>
    </row>
    <row r="3240" spans="1:13" x14ac:dyDescent="0.15">
      <c r="A3240" s="1" t="s">
        <v>934</v>
      </c>
      <c r="B3240" s="1" t="s">
        <v>2216</v>
      </c>
      <c r="C3240" s="1" t="s">
        <v>2217</v>
      </c>
      <c r="D3240" s="1" t="s">
        <v>792</v>
      </c>
      <c r="E3240" s="1" t="s">
        <v>793</v>
      </c>
      <c r="F3240" s="3">
        <v>0</v>
      </c>
      <c r="I3240" s="24" t="s">
        <v>2965</v>
      </c>
      <c r="J3240" s="24" t="s">
        <v>2920</v>
      </c>
      <c r="K3240" s="3">
        <v>12</v>
      </c>
      <c r="L3240" s="3" t="s">
        <v>2927</v>
      </c>
      <c r="M3240" s="3" t="str">
        <f>HYPERLINK("http://ictvonline.org/taxonomyHistory.asp?taxnode_id=20154041","ICTVonline=20154041")</f>
        <v>ICTVonline=20154041</v>
      </c>
    </row>
    <row r="3241" spans="1:13" x14ac:dyDescent="0.15">
      <c r="A3241" s="1" t="s">
        <v>934</v>
      </c>
      <c r="B3241" s="1" t="s">
        <v>2216</v>
      </c>
      <c r="C3241" s="1" t="s">
        <v>2217</v>
      </c>
      <c r="D3241" s="1" t="s">
        <v>792</v>
      </c>
      <c r="E3241" s="1" t="s">
        <v>791</v>
      </c>
      <c r="F3241" s="3">
        <v>1</v>
      </c>
      <c r="I3241" s="24" t="s">
        <v>2965</v>
      </c>
      <c r="J3241" s="24" t="s">
        <v>2924</v>
      </c>
      <c r="K3241" s="3">
        <v>14</v>
      </c>
      <c r="L3241" s="3" t="s">
        <v>2930</v>
      </c>
      <c r="M3241" s="3" t="str">
        <f>HYPERLINK("http://ictvonline.org/taxonomyHistory.asp?taxnode_id=20154042","ICTVonline=20154042")</f>
        <v>ICTVonline=20154042</v>
      </c>
    </row>
    <row r="3242" spans="1:13" x14ac:dyDescent="0.15">
      <c r="A3242" s="1" t="s">
        <v>934</v>
      </c>
      <c r="B3242" s="1" t="s">
        <v>2216</v>
      </c>
      <c r="C3242" s="1" t="s">
        <v>794</v>
      </c>
      <c r="D3242" s="1" t="s">
        <v>1926</v>
      </c>
      <c r="E3242" s="1" t="s">
        <v>683</v>
      </c>
      <c r="F3242" s="3">
        <v>0</v>
      </c>
      <c r="I3242" s="24" t="s">
        <v>2965</v>
      </c>
      <c r="J3242" s="24" t="s">
        <v>2920</v>
      </c>
      <c r="K3242" s="3">
        <v>22</v>
      </c>
      <c r="L3242" s="3" t="s">
        <v>7100</v>
      </c>
      <c r="M3242" s="3" t="str">
        <f>HYPERLINK("http://ictvonline.org/taxonomyHistory.asp?taxnode_id=20154045","ICTVonline=20154045")</f>
        <v>ICTVonline=20154045</v>
      </c>
    </row>
    <row r="3243" spans="1:13" x14ac:dyDescent="0.15">
      <c r="A3243" s="1" t="s">
        <v>934</v>
      </c>
      <c r="B3243" s="1" t="s">
        <v>2216</v>
      </c>
      <c r="C3243" s="1" t="s">
        <v>794</v>
      </c>
      <c r="D3243" s="1" t="s">
        <v>1926</v>
      </c>
      <c r="E3243" s="1" t="s">
        <v>684</v>
      </c>
      <c r="F3243" s="3">
        <v>0</v>
      </c>
      <c r="I3243" s="24" t="s">
        <v>2965</v>
      </c>
      <c r="J3243" s="24" t="s">
        <v>2920</v>
      </c>
      <c r="K3243" s="3">
        <v>22</v>
      </c>
      <c r="L3243" s="3" t="s">
        <v>7100</v>
      </c>
      <c r="M3243" s="3" t="str">
        <f>HYPERLINK("http://ictvonline.org/taxonomyHistory.asp?taxnode_id=20154046","ICTVonline=20154046")</f>
        <v>ICTVonline=20154046</v>
      </c>
    </row>
    <row r="3244" spans="1:13" x14ac:dyDescent="0.15">
      <c r="A3244" s="1" t="s">
        <v>934</v>
      </c>
      <c r="B3244" s="1" t="s">
        <v>2216</v>
      </c>
      <c r="C3244" s="1" t="s">
        <v>794</v>
      </c>
      <c r="D3244" s="1" t="s">
        <v>1926</v>
      </c>
      <c r="E3244" s="1" t="s">
        <v>2883</v>
      </c>
      <c r="F3244" s="3">
        <v>0</v>
      </c>
      <c r="I3244" s="24" t="s">
        <v>2965</v>
      </c>
      <c r="J3244" s="24" t="s">
        <v>2924</v>
      </c>
      <c r="K3244" s="3">
        <v>29</v>
      </c>
      <c r="L3244" s="3" t="s">
        <v>7101</v>
      </c>
      <c r="M3244" s="3" t="str">
        <f>HYPERLINK("http://ictvonline.org/taxonomyHistory.asp?taxnode_id=20154047","ICTVonline=20154047")</f>
        <v>ICTVonline=20154047</v>
      </c>
    </row>
    <row r="3245" spans="1:13" x14ac:dyDescent="0.15">
      <c r="A3245" s="1" t="s">
        <v>934</v>
      </c>
      <c r="B3245" s="1" t="s">
        <v>2216</v>
      </c>
      <c r="C3245" s="1" t="s">
        <v>794</v>
      </c>
      <c r="D3245" s="1" t="s">
        <v>1926</v>
      </c>
      <c r="E3245" s="1" t="s">
        <v>1929</v>
      </c>
      <c r="F3245" s="3">
        <v>0</v>
      </c>
      <c r="I3245" s="24" t="s">
        <v>2965</v>
      </c>
      <c r="J3245" s="24" t="s">
        <v>2920</v>
      </c>
      <c r="K3245" s="3">
        <v>22</v>
      </c>
      <c r="L3245" s="3" t="s">
        <v>7100</v>
      </c>
      <c r="M3245" s="3" t="str">
        <f>HYPERLINK("http://ictvonline.org/taxonomyHistory.asp?taxnode_id=20154048","ICTVonline=20154048")</f>
        <v>ICTVonline=20154048</v>
      </c>
    </row>
    <row r="3246" spans="1:13" x14ac:dyDescent="0.15">
      <c r="A3246" s="1" t="s">
        <v>934</v>
      </c>
      <c r="B3246" s="1" t="s">
        <v>2216</v>
      </c>
      <c r="C3246" s="1" t="s">
        <v>794</v>
      </c>
      <c r="D3246" s="1" t="s">
        <v>1926</v>
      </c>
      <c r="E3246" s="1" t="s">
        <v>2884</v>
      </c>
      <c r="F3246" s="3">
        <v>0</v>
      </c>
      <c r="I3246" s="24" t="s">
        <v>2965</v>
      </c>
      <c r="J3246" s="24" t="s">
        <v>2924</v>
      </c>
      <c r="K3246" s="3">
        <v>29</v>
      </c>
      <c r="L3246" s="3" t="s">
        <v>7101</v>
      </c>
      <c r="M3246" s="3" t="str">
        <f>HYPERLINK("http://ictvonline.org/taxonomyHistory.asp?taxnode_id=20154049","ICTVonline=20154049")</f>
        <v>ICTVonline=20154049</v>
      </c>
    </row>
    <row r="3247" spans="1:13" x14ac:dyDescent="0.15">
      <c r="A3247" s="1" t="s">
        <v>934</v>
      </c>
      <c r="B3247" s="1" t="s">
        <v>2216</v>
      </c>
      <c r="C3247" s="1" t="s">
        <v>794</v>
      </c>
      <c r="D3247" s="1" t="s">
        <v>1926</v>
      </c>
      <c r="E3247" s="1" t="s">
        <v>1930</v>
      </c>
      <c r="F3247" s="3">
        <v>0</v>
      </c>
      <c r="I3247" s="24" t="s">
        <v>2965</v>
      </c>
      <c r="J3247" s="24" t="s">
        <v>2920</v>
      </c>
      <c r="K3247" s="3">
        <v>22</v>
      </c>
      <c r="L3247" s="3" t="s">
        <v>7100</v>
      </c>
      <c r="M3247" s="3" t="str">
        <f>HYPERLINK("http://ictvonline.org/taxonomyHistory.asp?taxnode_id=20154050","ICTVonline=20154050")</f>
        <v>ICTVonline=20154050</v>
      </c>
    </row>
    <row r="3248" spans="1:13" x14ac:dyDescent="0.15">
      <c r="A3248" s="1" t="s">
        <v>934</v>
      </c>
      <c r="B3248" s="1" t="s">
        <v>2216</v>
      </c>
      <c r="C3248" s="1" t="s">
        <v>794</v>
      </c>
      <c r="D3248" s="1" t="s">
        <v>1926</v>
      </c>
      <c r="E3248" s="1" t="s">
        <v>690</v>
      </c>
      <c r="F3248" s="3">
        <v>1</v>
      </c>
      <c r="I3248" s="24" t="s">
        <v>2965</v>
      </c>
      <c r="J3248" s="24" t="s">
        <v>2920</v>
      </c>
      <c r="K3248" s="3">
        <v>22</v>
      </c>
      <c r="L3248" s="3" t="s">
        <v>7100</v>
      </c>
      <c r="M3248" s="3" t="str">
        <f>HYPERLINK("http://ictvonline.org/taxonomyHistory.asp?taxnode_id=20154051","ICTVonline=20154051")</f>
        <v>ICTVonline=20154051</v>
      </c>
    </row>
    <row r="3249" spans="1:13" x14ac:dyDescent="0.15">
      <c r="A3249" s="1" t="s">
        <v>934</v>
      </c>
      <c r="B3249" s="1" t="s">
        <v>2216</v>
      </c>
      <c r="C3249" s="1" t="s">
        <v>794</v>
      </c>
      <c r="D3249" s="1" t="s">
        <v>691</v>
      </c>
      <c r="E3249" s="1" t="s">
        <v>2885</v>
      </c>
      <c r="F3249" s="3">
        <v>0</v>
      </c>
      <c r="I3249" s="24" t="s">
        <v>2965</v>
      </c>
      <c r="J3249" s="24" t="s">
        <v>2924</v>
      </c>
      <c r="K3249" s="3">
        <v>29</v>
      </c>
      <c r="L3249" s="3" t="s">
        <v>7101</v>
      </c>
      <c r="M3249" s="3" t="str">
        <f>HYPERLINK("http://ictvonline.org/taxonomyHistory.asp?taxnode_id=20154053","ICTVonline=20154053")</f>
        <v>ICTVonline=20154053</v>
      </c>
    </row>
    <row r="3250" spans="1:13" x14ac:dyDescent="0.15">
      <c r="A3250" s="1" t="s">
        <v>934</v>
      </c>
      <c r="B3250" s="1" t="s">
        <v>2216</v>
      </c>
      <c r="C3250" s="1" t="s">
        <v>794</v>
      </c>
      <c r="D3250" s="1" t="s">
        <v>691</v>
      </c>
      <c r="E3250" s="1" t="s">
        <v>2886</v>
      </c>
      <c r="F3250" s="3">
        <v>0</v>
      </c>
      <c r="G3250" s="24" t="s">
        <v>3315</v>
      </c>
      <c r="I3250" s="24" t="s">
        <v>2965</v>
      </c>
      <c r="J3250" s="24" t="s">
        <v>2919</v>
      </c>
      <c r="K3250" s="3">
        <v>29</v>
      </c>
      <c r="L3250" s="3" t="s">
        <v>7102</v>
      </c>
      <c r="M3250" s="3" t="str">
        <f>HYPERLINK("http://ictvonline.org/taxonomyHistory.asp?taxnode_id=20154054","ICTVonline=20154054")</f>
        <v>ICTVonline=20154054</v>
      </c>
    </row>
    <row r="3251" spans="1:13" x14ac:dyDescent="0.15">
      <c r="A3251" s="1" t="s">
        <v>934</v>
      </c>
      <c r="B3251" s="1" t="s">
        <v>2216</v>
      </c>
      <c r="C3251" s="1" t="s">
        <v>794</v>
      </c>
      <c r="D3251" s="1" t="s">
        <v>691</v>
      </c>
      <c r="E3251" s="1" t="s">
        <v>2887</v>
      </c>
      <c r="F3251" s="3">
        <v>1</v>
      </c>
      <c r="I3251" s="24" t="s">
        <v>2965</v>
      </c>
      <c r="J3251" s="24" t="s">
        <v>2924</v>
      </c>
      <c r="K3251" s="3">
        <v>29</v>
      </c>
      <c r="L3251" s="3" t="s">
        <v>7101</v>
      </c>
      <c r="M3251" s="3" t="str">
        <f>HYPERLINK("http://ictvonline.org/taxonomyHistory.asp?taxnode_id=20154055","ICTVonline=20154055")</f>
        <v>ICTVonline=20154055</v>
      </c>
    </row>
    <row r="3252" spans="1:13" x14ac:dyDescent="0.15">
      <c r="A3252" s="1" t="s">
        <v>934</v>
      </c>
      <c r="B3252" s="1" t="s">
        <v>2216</v>
      </c>
      <c r="C3252" s="1" t="s">
        <v>794</v>
      </c>
      <c r="D3252" s="1" t="s">
        <v>691</v>
      </c>
      <c r="E3252" s="1" t="s">
        <v>2888</v>
      </c>
      <c r="F3252" s="3">
        <v>0</v>
      </c>
      <c r="I3252" s="24" t="s">
        <v>2965</v>
      </c>
      <c r="J3252" s="24" t="s">
        <v>2924</v>
      </c>
      <c r="K3252" s="3">
        <v>29</v>
      </c>
      <c r="L3252" s="3" t="s">
        <v>7101</v>
      </c>
      <c r="M3252" s="3" t="str">
        <f>HYPERLINK("http://ictvonline.org/taxonomyHistory.asp?taxnode_id=20154056","ICTVonline=20154056")</f>
        <v>ICTVonline=20154056</v>
      </c>
    </row>
    <row r="3253" spans="1:13" x14ac:dyDescent="0.15">
      <c r="A3253" s="1" t="s">
        <v>934</v>
      </c>
      <c r="B3253" s="1" t="s">
        <v>2216</v>
      </c>
      <c r="C3253" s="1" t="s">
        <v>794</v>
      </c>
      <c r="D3253" s="1" t="s">
        <v>691</v>
      </c>
      <c r="E3253" s="1" t="s">
        <v>2889</v>
      </c>
      <c r="F3253" s="3">
        <v>0</v>
      </c>
      <c r="I3253" s="24" t="s">
        <v>2965</v>
      </c>
      <c r="J3253" s="24" t="s">
        <v>2924</v>
      </c>
      <c r="K3253" s="3">
        <v>29</v>
      </c>
      <c r="L3253" s="3" t="s">
        <v>7101</v>
      </c>
      <c r="M3253" s="3" t="str">
        <f>HYPERLINK("http://ictvonline.org/taxonomyHistory.asp?taxnode_id=20154057","ICTVonline=20154057")</f>
        <v>ICTVonline=20154057</v>
      </c>
    </row>
    <row r="3254" spans="1:13" x14ac:dyDescent="0.15">
      <c r="A3254" s="1" t="s">
        <v>934</v>
      </c>
      <c r="B3254" s="1" t="s">
        <v>2216</v>
      </c>
      <c r="C3254" s="1" t="s">
        <v>794</v>
      </c>
      <c r="D3254" s="1" t="s">
        <v>691</v>
      </c>
      <c r="E3254" s="1" t="s">
        <v>2890</v>
      </c>
      <c r="F3254" s="3">
        <v>0</v>
      </c>
      <c r="I3254" s="24" t="s">
        <v>2965</v>
      </c>
      <c r="J3254" s="24" t="s">
        <v>2924</v>
      </c>
      <c r="K3254" s="3">
        <v>29</v>
      </c>
      <c r="L3254" s="3" t="s">
        <v>7101</v>
      </c>
      <c r="M3254" s="3" t="str">
        <f>HYPERLINK("http://ictvonline.org/taxonomyHistory.asp?taxnode_id=20154058","ICTVonline=20154058")</f>
        <v>ICTVonline=20154058</v>
      </c>
    </row>
    <row r="3255" spans="1:13" x14ac:dyDescent="0.15">
      <c r="A3255" s="1" t="s">
        <v>934</v>
      </c>
      <c r="B3255" s="1" t="s">
        <v>2216</v>
      </c>
      <c r="C3255" s="1" t="s">
        <v>794</v>
      </c>
      <c r="D3255" s="1" t="s">
        <v>691</v>
      </c>
      <c r="E3255" s="1" t="s">
        <v>2891</v>
      </c>
      <c r="F3255" s="3">
        <v>0</v>
      </c>
      <c r="I3255" s="24" t="s">
        <v>2965</v>
      </c>
      <c r="J3255" s="24" t="s">
        <v>2924</v>
      </c>
      <c r="K3255" s="3">
        <v>29</v>
      </c>
      <c r="L3255" s="3" t="s">
        <v>7101</v>
      </c>
      <c r="M3255" s="3" t="str">
        <f>HYPERLINK("http://ictvonline.org/taxonomyHistory.asp?taxnode_id=20154059","ICTVonline=20154059")</f>
        <v>ICTVonline=20154059</v>
      </c>
    </row>
    <row r="3256" spans="1:13" x14ac:dyDescent="0.15">
      <c r="A3256" s="1" t="s">
        <v>934</v>
      </c>
      <c r="B3256" s="1" t="s">
        <v>2216</v>
      </c>
      <c r="C3256" s="1" t="s">
        <v>794</v>
      </c>
      <c r="D3256" s="1" t="s">
        <v>691</v>
      </c>
      <c r="E3256" s="1" t="s">
        <v>2892</v>
      </c>
      <c r="F3256" s="3">
        <v>0</v>
      </c>
      <c r="I3256" s="24" t="s">
        <v>2965</v>
      </c>
      <c r="J3256" s="24" t="s">
        <v>2924</v>
      </c>
      <c r="K3256" s="3">
        <v>29</v>
      </c>
      <c r="L3256" s="3" t="s">
        <v>7101</v>
      </c>
      <c r="M3256" s="3" t="str">
        <f>HYPERLINK("http://ictvonline.org/taxonomyHistory.asp?taxnode_id=20154060","ICTVonline=20154060")</f>
        <v>ICTVonline=20154060</v>
      </c>
    </row>
    <row r="3257" spans="1:13" x14ac:dyDescent="0.15">
      <c r="A3257" s="1" t="s">
        <v>934</v>
      </c>
      <c r="B3257" s="1" t="s">
        <v>2216</v>
      </c>
      <c r="C3257" s="1" t="s">
        <v>794</v>
      </c>
      <c r="D3257" s="1" t="s">
        <v>691</v>
      </c>
      <c r="E3257" s="1" t="s">
        <v>2893</v>
      </c>
      <c r="F3257" s="3">
        <v>0</v>
      </c>
      <c r="G3257" s="24" t="s">
        <v>3316</v>
      </c>
      <c r="I3257" s="24" t="s">
        <v>2965</v>
      </c>
      <c r="J3257" s="24" t="s">
        <v>2919</v>
      </c>
      <c r="K3257" s="3">
        <v>29</v>
      </c>
      <c r="L3257" s="3" t="s">
        <v>7102</v>
      </c>
      <c r="M3257" s="3" t="str">
        <f>HYPERLINK("http://ictvonline.org/taxonomyHistory.asp?taxnode_id=20154061","ICTVonline=20154061")</f>
        <v>ICTVonline=20154061</v>
      </c>
    </row>
    <row r="3258" spans="1:13" x14ac:dyDescent="0.15">
      <c r="A3258" s="1" t="s">
        <v>934</v>
      </c>
      <c r="B3258" s="1" t="s">
        <v>2216</v>
      </c>
      <c r="C3258" s="1" t="s">
        <v>794</v>
      </c>
      <c r="D3258" s="1" t="s">
        <v>691</v>
      </c>
      <c r="E3258" s="1" t="s">
        <v>2894</v>
      </c>
      <c r="F3258" s="3">
        <v>0</v>
      </c>
      <c r="I3258" s="24" t="s">
        <v>2965</v>
      </c>
      <c r="J3258" s="24" t="s">
        <v>2924</v>
      </c>
      <c r="K3258" s="3">
        <v>29</v>
      </c>
      <c r="L3258" s="3" t="s">
        <v>7101</v>
      </c>
      <c r="M3258" s="3" t="str">
        <f>HYPERLINK("http://ictvonline.org/taxonomyHistory.asp?taxnode_id=20154062","ICTVonline=20154062")</f>
        <v>ICTVonline=20154062</v>
      </c>
    </row>
    <row r="3259" spans="1:13" x14ac:dyDescent="0.15">
      <c r="A3259" s="1" t="s">
        <v>934</v>
      </c>
      <c r="B3259" s="1" t="s">
        <v>2216</v>
      </c>
      <c r="C3259" s="1" t="s">
        <v>794</v>
      </c>
      <c r="D3259" s="1" t="s">
        <v>691</v>
      </c>
      <c r="E3259" s="1" t="s">
        <v>2895</v>
      </c>
      <c r="F3259" s="3">
        <v>0</v>
      </c>
      <c r="I3259" s="24" t="s">
        <v>2965</v>
      </c>
      <c r="J3259" s="24" t="s">
        <v>2924</v>
      </c>
      <c r="K3259" s="3">
        <v>29</v>
      </c>
      <c r="L3259" s="3" t="s">
        <v>7101</v>
      </c>
      <c r="M3259" s="3" t="str">
        <f>HYPERLINK("http://ictvonline.org/taxonomyHistory.asp?taxnode_id=20154063","ICTVonline=20154063")</f>
        <v>ICTVonline=20154063</v>
      </c>
    </row>
    <row r="3260" spans="1:13" x14ac:dyDescent="0.15">
      <c r="A3260" s="1" t="s">
        <v>934</v>
      </c>
      <c r="B3260" s="1" t="s">
        <v>2216</v>
      </c>
      <c r="C3260" s="1" t="s">
        <v>794</v>
      </c>
      <c r="D3260" s="1" t="s">
        <v>691</v>
      </c>
      <c r="E3260" s="1" t="s">
        <v>2896</v>
      </c>
      <c r="F3260" s="3">
        <v>0</v>
      </c>
      <c r="I3260" s="24" t="s">
        <v>2965</v>
      </c>
      <c r="J3260" s="24" t="s">
        <v>2924</v>
      </c>
      <c r="K3260" s="3">
        <v>29</v>
      </c>
      <c r="L3260" s="3" t="s">
        <v>7101</v>
      </c>
      <c r="M3260" s="3" t="str">
        <f>HYPERLINK("http://ictvonline.org/taxonomyHistory.asp?taxnode_id=20154064","ICTVonline=20154064")</f>
        <v>ICTVonline=20154064</v>
      </c>
    </row>
    <row r="3261" spans="1:13" x14ac:dyDescent="0.15">
      <c r="A3261" s="1" t="s">
        <v>934</v>
      </c>
      <c r="B3261" s="1" t="s">
        <v>2216</v>
      </c>
      <c r="C3261" s="1" t="s">
        <v>794</v>
      </c>
      <c r="D3261" s="1" t="s">
        <v>691</v>
      </c>
      <c r="E3261" s="1" t="s">
        <v>2897</v>
      </c>
      <c r="F3261" s="3">
        <v>0</v>
      </c>
      <c r="G3261" s="24" t="s">
        <v>3317</v>
      </c>
      <c r="I3261" s="24" t="s">
        <v>2965</v>
      </c>
      <c r="J3261" s="24" t="s">
        <v>2919</v>
      </c>
      <c r="K3261" s="3">
        <v>29</v>
      </c>
      <c r="L3261" s="3" t="s">
        <v>7102</v>
      </c>
      <c r="M3261" s="3" t="str">
        <f>HYPERLINK("http://ictvonline.org/taxonomyHistory.asp?taxnode_id=20154065","ICTVonline=20154065")</f>
        <v>ICTVonline=20154065</v>
      </c>
    </row>
    <row r="3262" spans="1:13" x14ac:dyDescent="0.15">
      <c r="A3262" s="1" t="s">
        <v>934</v>
      </c>
      <c r="B3262" s="1" t="s">
        <v>2216</v>
      </c>
      <c r="C3262" s="1" t="s">
        <v>794</v>
      </c>
      <c r="D3262" s="1" t="s">
        <v>691</v>
      </c>
      <c r="E3262" s="1" t="s">
        <v>2898</v>
      </c>
      <c r="F3262" s="3">
        <v>0</v>
      </c>
      <c r="I3262" s="24" t="s">
        <v>2965</v>
      </c>
      <c r="J3262" s="24" t="s">
        <v>2924</v>
      </c>
      <c r="K3262" s="3">
        <v>29</v>
      </c>
      <c r="L3262" s="3" t="s">
        <v>7101</v>
      </c>
      <c r="M3262" s="3" t="str">
        <f>HYPERLINK("http://ictvonline.org/taxonomyHistory.asp?taxnode_id=20154066","ICTVonline=20154066")</f>
        <v>ICTVonline=20154066</v>
      </c>
    </row>
    <row r="3263" spans="1:13" x14ac:dyDescent="0.15">
      <c r="A3263" s="1" t="s">
        <v>934</v>
      </c>
      <c r="B3263" s="1" t="s">
        <v>2216</v>
      </c>
      <c r="C3263" s="1" t="s">
        <v>794</v>
      </c>
      <c r="D3263" s="1" t="s">
        <v>691</v>
      </c>
      <c r="E3263" s="1" t="s">
        <v>2899</v>
      </c>
      <c r="F3263" s="3">
        <v>0</v>
      </c>
      <c r="I3263" s="24" t="s">
        <v>2965</v>
      </c>
      <c r="J3263" s="24" t="s">
        <v>2924</v>
      </c>
      <c r="K3263" s="3">
        <v>29</v>
      </c>
      <c r="L3263" s="3" t="s">
        <v>7101</v>
      </c>
      <c r="M3263" s="3" t="str">
        <f>HYPERLINK("http://ictvonline.org/taxonomyHistory.asp?taxnode_id=20154067","ICTVonline=20154067")</f>
        <v>ICTVonline=20154067</v>
      </c>
    </row>
    <row r="3264" spans="1:13" x14ac:dyDescent="0.15">
      <c r="A3264" s="1" t="s">
        <v>934</v>
      </c>
      <c r="B3264" s="1" t="s">
        <v>2216</v>
      </c>
      <c r="C3264" s="1" t="s">
        <v>794</v>
      </c>
      <c r="D3264" s="1" t="s">
        <v>691</v>
      </c>
      <c r="E3264" s="1" t="s">
        <v>2900</v>
      </c>
      <c r="F3264" s="3">
        <v>0</v>
      </c>
      <c r="I3264" s="24" t="s">
        <v>2965</v>
      </c>
      <c r="J3264" s="24" t="s">
        <v>2924</v>
      </c>
      <c r="K3264" s="3">
        <v>29</v>
      </c>
      <c r="L3264" s="3" t="s">
        <v>7101</v>
      </c>
      <c r="M3264" s="3" t="str">
        <f>HYPERLINK("http://ictvonline.org/taxonomyHistory.asp?taxnode_id=20154068","ICTVonline=20154068")</f>
        <v>ICTVonline=20154068</v>
      </c>
    </row>
    <row r="3265" spans="1:13" x14ac:dyDescent="0.15">
      <c r="A3265" s="1" t="s">
        <v>934</v>
      </c>
      <c r="B3265" s="1" t="s">
        <v>2216</v>
      </c>
      <c r="C3265" s="1" t="s">
        <v>794</v>
      </c>
      <c r="D3265" s="1" t="s">
        <v>1648</v>
      </c>
      <c r="E3265" s="1" t="s">
        <v>1649</v>
      </c>
      <c r="F3265" s="3">
        <v>0</v>
      </c>
      <c r="I3265" s="24" t="s">
        <v>2965</v>
      </c>
      <c r="J3265" s="24" t="s">
        <v>2920</v>
      </c>
      <c r="K3265" s="3">
        <v>22</v>
      </c>
      <c r="L3265" s="3" t="s">
        <v>7100</v>
      </c>
      <c r="M3265" s="3" t="str">
        <f>HYPERLINK("http://ictvonline.org/taxonomyHistory.asp?taxnode_id=20154070","ICTVonline=20154070")</f>
        <v>ICTVonline=20154070</v>
      </c>
    </row>
    <row r="3266" spans="1:13" x14ac:dyDescent="0.15">
      <c r="A3266" s="1" t="s">
        <v>934</v>
      </c>
      <c r="B3266" s="1" t="s">
        <v>2216</v>
      </c>
      <c r="C3266" s="1" t="s">
        <v>794</v>
      </c>
      <c r="D3266" s="1" t="s">
        <v>1648</v>
      </c>
      <c r="E3266" s="1" t="s">
        <v>1945</v>
      </c>
      <c r="F3266" s="3">
        <v>0</v>
      </c>
      <c r="I3266" s="24" t="s">
        <v>2965</v>
      </c>
      <c r="J3266" s="24" t="s">
        <v>2920</v>
      </c>
      <c r="K3266" s="3">
        <v>22</v>
      </c>
      <c r="L3266" s="3" t="s">
        <v>7100</v>
      </c>
      <c r="M3266" s="3" t="str">
        <f>HYPERLINK("http://ictvonline.org/taxonomyHistory.asp?taxnode_id=20154071","ICTVonline=20154071")</f>
        <v>ICTVonline=20154071</v>
      </c>
    </row>
    <row r="3267" spans="1:13" x14ac:dyDescent="0.15">
      <c r="A3267" s="1" t="s">
        <v>934</v>
      </c>
      <c r="B3267" s="1" t="s">
        <v>2216</v>
      </c>
      <c r="C3267" s="1" t="s">
        <v>794</v>
      </c>
      <c r="D3267" s="1" t="s">
        <v>1648</v>
      </c>
      <c r="E3267" s="1" t="s">
        <v>2154</v>
      </c>
      <c r="F3267" s="3">
        <v>0</v>
      </c>
      <c r="I3267" s="24" t="s">
        <v>2965</v>
      </c>
      <c r="J3267" s="24" t="s">
        <v>2920</v>
      </c>
      <c r="K3267" s="3">
        <v>22</v>
      </c>
      <c r="L3267" s="3" t="s">
        <v>7100</v>
      </c>
      <c r="M3267" s="3" t="str">
        <f>HYPERLINK("http://ictvonline.org/taxonomyHistory.asp?taxnode_id=20154072","ICTVonline=20154072")</f>
        <v>ICTVonline=20154072</v>
      </c>
    </row>
    <row r="3268" spans="1:13" x14ac:dyDescent="0.15">
      <c r="A3268" s="1" t="s">
        <v>934</v>
      </c>
      <c r="B3268" s="1" t="s">
        <v>2216</v>
      </c>
      <c r="C3268" s="1" t="s">
        <v>794</v>
      </c>
      <c r="D3268" s="1" t="s">
        <v>1648</v>
      </c>
      <c r="E3268" s="1" t="s">
        <v>2272</v>
      </c>
      <c r="F3268" s="3">
        <v>1</v>
      </c>
      <c r="I3268" s="24" t="s">
        <v>2965</v>
      </c>
      <c r="J3268" s="24" t="s">
        <v>2920</v>
      </c>
      <c r="K3268" s="3">
        <v>22</v>
      </c>
      <c r="L3268" s="3" t="s">
        <v>7100</v>
      </c>
      <c r="M3268" s="3" t="str">
        <f>HYPERLINK("http://ictvonline.org/taxonomyHistory.asp?taxnode_id=20154073","ICTVonline=20154073")</f>
        <v>ICTVonline=20154073</v>
      </c>
    </row>
    <row r="3269" spans="1:13" x14ac:dyDescent="0.15">
      <c r="A3269" s="1" t="s">
        <v>934</v>
      </c>
      <c r="B3269" s="1" t="s">
        <v>2216</v>
      </c>
      <c r="C3269" s="1" t="s">
        <v>794</v>
      </c>
      <c r="D3269" s="1" t="s">
        <v>1648</v>
      </c>
      <c r="E3269" s="1" t="s">
        <v>1622</v>
      </c>
      <c r="F3269" s="3">
        <v>0</v>
      </c>
      <c r="I3269" s="24" t="s">
        <v>2965</v>
      </c>
      <c r="J3269" s="24" t="s">
        <v>2920</v>
      </c>
      <c r="K3269" s="3">
        <v>22</v>
      </c>
      <c r="L3269" s="3" t="s">
        <v>7100</v>
      </c>
      <c r="M3269" s="3" t="str">
        <f>HYPERLINK("http://ictvonline.org/taxonomyHistory.asp?taxnode_id=20154074","ICTVonline=20154074")</f>
        <v>ICTVonline=20154074</v>
      </c>
    </row>
    <row r="3270" spans="1:13" x14ac:dyDescent="0.15">
      <c r="A3270" s="1" t="s">
        <v>934</v>
      </c>
      <c r="B3270" s="1" t="s">
        <v>2216</v>
      </c>
      <c r="C3270" s="1" t="s">
        <v>794</v>
      </c>
      <c r="D3270" s="1" t="s">
        <v>1648</v>
      </c>
      <c r="E3270" s="1" t="s">
        <v>2901</v>
      </c>
      <c r="F3270" s="3">
        <v>0</v>
      </c>
      <c r="I3270" s="24" t="s">
        <v>2965</v>
      </c>
      <c r="J3270" s="24" t="s">
        <v>2924</v>
      </c>
      <c r="K3270" s="3">
        <v>29</v>
      </c>
      <c r="L3270" s="3" t="s">
        <v>7101</v>
      </c>
      <c r="M3270" s="3" t="str">
        <f>HYPERLINK("http://ictvonline.org/taxonomyHistory.asp?taxnode_id=20154075","ICTVonline=20154075")</f>
        <v>ICTVonline=20154075</v>
      </c>
    </row>
    <row r="3271" spans="1:13" x14ac:dyDescent="0.15">
      <c r="A3271" s="1" t="s">
        <v>934</v>
      </c>
      <c r="B3271" s="1" t="s">
        <v>2216</v>
      </c>
      <c r="C3271" s="1" t="s">
        <v>794</v>
      </c>
      <c r="D3271" s="1" t="s">
        <v>934</v>
      </c>
      <c r="E3271" s="1" t="s">
        <v>2274</v>
      </c>
      <c r="F3271" s="3">
        <v>0</v>
      </c>
      <c r="I3271" s="24" t="s">
        <v>2965</v>
      </c>
      <c r="J3271" s="24" t="s">
        <v>2919</v>
      </c>
      <c r="K3271" s="3">
        <v>23</v>
      </c>
      <c r="L3271" s="3" t="s">
        <v>2933</v>
      </c>
      <c r="M3271" s="3" t="str">
        <f>HYPERLINK("http://ictvonline.org/taxonomyHistory.asp?taxnode_id=20154077","ICTVonline=20154077")</f>
        <v>ICTVonline=20154077</v>
      </c>
    </row>
    <row r="3272" spans="1:13" x14ac:dyDescent="0.15">
      <c r="A3272" s="1" t="s">
        <v>934</v>
      </c>
      <c r="B3272" s="1" t="s">
        <v>2216</v>
      </c>
      <c r="C3272" s="1" t="s">
        <v>794</v>
      </c>
      <c r="D3272" s="1" t="s">
        <v>934</v>
      </c>
      <c r="E3272" s="1" t="s">
        <v>3343</v>
      </c>
      <c r="F3272" s="3">
        <v>0</v>
      </c>
      <c r="I3272" s="24" t="s">
        <v>2965</v>
      </c>
      <c r="J3272" s="24" t="s">
        <v>2920</v>
      </c>
      <c r="K3272" s="3">
        <v>22</v>
      </c>
      <c r="L3272" s="3" t="s">
        <v>3344</v>
      </c>
      <c r="M3272" s="3" t="str">
        <f>HYPERLINK("http://ictvonline.org/taxonomyHistory.asp?taxnode_id=20154078","ICTVonline=20154078")</f>
        <v>ICTVonline=20154078</v>
      </c>
    </row>
    <row r="3273" spans="1:13" x14ac:dyDescent="0.15">
      <c r="A3273" s="1" t="s">
        <v>934</v>
      </c>
      <c r="B3273" s="1" t="s">
        <v>2275</v>
      </c>
      <c r="D3273" s="1" t="s">
        <v>2276</v>
      </c>
      <c r="E3273" s="1" t="s">
        <v>1623</v>
      </c>
      <c r="F3273" s="3">
        <v>0</v>
      </c>
      <c r="I3273" s="24" t="s">
        <v>3288</v>
      </c>
      <c r="J3273" s="24" t="s">
        <v>2919</v>
      </c>
      <c r="K3273" s="3">
        <v>22</v>
      </c>
      <c r="L3273" s="3" t="s">
        <v>7103</v>
      </c>
      <c r="M3273" s="3" t="str">
        <f>HYPERLINK("http://ictvonline.org/taxonomyHistory.asp?taxnode_id=20154082","ICTVonline=20154082")</f>
        <v>ICTVonline=20154082</v>
      </c>
    </row>
    <row r="3274" spans="1:13" x14ac:dyDescent="0.15">
      <c r="A3274" s="1" t="s">
        <v>934</v>
      </c>
      <c r="B3274" s="1" t="s">
        <v>2275</v>
      </c>
      <c r="D3274" s="1" t="s">
        <v>2276</v>
      </c>
      <c r="E3274" s="1" t="s">
        <v>1624</v>
      </c>
      <c r="F3274" s="3">
        <v>0</v>
      </c>
      <c r="G3274" s="24" t="s">
        <v>6327</v>
      </c>
      <c r="H3274" s="24" t="s">
        <v>6328</v>
      </c>
      <c r="I3274" s="24" t="s">
        <v>3288</v>
      </c>
      <c r="J3274" s="24" t="s">
        <v>2919</v>
      </c>
      <c r="K3274" s="3">
        <v>22</v>
      </c>
      <c r="L3274" s="3" t="s">
        <v>7103</v>
      </c>
      <c r="M3274" s="3" t="str">
        <f>HYPERLINK("http://ictvonline.org/taxonomyHistory.asp?taxnode_id=20154083","ICTVonline=20154083")</f>
        <v>ICTVonline=20154083</v>
      </c>
    </row>
    <row r="3275" spans="1:13" x14ac:dyDescent="0.15">
      <c r="A3275" s="1" t="s">
        <v>934</v>
      </c>
      <c r="B3275" s="1" t="s">
        <v>2275</v>
      </c>
      <c r="D3275" s="1" t="s">
        <v>2276</v>
      </c>
      <c r="E3275" s="1" t="s">
        <v>1659</v>
      </c>
      <c r="F3275" s="3">
        <v>0</v>
      </c>
      <c r="G3275" s="24" t="s">
        <v>6329</v>
      </c>
      <c r="H3275" s="24" t="s">
        <v>6330</v>
      </c>
      <c r="I3275" s="24" t="s">
        <v>3288</v>
      </c>
      <c r="J3275" s="24" t="s">
        <v>2919</v>
      </c>
      <c r="K3275" s="3">
        <v>22</v>
      </c>
      <c r="L3275" s="3" t="s">
        <v>7103</v>
      </c>
      <c r="M3275" s="3" t="str">
        <f>HYPERLINK("http://ictvonline.org/taxonomyHistory.asp?taxnode_id=20154084","ICTVonline=20154084")</f>
        <v>ICTVonline=20154084</v>
      </c>
    </row>
    <row r="3276" spans="1:13" x14ac:dyDescent="0.15">
      <c r="A3276" s="1" t="s">
        <v>934</v>
      </c>
      <c r="B3276" s="1" t="s">
        <v>2275</v>
      </c>
      <c r="D3276" s="1" t="s">
        <v>2276</v>
      </c>
      <c r="E3276" s="1" t="s">
        <v>1660</v>
      </c>
      <c r="F3276" s="3">
        <v>0</v>
      </c>
      <c r="I3276" s="24" t="s">
        <v>3288</v>
      </c>
      <c r="J3276" s="24" t="s">
        <v>2919</v>
      </c>
      <c r="K3276" s="3">
        <v>18</v>
      </c>
      <c r="L3276" s="3" t="s">
        <v>2929</v>
      </c>
      <c r="M3276" s="3" t="str">
        <f>HYPERLINK("http://ictvonline.org/taxonomyHistory.asp?taxnode_id=20154085","ICTVonline=20154085")</f>
        <v>ICTVonline=20154085</v>
      </c>
    </row>
    <row r="3277" spans="1:13" x14ac:dyDescent="0.15">
      <c r="A3277" s="1" t="s">
        <v>934</v>
      </c>
      <c r="B3277" s="1" t="s">
        <v>2275</v>
      </c>
      <c r="D3277" s="1" t="s">
        <v>2276</v>
      </c>
      <c r="E3277" s="1" t="s">
        <v>1999</v>
      </c>
      <c r="F3277" s="3">
        <v>1</v>
      </c>
      <c r="I3277" s="24" t="s">
        <v>3288</v>
      </c>
      <c r="J3277" s="24" t="s">
        <v>2921</v>
      </c>
      <c r="K3277" s="3">
        <v>17</v>
      </c>
      <c r="L3277" s="3" t="s">
        <v>2928</v>
      </c>
      <c r="M3277" s="3" t="str">
        <f>HYPERLINK("http://ictvonline.org/taxonomyHistory.asp?taxnode_id=20154086","ICTVonline=20154086")</f>
        <v>ICTVonline=20154086</v>
      </c>
    </row>
    <row r="3278" spans="1:13" x14ac:dyDescent="0.15">
      <c r="A3278" s="1" t="s">
        <v>934</v>
      </c>
      <c r="B3278" s="1" t="s">
        <v>2275</v>
      </c>
      <c r="D3278" s="1" t="s">
        <v>2276</v>
      </c>
      <c r="E3278" s="1" t="s">
        <v>2000</v>
      </c>
      <c r="F3278" s="3">
        <v>0</v>
      </c>
      <c r="G3278" s="24" t="s">
        <v>6331</v>
      </c>
      <c r="H3278" s="24" t="s">
        <v>6332</v>
      </c>
      <c r="I3278" s="24" t="s">
        <v>3288</v>
      </c>
      <c r="J3278" s="24" t="s">
        <v>2919</v>
      </c>
      <c r="K3278" s="3">
        <v>18</v>
      </c>
      <c r="L3278" s="3" t="s">
        <v>2929</v>
      </c>
      <c r="M3278" s="3" t="str">
        <f>HYPERLINK("http://ictvonline.org/taxonomyHistory.asp?taxnode_id=20154087","ICTVonline=20154087")</f>
        <v>ICTVonline=20154087</v>
      </c>
    </row>
    <row r="3279" spans="1:13" x14ac:dyDescent="0.15">
      <c r="A3279" s="1" t="s">
        <v>934</v>
      </c>
      <c r="B3279" s="1" t="s">
        <v>2275</v>
      </c>
      <c r="D3279" s="1" t="s">
        <v>2276</v>
      </c>
      <c r="E3279" s="1" t="s">
        <v>2213</v>
      </c>
      <c r="F3279" s="3">
        <v>0</v>
      </c>
      <c r="G3279" s="24" t="s">
        <v>6333</v>
      </c>
      <c r="H3279" s="24" t="s">
        <v>6334</v>
      </c>
      <c r="I3279" s="24" t="s">
        <v>3288</v>
      </c>
      <c r="J3279" s="24" t="s">
        <v>2919</v>
      </c>
      <c r="K3279" s="3">
        <v>22</v>
      </c>
      <c r="L3279" s="3" t="s">
        <v>7103</v>
      </c>
      <c r="M3279" s="3" t="str">
        <f>HYPERLINK("http://ictvonline.org/taxonomyHistory.asp?taxnode_id=20154088","ICTVonline=20154088")</f>
        <v>ICTVonline=20154088</v>
      </c>
    </row>
    <row r="3280" spans="1:13" x14ac:dyDescent="0.15">
      <c r="A3280" s="1" t="s">
        <v>934</v>
      </c>
      <c r="B3280" s="1" t="s">
        <v>2275</v>
      </c>
      <c r="D3280" s="1" t="s">
        <v>2276</v>
      </c>
      <c r="E3280" s="1" t="s">
        <v>2017</v>
      </c>
      <c r="F3280" s="3">
        <v>0</v>
      </c>
      <c r="G3280" s="24" t="s">
        <v>6335</v>
      </c>
      <c r="H3280" s="24" t="s">
        <v>6336</v>
      </c>
      <c r="I3280" s="24" t="s">
        <v>3288</v>
      </c>
      <c r="J3280" s="24" t="s">
        <v>2919</v>
      </c>
      <c r="K3280" s="3">
        <v>18</v>
      </c>
      <c r="L3280" s="3" t="s">
        <v>2929</v>
      </c>
      <c r="M3280" s="3" t="str">
        <f>HYPERLINK("http://ictvonline.org/taxonomyHistory.asp?taxnode_id=20154089","ICTVonline=20154089")</f>
        <v>ICTVonline=20154089</v>
      </c>
    </row>
    <row r="3281" spans="1:13" x14ac:dyDescent="0.15">
      <c r="A3281" s="1" t="s">
        <v>934</v>
      </c>
      <c r="B3281" s="1" t="s">
        <v>2275</v>
      </c>
      <c r="D3281" s="1" t="s">
        <v>2018</v>
      </c>
      <c r="E3281" s="1" t="s">
        <v>291</v>
      </c>
      <c r="F3281" s="3">
        <v>0</v>
      </c>
      <c r="G3281" s="24" t="s">
        <v>6337</v>
      </c>
      <c r="H3281" s="24" t="s">
        <v>6338</v>
      </c>
      <c r="I3281" s="24" t="s">
        <v>3288</v>
      </c>
      <c r="J3281" s="24" t="s">
        <v>2919</v>
      </c>
      <c r="K3281" s="3">
        <v>22</v>
      </c>
      <c r="L3281" s="3" t="s">
        <v>7103</v>
      </c>
      <c r="M3281" s="3" t="str">
        <f>HYPERLINK("http://ictvonline.org/taxonomyHistory.asp?taxnode_id=20154091","ICTVonline=20154091")</f>
        <v>ICTVonline=20154091</v>
      </c>
    </row>
    <row r="3282" spans="1:13" x14ac:dyDescent="0.15">
      <c r="A3282" s="1" t="s">
        <v>934</v>
      </c>
      <c r="B3282" s="1" t="s">
        <v>2275</v>
      </c>
      <c r="D3282" s="1" t="s">
        <v>2018</v>
      </c>
      <c r="E3282" s="1" t="s">
        <v>292</v>
      </c>
      <c r="F3282" s="3">
        <v>0</v>
      </c>
      <c r="G3282" s="24" t="s">
        <v>6339</v>
      </c>
      <c r="H3282" s="24" t="s">
        <v>6340</v>
      </c>
      <c r="I3282" s="24" t="s">
        <v>3288</v>
      </c>
      <c r="J3282" s="24" t="s">
        <v>2919</v>
      </c>
      <c r="K3282" s="3">
        <v>22</v>
      </c>
      <c r="L3282" s="3" t="s">
        <v>7103</v>
      </c>
      <c r="M3282" s="3" t="str">
        <f>HYPERLINK("http://ictvonline.org/taxonomyHistory.asp?taxnode_id=20154092","ICTVonline=20154092")</f>
        <v>ICTVonline=20154092</v>
      </c>
    </row>
    <row r="3283" spans="1:13" x14ac:dyDescent="0.15">
      <c r="A3283" s="1" t="s">
        <v>934</v>
      </c>
      <c r="B3283" s="1" t="s">
        <v>2275</v>
      </c>
      <c r="D3283" s="1" t="s">
        <v>2018</v>
      </c>
      <c r="E3283" s="1" t="s">
        <v>3352</v>
      </c>
      <c r="F3283" s="3">
        <v>0</v>
      </c>
      <c r="G3283" s="24" t="s">
        <v>6341</v>
      </c>
      <c r="H3283" s="24" t="s">
        <v>6342</v>
      </c>
      <c r="I3283" s="24" t="s">
        <v>3288</v>
      </c>
      <c r="J3283" s="24" t="s">
        <v>2919</v>
      </c>
      <c r="K3283" s="3">
        <v>22</v>
      </c>
      <c r="L3283" s="3" t="s">
        <v>7103</v>
      </c>
      <c r="M3283" s="3" t="str">
        <f>HYPERLINK("http://ictvonline.org/taxonomyHistory.asp?taxnode_id=20154093","ICTVonline=20154093")</f>
        <v>ICTVonline=20154093</v>
      </c>
    </row>
    <row r="3284" spans="1:13" x14ac:dyDescent="0.15">
      <c r="A3284" s="1" t="s">
        <v>934</v>
      </c>
      <c r="B3284" s="1" t="s">
        <v>2275</v>
      </c>
      <c r="D3284" s="1" t="s">
        <v>2018</v>
      </c>
      <c r="E3284" s="1" t="s">
        <v>1332</v>
      </c>
      <c r="F3284" s="3">
        <v>0</v>
      </c>
      <c r="G3284" s="24" t="s">
        <v>6343</v>
      </c>
      <c r="H3284" s="24" t="s">
        <v>6344</v>
      </c>
      <c r="I3284" s="24" t="s">
        <v>3288</v>
      </c>
      <c r="J3284" s="24" t="s">
        <v>2919</v>
      </c>
      <c r="K3284" s="3">
        <v>18</v>
      </c>
      <c r="L3284" s="3" t="s">
        <v>2929</v>
      </c>
      <c r="M3284" s="3" t="str">
        <f>HYPERLINK("http://ictvonline.org/taxonomyHistory.asp?taxnode_id=20154094","ICTVonline=20154094")</f>
        <v>ICTVonline=20154094</v>
      </c>
    </row>
    <row r="3285" spans="1:13" x14ac:dyDescent="0.15">
      <c r="A3285" s="1" t="s">
        <v>934</v>
      </c>
      <c r="B3285" s="1" t="s">
        <v>2275</v>
      </c>
      <c r="D3285" s="1" t="s">
        <v>2018</v>
      </c>
      <c r="E3285" s="1" t="s">
        <v>1333</v>
      </c>
      <c r="F3285" s="3">
        <v>0</v>
      </c>
      <c r="G3285" s="24" t="s">
        <v>6345</v>
      </c>
      <c r="H3285" s="24" t="s">
        <v>6346</v>
      </c>
      <c r="I3285" s="24" t="s">
        <v>3288</v>
      </c>
      <c r="J3285" s="24" t="s">
        <v>2919</v>
      </c>
      <c r="K3285" s="3">
        <v>22</v>
      </c>
      <c r="L3285" s="3" t="s">
        <v>7103</v>
      </c>
      <c r="M3285" s="3" t="str">
        <f>HYPERLINK("http://ictvonline.org/taxonomyHistory.asp?taxnode_id=20154095","ICTVonline=20154095")</f>
        <v>ICTVonline=20154095</v>
      </c>
    </row>
    <row r="3286" spans="1:13" x14ac:dyDescent="0.15">
      <c r="A3286" s="1" t="s">
        <v>934</v>
      </c>
      <c r="B3286" s="1" t="s">
        <v>2275</v>
      </c>
      <c r="D3286" s="1" t="s">
        <v>2018</v>
      </c>
      <c r="E3286" s="1" t="s">
        <v>1334</v>
      </c>
      <c r="F3286" s="3">
        <v>0</v>
      </c>
      <c r="I3286" s="24" t="s">
        <v>3288</v>
      </c>
      <c r="J3286" s="24" t="s">
        <v>2919</v>
      </c>
      <c r="K3286" s="3">
        <v>22</v>
      </c>
      <c r="L3286" s="3" t="s">
        <v>7103</v>
      </c>
      <c r="M3286" s="3" t="str">
        <f>HYPERLINK("http://ictvonline.org/taxonomyHistory.asp?taxnode_id=20154096","ICTVonline=20154096")</f>
        <v>ICTVonline=20154096</v>
      </c>
    </row>
    <row r="3287" spans="1:13" x14ac:dyDescent="0.15">
      <c r="A3287" s="1" t="s">
        <v>934</v>
      </c>
      <c r="B3287" s="1" t="s">
        <v>2275</v>
      </c>
      <c r="D3287" s="1" t="s">
        <v>2018</v>
      </c>
      <c r="E3287" s="1" t="s">
        <v>1335</v>
      </c>
      <c r="F3287" s="3">
        <v>0</v>
      </c>
      <c r="G3287" s="24" t="s">
        <v>6347</v>
      </c>
      <c r="H3287" s="24" t="s">
        <v>6348</v>
      </c>
      <c r="I3287" s="24" t="s">
        <v>3288</v>
      </c>
      <c r="J3287" s="24" t="s">
        <v>2919</v>
      </c>
      <c r="K3287" s="3">
        <v>22</v>
      </c>
      <c r="L3287" s="3" t="s">
        <v>7103</v>
      </c>
      <c r="M3287" s="3" t="str">
        <f>HYPERLINK("http://ictvonline.org/taxonomyHistory.asp?taxnode_id=20154097","ICTVonline=20154097")</f>
        <v>ICTVonline=20154097</v>
      </c>
    </row>
    <row r="3288" spans="1:13" x14ac:dyDescent="0.15">
      <c r="A3288" s="1" t="s">
        <v>934</v>
      </c>
      <c r="B3288" s="1" t="s">
        <v>2275</v>
      </c>
      <c r="D3288" s="1" t="s">
        <v>2018</v>
      </c>
      <c r="E3288" s="1" t="s">
        <v>1336</v>
      </c>
      <c r="F3288" s="3">
        <v>0</v>
      </c>
      <c r="G3288" s="24" t="s">
        <v>6349</v>
      </c>
      <c r="H3288" s="24" t="s">
        <v>6350</v>
      </c>
      <c r="I3288" s="24" t="s">
        <v>3288</v>
      </c>
      <c r="J3288" s="24" t="s">
        <v>2919</v>
      </c>
      <c r="K3288" s="3">
        <v>18</v>
      </c>
      <c r="L3288" s="3" t="s">
        <v>2929</v>
      </c>
      <c r="M3288" s="3" t="str">
        <f>HYPERLINK("http://ictvonline.org/taxonomyHistory.asp?taxnode_id=20154098","ICTVonline=20154098")</f>
        <v>ICTVonline=20154098</v>
      </c>
    </row>
    <row r="3289" spans="1:13" x14ac:dyDescent="0.15">
      <c r="A3289" s="1" t="s">
        <v>934</v>
      </c>
      <c r="B3289" s="1" t="s">
        <v>2275</v>
      </c>
      <c r="D3289" s="1" t="s">
        <v>2018</v>
      </c>
      <c r="E3289" s="1" t="s">
        <v>1337</v>
      </c>
      <c r="F3289" s="3">
        <v>0</v>
      </c>
      <c r="G3289" s="24" t="s">
        <v>6351</v>
      </c>
      <c r="H3289" s="24" t="s">
        <v>6352</v>
      </c>
      <c r="I3289" s="24" t="s">
        <v>3288</v>
      </c>
      <c r="J3289" s="24" t="s">
        <v>2919</v>
      </c>
      <c r="K3289" s="3">
        <v>18</v>
      </c>
      <c r="L3289" s="3" t="s">
        <v>2929</v>
      </c>
      <c r="M3289" s="3" t="str">
        <f>HYPERLINK("http://ictvonline.org/taxonomyHistory.asp?taxnode_id=20154099","ICTVonline=20154099")</f>
        <v>ICTVonline=20154099</v>
      </c>
    </row>
    <row r="3290" spans="1:13" x14ac:dyDescent="0.15">
      <c r="A3290" s="1" t="s">
        <v>934</v>
      </c>
      <c r="B3290" s="1" t="s">
        <v>2275</v>
      </c>
      <c r="D3290" s="1" t="s">
        <v>2018</v>
      </c>
      <c r="E3290" s="1" t="s">
        <v>1338</v>
      </c>
      <c r="F3290" s="3">
        <v>0</v>
      </c>
      <c r="G3290" s="24" t="s">
        <v>6353</v>
      </c>
      <c r="H3290" s="24" t="s">
        <v>6354</v>
      </c>
      <c r="I3290" s="24" t="s">
        <v>3288</v>
      </c>
      <c r="J3290" s="24" t="s">
        <v>2919</v>
      </c>
      <c r="K3290" s="3">
        <v>18</v>
      </c>
      <c r="L3290" s="3" t="s">
        <v>2929</v>
      </c>
      <c r="M3290" s="3" t="str">
        <f>HYPERLINK("http://ictvonline.org/taxonomyHistory.asp?taxnode_id=20154100","ICTVonline=20154100")</f>
        <v>ICTVonline=20154100</v>
      </c>
    </row>
    <row r="3291" spans="1:13" x14ac:dyDescent="0.15">
      <c r="A3291" s="1" t="s">
        <v>934</v>
      </c>
      <c r="B3291" s="1" t="s">
        <v>2275</v>
      </c>
      <c r="D3291" s="1" t="s">
        <v>2018</v>
      </c>
      <c r="E3291" s="1" t="s">
        <v>1798</v>
      </c>
      <c r="F3291" s="3">
        <v>0</v>
      </c>
      <c r="G3291" s="24" t="s">
        <v>6355</v>
      </c>
      <c r="H3291" s="24" t="s">
        <v>6356</v>
      </c>
      <c r="I3291" s="24" t="s">
        <v>3288</v>
      </c>
      <c r="J3291" s="24" t="s">
        <v>2919</v>
      </c>
      <c r="K3291" s="3">
        <v>22</v>
      </c>
      <c r="L3291" s="3" t="s">
        <v>7103</v>
      </c>
      <c r="M3291" s="3" t="str">
        <f>HYPERLINK("http://ictvonline.org/taxonomyHistory.asp?taxnode_id=20154101","ICTVonline=20154101")</f>
        <v>ICTVonline=20154101</v>
      </c>
    </row>
    <row r="3292" spans="1:13" x14ac:dyDescent="0.15">
      <c r="A3292" s="1" t="s">
        <v>934</v>
      </c>
      <c r="B3292" s="1" t="s">
        <v>2275</v>
      </c>
      <c r="D3292" s="1" t="s">
        <v>2018</v>
      </c>
      <c r="E3292" s="1" t="s">
        <v>1799</v>
      </c>
      <c r="F3292" s="3">
        <v>0</v>
      </c>
      <c r="G3292" s="24" t="s">
        <v>6357</v>
      </c>
      <c r="H3292" s="24" t="s">
        <v>6358</v>
      </c>
      <c r="I3292" s="24" t="s">
        <v>3288</v>
      </c>
      <c r="J3292" s="24" t="s">
        <v>2919</v>
      </c>
      <c r="K3292" s="3">
        <v>22</v>
      </c>
      <c r="L3292" s="3" t="s">
        <v>7103</v>
      </c>
      <c r="M3292" s="3" t="str">
        <f>HYPERLINK("http://ictvonline.org/taxonomyHistory.asp?taxnode_id=20154102","ICTVonline=20154102")</f>
        <v>ICTVonline=20154102</v>
      </c>
    </row>
    <row r="3293" spans="1:13" x14ac:dyDescent="0.15">
      <c r="A3293" s="1" t="s">
        <v>934</v>
      </c>
      <c r="B3293" s="1" t="s">
        <v>2275</v>
      </c>
      <c r="D3293" s="1" t="s">
        <v>2018</v>
      </c>
      <c r="E3293" s="1" t="s">
        <v>1800</v>
      </c>
      <c r="F3293" s="3">
        <v>0</v>
      </c>
      <c r="I3293" s="24" t="s">
        <v>3288</v>
      </c>
      <c r="J3293" s="24" t="s">
        <v>2919</v>
      </c>
      <c r="K3293" s="3">
        <v>18</v>
      </c>
      <c r="L3293" s="3" t="s">
        <v>2929</v>
      </c>
      <c r="M3293" s="3" t="str">
        <f>HYPERLINK("http://ictvonline.org/taxonomyHistory.asp?taxnode_id=20154103","ICTVonline=20154103")</f>
        <v>ICTVonline=20154103</v>
      </c>
    </row>
    <row r="3294" spans="1:13" x14ac:dyDescent="0.15">
      <c r="A3294" s="1" t="s">
        <v>934</v>
      </c>
      <c r="B3294" s="1" t="s">
        <v>2275</v>
      </c>
      <c r="D3294" s="1" t="s">
        <v>2018</v>
      </c>
      <c r="E3294" s="1" t="s">
        <v>1801</v>
      </c>
      <c r="F3294" s="3">
        <v>1</v>
      </c>
      <c r="G3294" s="24" t="s">
        <v>6359</v>
      </c>
      <c r="H3294" s="24" t="s">
        <v>6360</v>
      </c>
      <c r="I3294" s="24" t="s">
        <v>3288</v>
      </c>
      <c r="J3294" s="24" t="s">
        <v>2921</v>
      </c>
      <c r="K3294" s="3">
        <v>17</v>
      </c>
      <c r="L3294" s="3" t="s">
        <v>2928</v>
      </c>
      <c r="M3294" s="3" t="str">
        <f>HYPERLINK("http://ictvonline.org/taxonomyHistory.asp?taxnode_id=20154104","ICTVonline=20154104")</f>
        <v>ICTVonline=20154104</v>
      </c>
    </row>
    <row r="3295" spans="1:13" x14ac:dyDescent="0.15">
      <c r="A3295" s="1" t="s">
        <v>934</v>
      </c>
      <c r="B3295" s="1" t="s">
        <v>2275</v>
      </c>
      <c r="D3295" s="1" t="s">
        <v>2018</v>
      </c>
      <c r="E3295" s="1" t="s">
        <v>1802</v>
      </c>
      <c r="F3295" s="3">
        <v>0</v>
      </c>
      <c r="G3295" s="24" t="s">
        <v>6361</v>
      </c>
      <c r="H3295" s="24" t="s">
        <v>6362</v>
      </c>
      <c r="I3295" s="24" t="s">
        <v>3288</v>
      </c>
      <c r="J3295" s="24" t="s">
        <v>2919</v>
      </c>
      <c r="K3295" s="3">
        <v>18</v>
      </c>
      <c r="L3295" s="3" t="s">
        <v>2929</v>
      </c>
      <c r="M3295" s="3" t="str">
        <f>HYPERLINK("http://ictvonline.org/taxonomyHistory.asp?taxnode_id=20154105","ICTVonline=20154105")</f>
        <v>ICTVonline=20154105</v>
      </c>
    </row>
    <row r="3296" spans="1:13" x14ac:dyDescent="0.15">
      <c r="A3296" s="1" t="s">
        <v>934</v>
      </c>
      <c r="B3296" s="1" t="s">
        <v>2275</v>
      </c>
      <c r="D3296" s="1" t="s">
        <v>2018</v>
      </c>
      <c r="E3296" s="1" t="s">
        <v>731</v>
      </c>
      <c r="F3296" s="3">
        <v>0</v>
      </c>
      <c r="G3296" s="24" t="s">
        <v>6363</v>
      </c>
      <c r="H3296" s="24" t="s">
        <v>6364</v>
      </c>
      <c r="I3296" s="24" t="s">
        <v>3288</v>
      </c>
      <c r="J3296" s="24" t="s">
        <v>2919</v>
      </c>
      <c r="K3296" s="3">
        <v>18</v>
      </c>
      <c r="L3296" s="3" t="s">
        <v>2929</v>
      </c>
      <c r="M3296" s="3" t="str">
        <f>HYPERLINK("http://ictvonline.org/taxonomyHistory.asp?taxnode_id=20154106","ICTVonline=20154106")</f>
        <v>ICTVonline=20154106</v>
      </c>
    </row>
    <row r="3297" spans="1:13" x14ac:dyDescent="0.15">
      <c r="A3297" s="1" t="s">
        <v>934</v>
      </c>
      <c r="B3297" s="1" t="s">
        <v>2275</v>
      </c>
      <c r="D3297" s="1" t="s">
        <v>2018</v>
      </c>
      <c r="E3297" s="1" t="s">
        <v>1874</v>
      </c>
      <c r="F3297" s="3">
        <v>0</v>
      </c>
      <c r="G3297" s="24" t="s">
        <v>6365</v>
      </c>
      <c r="H3297" s="24" t="s">
        <v>6366</v>
      </c>
      <c r="I3297" s="24" t="s">
        <v>3288</v>
      </c>
      <c r="J3297" s="24" t="s">
        <v>2919</v>
      </c>
      <c r="K3297" s="3">
        <v>18</v>
      </c>
      <c r="L3297" s="3" t="s">
        <v>2929</v>
      </c>
      <c r="M3297" s="3" t="str">
        <f>HYPERLINK("http://ictvonline.org/taxonomyHistory.asp?taxnode_id=20154107","ICTVonline=20154107")</f>
        <v>ICTVonline=20154107</v>
      </c>
    </row>
    <row r="3298" spans="1:13" x14ac:dyDescent="0.15">
      <c r="A3298" s="1" t="s">
        <v>934</v>
      </c>
      <c r="B3298" s="1" t="s">
        <v>2275</v>
      </c>
      <c r="D3298" s="1" t="s">
        <v>2018</v>
      </c>
      <c r="E3298" s="1" t="s">
        <v>1875</v>
      </c>
      <c r="F3298" s="3">
        <v>0</v>
      </c>
      <c r="I3298" s="24" t="s">
        <v>3288</v>
      </c>
      <c r="J3298" s="24" t="s">
        <v>2919</v>
      </c>
      <c r="K3298" s="3">
        <v>18</v>
      </c>
      <c r="L3298" s="3" t="s">
        <v>2929</v>
      </c>
      <c r="M3298" s="3" t="str">
        <f>HYPERLINK("http://ictvonline.org/taxonomyHistory.asp?taxnode_id=20154108","ICTVonline=20154108")</f>
        <v>ICTVonline=20154108</v>
      </c>
    </row>
    <row r="3299" spans="1:13" x14ac:dyDescent="0.15">
      <c r="A3299" s="1" t="s">
        <v>934</v>
      </c>
      <c r="B3299" s="1" t="s">
        <v>2275</v>
      </c>
      <c r="D3299" s="1" t="s">
        <v>2018</v>
      </c>
      <c r="E3299" s="1" t="s">
        <v>1876</v>
      </c>
      <c r="F3299" s="3">
        <v>0</v>
      </c>
      <c r="G3299" s="24" t="s">
        <v>6367</v>
      </c>
      <c r="H3299" s="24" t="s">
        <v>6368</v>
      </c>
      <c r="I3299" s="24" t="s">
        <v>3288</v>
      </c>
      <c r="J3299" s="24" t="s">
        <v>2919</v>
      </c>
      <c r="K3299" s="3">
        <v>18</v>
      </c>
      <c r="L3299" s="3" t="s">
        <v>2929</v>
      </c>
      <c r="M3299" s="3" t="str">
        <f>HYPERLINK("http://ictvonline.org/taxonomyHistory.asp?taxnode_id=20154109","ICTVonline=20154109")</f>
        <v>ICTVonline=20154109</v>
      </c>
    </row>
    <row r="3300" spans="1:13" x14ac:dyDescent="0.15">
      <c r="A3300" s="1" t="s">
        <v>934</v>
      </c>
      <c r="B3300" s="1" t="s">
        <v>2275</v>
      </c>
      <c r="D3300" s="1" t="s">
        <v>2018</v>
      </c>
      <c r="E3300" s="1" t="s">
        <v>1877</v>
      </c>
      <c r="F3300" s="3">
        <v>0</v>
      </c>
      <c r="G3300" s="24" t="s">
        <v>6369</v>
      </c>
      <c r="H3300" s="24" t="s">
        <v>6370</v>
      </c>
      <c r="I3300" s="24" t="s">
        <v>3288</v>
      </c>
      <c r="J3300" s="24" t="s">
        <v>2919</v>
      </c>
      <c r="K3300" s="3">
        <v>22</v>
      </c>
      <c r="L3300" s="3" t="s">
        <v>7103</v>
      </c>
      <c r="M3300" s="3" t="str">
        <f>HYPERLINK("http://ictvonline.org/taxonomyHistory.asp?taxnode_id=20154110","ICTVonline=20154110")</f>
        <v>ICTVonline=20154110</v>
      </c>
    </row>
    <row r="3301" spans="1:13" x14ac:dyDescent="0.15">
      <c r="A3301" s="1" t="s">
        <v>934</v>
      </c>
      <c r="B3301" s="1" t="s">
        <v>2275</v>
      </c>
      <c r="D3301" s="1" t="s">
        <v>734</v>
      </c>
      <c r="E3301" s="1" t="s">
        <v>735</v>
      </c>
      <c r="F3301" s="3">
        <v>0</v>
      </c>
      <c r="G3301" s="24" t="s">
        <v>6371</v>
      </c>
      <c r="H3301" s="24" t="s">
        <v>6372</v>
      </c>
      <c r="I3301" s="24" t="s">
        <v>3288</v>
      </c>
      <c r="J3301" s="24" t="s">
        <v>2919</v>
      </c>
      <c r="K3301" s="3">
        <v>22</v>
      </c>
      <c r="L3301" s="3" t="s">
        <v>7103</v>
      </c>
      <c r="M3301" s="3" t="str">
        <f>HYPERLINK("http://ictvonline.org/taxonomyHistory.asp?taxnode_id=20154112","ICTVonline=20154112")</f>
        <v>ICTVonline=20154112</v>
      </c>
    </row>
    <row r="3302" spans="1:13" x14ac:dyDescent="0.15">
      <c r="A3302" s="1" t="s">
        <v>934</v>
      </c>
      <c r="B3302" s="1" t="s">
        <v>2275</v>
      </c>
      <c r="D3302" s="1" t="s">
        <v>734</v>
      </c>
      <c r="E3302" s="1" t="s">
        <v>736</v>
      </c>
      <c r="F3302" s="3">
        <v>1</v>
      </c>
      <c r="I3302" s="24" t="s">
        <v>3288</v>
      </c>
      <c r="J3302" s="24" t="s">
        <v>2921</v>
      </c>
      <c r="K3302" s="3">
        <v>22</v>
      </c>
      <c r="L3302" s="3" t="s">
        <v>7103</v>
      </c>
      <c r="M3302" s="3" t="str">
        <f>HYPERLINK("http://ictvonline.org/taxonomyHistory.asp?taxnode_id=20154113","ICTVonline=20154113")</f>
        <v>ICTVonline=20154113</v>
      </c>
    </row>
    <row r="3303" spans="1:13" x14ac:dyDescent="0.15">
      <c r="A3303" s="1" t="s">
        <v>934</v>
      </c>
      <c r="B3303" s="1" t="s">
        <v>2275</v>
      </c>
      <c r="D3303" s="1" t="s">
        <v>734</v>
      </c>
      <c r="E3303" s="1" t="s">
        <v>737</v>
      </c>
      <c r="F3303" s="3">
        <v>0</v>
      </c>
      <c r="G3303" s="24" t="s">
        <v>6373</v>
      </c>
      <c r="H3303" s="24" t="s">
        <v>6374</v>
      </c>
      <c r="I3303" s="24" t="s">
        <v>3288</v>
      </c>
      <c r="J3303" s="24" t="s">
        <v>2919</v>
      </c>
      <c r="K3303" s="3">
        <v>22</v>
      </c>
      <c r="L3303" s="3" t="s">
        <v>7103</v>
      </c>
      <c r="M3303" s="3" t="str">
        <f>HYPERLINK("http://ictvonline.org/taxonomyHistory.asp?taxnode_id=20154114","ICTVonline=20154114")</f>
        <v>ICTVonline=20154114</v>
      </c>
    </row>
    <row r="3304" spans="1:13" x14ac:dyDescent="0.15">
      <c r="A3304" s="1" t="s">
        <v>934</v>
      </c>
      <c r="B3304" s="1" t="s">
        <v>2275</v>
      </c>
      <c r="D3304" s="1" t="s">
        <v>734</v>
      </c>
      <c r="E3304" s="1" t="s">
        <v>1882</v>
      </c>
      <c r="F3304" s="3">
        <v>0</v>
      </c>
      <c r="G3304" s="24" t="s">
        <v>6375</v>
      </c>
      <c r="H3304" s="24" t="s">
        <v>6376</v>
      </c>
      <c r="I3304" s="24" t="s">
        <v>3288</v>
      </c>
      <c r="J3304" s="24" t="s">
        <v>2919</v>
      </c>
      <c r="K3304" s="3">
        <v>22</v>
      </c>
      <c r="L3304" s="3" t="s">
        <v>7103</v>
      </c>
      <c r="M3304" s="3" t="str">
        <f>HYPERLINK("http://ictvonline.org/taxonomyHistory.asp?taxnode_id=20154115","ICTVonline=20154115")</f>
        <v>ICTVonline=20154115</v>
      </c>
    </row>
    <row r="3305" spans="1:13" x14ac:dyDescent="0.15">
      <c r="A3305" s="1" t="s">
        <v>934</v>
      </c>
      <c r="B3305" s="1" t="s">
        <v>2275</v>
      </c>
      <c r="D3305" s="1" t="s">
        <v>734</v>
      </c>
      <c r="E3305" s="1" t="s">
        <v>1883</v>
      </c>
      <c r="F3305" s="3">
        <v>0</v>
      </c>
      <c r="G3305" s="24" t="s">
        <v>6377</v>
      </c>
      <c r="H3305" s="24" t="s">
        <v>6378</v>
      </c>
      <c r="I3305" s="24" t="s">
        <v>3288</v>
      </c>
      <c r="J3305" s="24" t="s">
        <v>2919</v>
      </c>
      <c r="K3305" s="3">
        <v>22</v>
      </c>
      <c r="L3305" s="3" t="s">
        <v>7103</v>
      </c>
      <c r="M3305" s="3" t="str">
        <f>HYPERLINK("http://ictvonline.org/taxonomyHistory.asp?taxnode_id=20154116","ICTVonline=20154116")</f>
        <v>ICTVonline=20154116</v>
      </c>
    </row>
    <row r="3306" spans="1:13" x14ac:dyDescent="0.15">
      <c r="A3306" s="1" t="s">
        <v>934</v>
      </c>
      <c r="B3306" s="1" t="s">
        <v>2275</v>
      </c>
      <c r="D3306" s="1" t="s">
        <v>934</v>
      </c>
      <c r="E3306" s="1" t="s">
        <v>1884</v>
      </c>
      <c r="F3306" s="3">
        <v>0</v>
      </c>
      <c r="G3306" s="24" t="s">
        <v>6379</v>
      </c>
      <c r="H3306" s="24" t="s">
        <v>6380</v>
      </c>
      <c r="I3306" s="24" t="s">
        <v>3288</v>
      </c>
      <c r="J3306" s="24" t="s">
        <v>2919</v>
      </c>
      <c r="K3306" s="3">
        <v>22</v>
      </c>
      <c r="L3306" s="3" t="s">
        <v>7103</v>
      </c>
      <c r="M3306" s="3" t="str">
        <f>HYPERLINK("http://ictvonline.org/taxonomyHistory.asp?taxnode_id=20154118","ICTVonline=20154118")</f>
        <v>ICTVonline=20154118</v>
      </c>
    </row>
    <row r="3307" spans="1:13" x14ac:dyDescent="0.15">
      <c r="A3307" s="1" t="s">
        <v>934</v>
      </c>
      <c r="B3307" s="1" t="s">
        <v>2424</v>
      </c>
      <c r="D3307" s="1" t="s">
        <v>2425</v>
      </c>
      <c r="E3307" s="1" t="s">
        <v>2426</v>
      </c>
      <c r="F3307" s="3">
        <v>1</v>
      </c>
      <c r="G3307" s="24" t="s">
        <v>7941</v>
      </c>
      <c r="H3307" s="24" t="s">
        <v>6381</v>
      </c>
      <c r="I3307" s="24" t="s">
        <v>3286</v>
      </c>
      <c r="J3307" s="24" t="s">
        <v>2921</v>
      </c>
      <c r="K3307" s="3">
        <v>27</v>
      </c>
      <c r="L3307" s="3" t="s">
        <v>7104</v>
      </c>
      <c r="M3307" s="3" t="str">
        <f>HYPERLINK("http://ictvonline.org/taxonomyHistory.asp?taxnode_id=20154122","ICTVonline=20154122")</f>
        <v>ICTVonline=20154122</v>
      </c>
    </row>
    <row r="3308" spans="1:13" x14ac:dyDescent="0.15">
      <c r="A3308" s="1" t="s">
        <v>934</v>
      </c>
      <c r="B3308" s="1" t="s">
        <v>1885</v>
      </c>
      <c r="C3308" s="1" t="s">
        <v>1204</v>
      </c>
      <c r="D3308" s="1" t="s">
        <v>753</v>
      </c>
      <c r="E3308" s="1" t="s">
        <v>754</v>
      </c>
      <c r="F3308" s="3">
        <v>1</v>
      </c>
      <c r="I3308" s="24" t="s">
        <v>3286</v>
      </c>
      <c r="J3308" s="24" t="s">
        <v>2920</v>
      </c>
      <c r="K3308" s="3">
        <v>25</v>
      </c>
      <c r="L3308" s="3" t="s">
        <v>7105</v>
      </c>
      <c r="M3308" s="3" t="str">
        <f>HYPERLINK("http://ictvonline.org/taxonomyHistory.asp?taxnode_id=20154126","ICTVonline=20154126")</f>
        <v>ICTVonline=20154126</v>
      </c>
    </row>
    <row r="3309" spans="1:13" x14ac:dyDescent="0.15">
      <c r="A3309" s="1" t="s">
        <v>934</v>
      </c>
      <c r="B3309" s="1" t="s">
        <v>1885</v>
      </c>
      <c r="C3309" s="1" t="s">
        <v>1204</v>
      </c>
      <c r="D3309" s="1" t="s">
        <v>2050</v>
      </c>
      <c r="E3309" s="1" t="s">
        <v>2051</v>
      </c>
      <c r="F3309" s="3">
        <v>1</v>
      </c>
      <c r="G3309" s="24" t="s">
        <v>7942</v>
      </c>
      <c r="H3309" s="24" t="s">
        <v>6382</v>
      </c>
      <c r="I3309" s="24" t="s">
        <v>3286</v>
      </c>
      <c r="J3309" s="24" t="s">
        <v>2920</v>
      </c>
      <c r="K3309" s="3">
        <v>25</v>
      </c>
      <c r="L3309" s="3" t="s">
        <v>7105</v>
      </c>
      <c r="M3309" s="3" t="str">
        <f>HYPERLINK("http://ictvonline.org/taxonomyHistory.asp?taxnode_id=20154128","ICTVonline=20154128")</f>
        <v>ICTVonline=20154128</v>
      </c>
    </row>
    <row r="3310" spans="1:13" x14ac:dyDescent="0.15">
      <c r="A3310" s="1" t="s">
        <v>934</v>
      </c>
      <c r="B3310" s="1" t="s">
        <v>1885</v>
      </c>
      <c r="C3310" s="1" t="s">
        <v>1204</v>
      </c>
      <c r="D3310" s="1" t="s">
        <v>2056</v>
      </c>
      <c r="E3310" s="1" t="s">
        <v>1443</v>
      </c>
      <c r="F3310" s="3">
        <v>0</v>
      </c>
      <c r="I3310" s="24" t="s">
        <v>3286</v>
      </c>
      <c r="J3310" s="24" t="s">
        <v>2920</v>
      </c>
      <c r="K3310" s="3">
        <v>25</v>
      </c>
      <c r="L3310" s="3" t="s">
        <v>7105</v>
      </c>
      <c r="M3310" s="3" t="str">
        <f>HYPERLINK("http://ictvonline.org/taxonomyHistory.asp?taxnode_id=20154130","ICTVonline=20154130")</f>
        <v>ICTVonline=20154130</v>
      </c>
    </row>
    <row r="3311" spans="1:13" x14ac:dyDescent="0.15">
      <c r="A3311" s="1" t="s">
        <v>934</v>
      </c>
      <c r="B3311" s="1" t="s">
        <v>1885</v>
      </c>
      <c r="C3311" s="1" t="s">
        <v>1204</v>
      </c>
      <c r="D3311" s="1" t="s">
        <v>2056</v>
      </c>
      <c r="E3311" s="1" t="s">
        <v>1444</v>
      </c>
      <c r="F3311" s="3">
        <v>1</v>
      </c>
      <c r="I3311" s="24" t="s">
        <v>3286</v>
      </c>
      <c r="J3311" s="24" t="s">
        <v>2920</v>
      </c>
      <c r="K3311" s="3">
        <v>25</v>
      </c>
      <c r="L3311" s="3" t="s">
        <v>7105</v>
      </c>
      <c r="M3311" s="3" t="str">
        <f>HYPERLINK("http://ictvonline.org/taxonomyHistory.asp?taxnode_id=20154131","ICTVonline=20154131")</f>
        <v>ICTVonline=20154131</v>
      </c>
    </row>
    <row r="3312" spans="1:13" x14ac:dyDescent="0.15">
      <c r="A3312" s="1" t="s">
        <v>934</v>
      </c>
      <c r="B3312" s="1" t="s">
        <v>1885</v>
      </c>
      <c r="C3312" s="1" t="s">
        <v>1204</v>
      </c>
      <c r="D3312" s="1" t="s">
        <v>2056</v>
      </c>
      <c r="E3312" s="1" t="s">
        <v>1445</v>
      </c>
      <c r="F3312" s="3">
        <v>0</v>
      </c>
      <c r="I3312" s="24" t="s">
        <v>3286</v>
      </c>
      <c r="J3312" s="24" t="s">
        <v>2920</v>
      </c>
      <c r="K3312" s="3">
        <v>25</v>
      </c>
      <c r="L3312" s="3" t="s">
        <v>7105</v>
      </c>
      <c r="M3312" s="3" t="str">
        <f>HYPERLINK("http://ictvonline.org/taxonomyHistory.asp?taxnode_id=20154132","ICTVonline=20154132")</f>
        <v>ICTVonline=20154132</v>
      </c>
    </row>
    <row r="3313" spans="1:13" x14ac:dyDescent="0.15">
      <c r="A3313" s="1" t="s">
        <v>934</v>
      </c>
      <c r="B3313" s="1" t="s">
        <v>1885</v>
      </c>
      <c r="C3313" s="1" t="s">
        <v>1204</v>
      </c>
      <c r="D3313" s="1" t="s">
        <v>2056</v>
      </c>
      <c r="E3313" s="1" t="s">
        <v>1446</v>
      </c>
      <c r="F3313" s="3">
        <v>0</v>
      </c>
      <c r="I3313" s="24" t="s">
        <v>3286</v>
      </c>
      <c r="J3313" s="24" t="s">
        <v>2920</v>
      </c>
      <c r="K3313" s="3">
        <v>25</v>
      </c>
      <c r="L3313" s="3" t="s">
        <v>7105</v>
      </c>
      <c r="M3313" s="3" t="str">
        <f>HYPERLINK("http://ictvonline.org/taxonomyHistory.asp?taxnode_id=20154133","ICTVonline=20154133")</f>
        <v>ICTVonline=20154133</v>
      </c>
    </row>
    <row r="3314" spans="1:13" x14ac:dyDescent="0.15">
      <c r="A3314" s="1" t="s">
        <v>934</v>
      </c>
      <c r="B3314" s="1" t="s">
        <v>1885</v>
      </c>
      <c r="C3314" s="1" t="s">
        <v>1204</v>
      </c>
      <c r="D3314" s="1" t="s">
        <v>2056</v>
      </c>
      <c r="E3314" s="1" t="s">
        <v>1447</v>
      </c>
      <c r="F3314" s="3">
        <v>0</v>
      </c>
      <c r="I3314" s="24" t="s">
        <v>3286</v>
      </c>
      <c r="J3314" s="24" t="s">
        <v>2920</v>
      </c>
      <c r="K3314" s="3">
        <v>25</v>
      </c>
      <c r="L3314" s="3" t="s">
        <v>7105</v>
      </c>
      <c r="M3314" s="3" t="str">
        <f>HYPERLINK("http://ictvonline.org/taxonomyHistory.asp?taxnode_id=20154134","ICTVonline=20154134")</f>
        <v>ICTVonline=20154134</v>
      </c>
    </row>
    <row r="3315" spans="1:13" x14ac:dyDescent="0.15">
      <c r="A3315" s="1" t="s">
        <v>934</v>
      </c>
      <c r="B3315" s="1" t="s">
        <v>1885</v>
      </c>
      <c r="C3315" s="1" t="s">
        <v>1204</v>
      </c>
      <c r="D3315" s="1" t="s">
        <v>2056</v>
      </c>
      <c r="E3315" s="1" t="s">
        <v>1448</v>
      </c>
      <c r="F3315" s="3">
        <v>0</v>
      </c>
      <c r="I3315" s="24" t="s">
        <v>3286</v>
      </c>
      <c r="J3315" s="24" t="s">
        <v>2920</v>
      </c>
      <c r="K3315" s="3">
        <v>25</v>
      </c>
      <c r="L3315" s="3" t="s">
        <v>7105</v>
      </c>
      <c r="M3315" s="3" t="str">
        <f>HYPERLINK("http://ictvonline.org/taxonomyHistory.asp?taxnode_id=20154135","ICTVonline=20154135")</f>
        <v>ICTVonline=20154135</v>
      </c>
    </row>
    <row r="3316" spans="1:13" x14ac:dyDescent="0.15">
      <c r="A3316" s="1" t="s">
        <v>934</v>
      </c>
      <c r="B3316" s="1" t="s">
        <v>1885</v>
      </c>
      <c r="C3316" s="1" t="s">
        <v>1204</v>
      </c>
      <c r="D3316" s="1" t="s">
        <v>2056</v>
      </c>
      <c r="E3316" s="1" t="s">
        <v>1461</v>
      </c>
      <c r="F3316" s="3">
        <v>0</v>
      </c>
      <c r="I3316" s="24" t="s">
        <v>3286</v>
      </c>
      <c r="J3316" s="24" t="s">
        <v>2920</v>
      </c>
      <c r="K3316" s="3">
        <v>25</v>
      </c>
      <c r="L3316" s="3" t="s">
        <v>7105</v>
      </c>
      <c r="M3316" s="3" t="str">
        <f>HYPERLINK("http://ictvonline.org/taxonomyHistory.asp?taxnode_id=20154136","ICTVonline=20154136")</f>
        <v>ICTVonline=20154136</v>
      </c>
    </row>
    <row r="3317" spans="1:13" x14ac:dyDescent="0.15">
      <c r="A3317" s="1" t="s">
        <v>934</v>
      </c>
      <c r="B3317" s="1" t="s">
        <v>1885</v>
      </c>
      <c r="C3317" s="1" t="s">
        <v>1204</v>
      </c>
      <c r="D3317" s="1" t="s">
        <v>2056</v>
      </c>
      <c r="E3317" s="1" t="s">
        <v>1462</v>
      </c>
      <c r="F3317" s="3">
        <v>0</v>
      </c>
      <c r="I3317" s="24" t="s">
        <v>3286</v>
      </c>
      <c r="J3317" s="24" t="s">
        <v>2920</v>
      </c>
      <c r="K3317" s="3">
        <v>25</v>
      </c>
      <c r="L3317" s="3" t="s">
        <v>7105</v>
      </c>
      <c r="M3317" s="3" t="str">
        <f>HYPERLINK("http://ictvonline.org/taxonomyHistory.asp?taxnode_id=20154137","ICTVonline=20154137")</f>
        <v>ICTVonline=20154137</v>
      </c>
    </row>
    <row r="3318" spans="1:13" x14ac:dyDescent="0.15">
      <c r="A3318" s="1" t="s">
        <v>934</v>
      </c>
      <c r="B3318" s="1" t="s">
        <v>1885</v>
      </c>
      <c r="C3318" s="1" t="s">
        <v>1204</v>
      </c>
      <c r="D3318" s="1" t="s">
        <v>2056</v>
      </c>
      <c r="E3318" s="1" t="s">
        <v>1463</v>
      </c>
      <c r="F3318" s="3">
        <v>0</v>
      </c>
      <c r="I3318" s="24" t="s">
        <v>3286</v>
      </c>
      <c r="J3318" s="24" t="s">
        <v>2920</v>
      </c>
      <c r="K3318" s="3">
        <v>25</v>
      </c>
      <c r="L3318" s="3" t="s">
        <v>7105</v>
      </c>
      <c r="M3318" s="3" t="str">
        <f>HYPERLINK("http://ictvonline.org/taxonomyHistory.asp?taxnode_id=20154138","ICTVonline=20154138")</f>
        <v>ICTVonline=20154138</v>
      </c>
    </row>
    <row r="3319" spans="1:13" x14ac:dyDescent="0.15">
      <c r="A3319" s="1" t="s">
        <v>934</v>
      </c>
      <c r="B3319" s="1" t="s">
        <v>1885</v>
      </c>
      <c r="C3319" s="1" t="s">
        <v>1204</v>
      </c>
      <c r="D3319" s="1" t="s">
        <v>2056</v>
      </c>
      <c r="E3319" s="1" t="s">
        <v>1464</v>
      </c>
      <c r="F3319" s="3">
        <v>0</v>
      </c>
      <c r="I3319" s="24" t="s">
        <v>3286</v>
      </c>
      <c r="J3319" s="24" t="s">
        <v>2920</v>
      </c>
      <c r="K3319" s="3">
        <v>25</v>
      </c>
      <c r="L3319" s="3" t="s">
        <v>7105</v>
      </c>
      <c r="M3319" s="3" t="str">
        <f>HYPERLINK("http://ictvonline.org/taxonomyHistory.asp?taxnode_id=20154139","ICTVonline=20154139")</f>
        <v>ICTVonline=20154139</v>
      </c>
    </row>
    <row r="3320" spans="1:13" x14ac:dyDescent="0.15">
      <c r="A3320" s="1" t="s">
        <v>934</v>
      </c>
      <c r="B3320" s="1" t="s">
        <v>1885</v>
      </c>
      <c r="C3320" s="1" t="s">
        <v>1204</v>
      </c>
      <c r="D3320" s="1" t="s">
        <v>2056</v>
      </c>
      <c r="E3320" s="1" t="s">
        <v>1465</v>
      </c>
      <c r="F3320" s="3">
        <v>0</v>
      </c>
      <c r="I3320" s="24" t="s">
        <v>3286</v>
      </c>
      <c r="J3320" s="24" t="s">
        <v>2920</v>
      </c>
      <c r="K3320" s="3">
        <v>25</v>
      </c>
      <c r="L3320" s="3" t="s">
        <v>7105</v>
      </c>
      <c r="M3320" s="3" t="str">
        <f>HYPERLINK("http://ictvonline.org/taxonomyHistory.asp?taxnode_id=20154140","ICTVonline=20154140")</f>
        <v>ICTVonline=20154140</v>
      </c>
    </row>
    <row r="3321" spans="1:13" x14ac:dyDescent="0.15">
      <c r="A3321" s="1" t="s">
        <v>934</v>
      </c>
      <c r="B3321" s="1" t="s">
        <v>1885</v>
      </c>
      <c r="C3321" s="1" t="s">
        <v>1204</v>
      </c>
      <c r="D3321" s="1" t="s">
        <v>2056</v>
      </c>
      <c r="E3321" s="1" t="s">
        <v>1466</v>
      </c>
      <c r="F3321" s="3">
        <v>0</v>
      </c>
      <c r="I3321" s="24" t="s">
        <v>3286</v>
      </c>
      <c r="J3321" s="24" t="s">
        <v>2920</v>
      </c>
      <c r="K3321" s="3">
        <v>25</v>
      </c>
      <c r="L3321" s="3" t="s">
        <v>7105</v>
      </c>
      <c r="M3321" s="3" t="str">
        <f>HYPERLINK("http://ictvonline.org/taxonomyHistory.asp?taxnode_id=20154141","ICTVonline=20154141")</f>
        <v>ICTVonline=20154141</v>
      </c>
    </row>
    <row r="3322" spans="1:13" x14ac:dyDescent="0.15">
      <c r="A3322" s="1" t="s">
        <v>934</v>
      </c>
      <c r="B3322" s="1" t="s">
        <v>1885</v>
      </c>
      <c r="C3322" s="1" t="s">
        <v>1204</v>
      </c>
      <c r="D3322" s="1" t="s">
        <v>2056</v>
      </c>
      <c r="E3322" s="1" t="s">
        <v>1471</v>
      </c>
      <c r="F3322" s="3">
        <v>0</v>
      </c>
      <c r="I3322" s="24" t="s">
        <v>3286</v>
      </c>
      <c r="J3322" s="24" t="s">
        <v>2920</v>
      </c>
      <c r="K3322" s="3">
        <v>25</v>
      </c>
      <c r="L3322" s="3" t="s">
        <v>7105</v>
      </c>
      <c r="M3322" s="3" t="str">
        <f>HYPERLINK("http://ictvonline.org/taxonomyHistory.asp?taxnode_id=20154142","ICTVonline=20154142")</f>
        <v>ICTVonline=20154142</v>
      </c>
    </row>
    <row r="3323" spans="1:13" x14ac:dyDescent="0.15">
      <c r="A3323" s="1" t="s">
        <v>934</v>
      </c>
      <c r="B3323" s="1" t="s">
        <v>1885</v>
      </c>
      <c r="C3323" s="1" t="s">
        <v>1204</v>
      </c>
      <c r="D3323" s="1" t="s">
        <v>2056</v>
      </c>
      <c r="E3323" s="1" t="s">
        <v>1472</v>
      </c>
      <c r="F3323" s="3">
        <v>0</v>
      </c>
      <c r="I3323" s="24" t="s">
        <v>3286</v>
      </c>
      <c r="J3323" s="24" t="s">
        <v>2920</v>
      </c>
      <c r="K3323" s="3">
        <v>25</v>
      </c>
      <c r="L3323" s="3" t="s">
        <v>7105</v>
      </c>
      <c r="M3323" s="3" t="str">
        <f>HYPERLINK("http://ictvonline.org/taxonomyHistory.asp?taxnode_id=20154143","ICTVonline=20154143")</f>
        <v>ICTVonline=20154143</v>
      </c>
    </row>
    <row r="3324" spans="1:13" x14ac:dyDescent="0.15">
      <c r="A3324" s="1" t="s">
        <v>934</v>
      </c>
      <c r="B3324" s="1" t="s">
        <v>1885</v>
      </c>
      <c r="C3324" s="1" t="s">
        <v>1204</v>
      </c>
      <c r="D3324" s="1" t="s">
        <v>2056</v>
      </c>
      <c r="E3324" s="1" t="s">
        <v>1473</v>
      </c>
      <c r="F3324" s="3">
        <v>0</v>
      </c>
      <c r="I3324" s="24" t="s">
        <v>3286</v>
      </c>
      <c r="J3324" s="24" t="s">
        <v>2920</v>
      </c>
      <c r="K3324" s="3">
        <v>25</v>
      </c>
      <c r="L3324" s="3" t="s">
        <v>7105</v>
      </c>
      <c r="M3324" s="3" t="str">
        <f>HYPERLINK("http://ictvonline.org/taxonomyHistory.asp?taxnode_id=20154144","ICTVonline=20154144")</f>
        <v>ICTVonline=20154144</v>
      </c>
    </row>
    <row r="3325" spans="1:13" x14ac:dyDescent="0.15">
      <c r="A3325" s="1" t="s">
        <v>934</v>
      </c>
      <c r="B3325" s="1" t="s">
        <v>1885</v>
      </c>
      <c r="C3325" s="1" t="s">
        <v>1204</v>
      </c>
      <c r="D3325" s="1" t="s">
        <v>2056</v>
      </c>
      <c r="E3325" s="1" t="s">
        <v>1351</v>
      </c>
      <c r="F3325" s="3">
        <v>0</v>
      </c>
      <c r="I3325" s="24" t="s">
        <v>3286</v>
      </c>
      <c r="J3325" s="24" t="s">
        <v>2920</v>
      </c>
      <c r="K3325" s="3">
        <v>25</v>
      </c>
      <c r="L3325" s="3" t="s">
        <v>7105</v>
      </c>
      <c r="M3325" s="3" t="str">
        <f>HYPERLINK("http://ictvonline.org/taxonomyHistory.asp?taxnode_id=20154145","ICTVonline=20154145")</f>
        <v>ICTVonline=20154145</v>
      </c>
    </row>
    <row r="3326" spans="1:13" x14ac:dyDescent="0.15">
      <c r="A3326" s="1" t="s">
        <v>934</v>
      </c>
      <c r="B3326" s="1" t="s">
        <v>1885</v>
      </c>
      <c r="C3326" s="1" t="s">
        <v>1204</v>
      </c>
      <c r="D3326" s="1" t="s">
        <v>2056</v>
      </c>
      <c r="E3326" s="1" t="s">
        <v>1352</v>
      </c>
      <c r="F3326" s="3">
        <v>0</v>
      </c>
      <c r="I3326" s="24" t="s">
        <v>3286</v>
      </c>
      <c r="J3326" s="24" t="s">
        <v>2920</v>
      </c>
      <c r="K3326" s="3">
        <v>25</v>
      </c>
      <c r="L3326" s="3" t="s">
        <v>7105</v>
      </c>
      <c r="M3326" s="3" t="str">
        <f>HYPERLINK("http://ictvonline.org/taxonomyHistory.asp?taxnode_id=20154146","ICTVonline=20154146")</f>
        <v>ICTVonline=20154146</v>
      </c>
    </row>
    <row r="3327" spans="1:13" x14ac:dyDescent="0.15">
      <c r="A3327" s="1" t="s">
        <v>934</v>
      </c>
      <c r="B3327" s="1" t="s">
        <v>1885</v>
      </c>
      <c r="C3327" s="1" t="s">
        <v>1204</v>
      </c>
      <c r="D3327" s="1" t="s">
        <v>2056</v>
      </c>
      <c r="E3327" s="1" t="s">
        <v>1353</v>
      </c>
      <c r="F3327" s="3">
        <v>0</v>
      </c>
      <c r="I3327" s="24" t="s">
        <v>3286</v>
      </c>
      <c r="J3327" s="24" t="s">
        <v>2920</v>
      </c>
      <c r="K3327" s="3">
        <v>25</v>
      </c>
      <c r="L3327" s="3" t="s">
        <v>7105</v>
      </c>
      <c r="M3327" s="3" t="str">
        <f>HYPERLINK("http://ictvonline.org/taxonomyHistory.asp?taxnode_id=20154147","ICTVonline=20154147")</f>
        <v>ICTVonline=20154147</v>
      </c>
    </row>
    <row r="3328" spans="1:13" x14ac:dyDescent="0.15">
      <c r="A3328" s="1" t="s">
        <v>934</v>
      </c>
      <c r="B3328" s="1" t="s">
        <v>1885</v>
      </c>
      <c r="C3328" s="1" t="s">
        <v>1204</v>
      </c>
      <c r="D3328" s="1" t="s">
        <v>2056</v>
      </c>
      <c r="E3328" s="1" t="s">
        <v>1354</v>
      </c>
      <c r="F3328" s="3">
        <v>0</v>
      </c>
      <c r="I3328" s="24" t="s">
        <v>3286</v>
      </c>
      <c r="J3328" s="24" t="s">
        <v>2920</v>
      </c>
      <c r="K3328" s="3">
        <v>25</v>
      </c>
      <c r="L3328" s="3" t="s">
        <v>7105</v>
      </c>
      <c r="M3328" s="3" t="str">
        <f>HYPERLINK("http://ictvonline.org/taxonomyHistory.asp?taxnode_id=20154148","ICTVonline=20154148")</f>
        <v>ICTVonline=20154148</v>
      </c>
    </row>
    <row r="3329" spans="1:13" x14ac:dyDescent="0.15">
      <c r="A3329" s="1" t="s">
        <v>934</v>
      </c>
      <c r="B3329" s="1" t="s">
        <v>1885</v>
      </c>
      <c r="C3329" s="1" t="s">
        <v>1204</v>
      </c>
      <c r="D3329" s="1" t="s">
        <v>2056</v>
      </c>
      <c r="E3329" s="1" t="s">
        <v>1355</v>
      </c>
      <c r="F3329" s="3">
        <v>0</v>
      </c>
      <c r="I3329" s="24" t="s">
        <v>3286</v>
      </c>
      <c r="J3329" s="24" t="s">
        <v>2920</v>
      </c>
      <c r="K3329" s="3">
        <v>25</v>
      </c>
      <c r="L3329" s="3" t="s">
        <v>7105</v>
      </c>
      <c r="M3329" s="3" t="str">
        <f>HYPERLINK("http://ictvonline.org/taxonomyHistory.asp?taxnode_id=20154149","ICTVonline=20154149")</f>
        <v>ICTVonline=20154149</v>
      </c>
    </row>
    <row r="3330" spans="1:13" x14ac:dyDescent="0.15">
      <c r="A3330" s="1" t="s">
        <v>934</v>
      </c>
      <c r="B3330" s="1" t="s">
        <v>1885</v>
      </c>
      <c r="C3330" s="1" t="s">
        <v>1204</v>
      </c>
      <c r="D3330" s="1" t="s">
        <v>2056</v>
      </c>
      <c r="E3330" s="1" t="s">
        <v>1356</v>
      </c>
      <c r="F3330" s="3">
        <v>0</v>
      </c>
      <c r="I3330" s="24" t="s">
        <v>3286</v>
      </c>
      <c r="J3330" s="24" t="s">
        <v>2920</v>
      </c>
      <c r="K3330" s="3">
        <v>25</v>
      </c>
      <c r="L3330" s="3" t="s">
        <v>7105</v>
      </c>
      <c r="M3330" s="3" t="str">
        <f>HYPERLINK("http://ictvonline.org/taxonomyHistory.asp?taxnode_id=20154150","ICTVonline=20154150")</f>
        <v>ICTVonline=20154150</v>
      </c>
    </row>
    <row r="3331" spans="1:13" x14ac:dyDescent="0.15">
      <c r="A3331" s="1" t="s">
        <v>934</v>
      </c>
      <c r="B3331" s="1" t="s">
        <v>1885</v>
      </c>
      <c r="C3331" s="1" t="s">
        <v>1204</v>
      </c>
      <c r="D3331" s="1" t="s">
        <v>2056</v>
      </c>
      <c r="E3331" s="1" t="s">
        <v>1357</v>
      </c>
      <c r="F3331" s="3">
        <v>0</v>
      </c>
      <c r="I3331" s="24" t="s">
        <v>3286</v>
      </c>
      <c r="J3331" s="24" t="s">
        <v>2920</v>
      </c>
      <c r="K3331" s="3">
        <v>25</v>
      </c>
      <c r="L3331" s="3" t="s">
        <v>7105</v>
      </c>
      <c r="M3331" s="3" t="str">
        <f>HYPERLINK("http://ictvonline.org/taxonomyHistory.asp?taxnode_id=20154151","ICTVonline=20154151")</f>
        <v>ICTVonline=20154151</v>
      </c>
    </row>
    <row r="3332" spans="1:13" x14ac:dyDescent="0.15">
      <c r="A3332" s="1" t="s">
        <v>934</v>
      </c>
      <c r="B3332" s="1" t="s">
        <v>1885</v>
      </c>
      <c r="C3332" s="1" t="s">
        <v>1204</v>
      </c>
      <c r="D3332" s="1" t="s">
        <v>244</v>
      </c>
      <c r="E3332" s="1" t="s">
        <v>356</v>
      </c>
      <c r="F3332" s="3">
        <v>0</v>
      </c>
      <c r="G3332" s="24" t="s">
        <v>7943</v>
      </c>
      <c r="H3332" s="24" t="s">
        <v>4855</v>
      </c>
      <c r="I3332" s="24" t="s">
        <v>3286</v>
      </c>
      <c r="J3332" s="24" t="s">
        <v>2920</v>
      </c>
      <c r="K3332" s="3">
        <v>25</v>
      </c>
      <c r="L3332" s="3" t="s">
        <v>7105</v>
      </c>
      <c r="M3332" s="3" t="str">
        <f>HYPERLINK("http://ictvonline.org/taxonomyHistory.asp?taxnode_id=20154153","ICTVonline=20154153")</f>
        <v>ICTVonline=20154153</v>
      </c>
    </row>
    <row r="3333" spans="1:13" x14ac:dyDescent="0.15">
      <c r="A3333" s="1" t="s">
        <v>934</v>
      </c>
      <c r="B3333" s="1" t="s">
        <v>1885</v>
      </c>
      <c r="C3333" s="1" t="s">
        <v>1204</v>
      </c>
      <c r="D3333" s="1" t="s">
        <v>244</v>
      </c>
      <c r="E3333" s="1" t="s">
        <v>357</v>
      </c>
      <c r="F3333" s="3">
        <v>0</v>
      </c>
      <c r="G3333" s="24" t="s">
        <v>7944</v>
      </c>
      <c r="H3333" s="24" t="s">
        <v>6383</v>
      </c>
      <c r="I3333" s="24" t="s">
        <v>3286</v>
      </c>
      <c r="J3333" s="24" t="s">
        <v>2920</v>
      </c>
      <c r="K3333" s="3">
        <v>25</v>
      </c>
      <c r="L3333" s="3" t="s">
        <v>7105</v>
      </c>
      <c r="M3333" s="3" t="str">
        <f>HYPERLINK("http://ictvonline.org/taxonomyHistory.asp?taxnode_id=20154154","ICTVonline=20154154")</f>
        <v>ICTVonline=20154154</v>
      </c>
    </row>
    <row r="3334" spans="1:13" x14ac:dyDescent="0.15">
      <c r="A3334" s="1" t="s">
        <v>934</v>
      </c>
      <c r="B3334" s="1" t="s">
        <v>1885</v>
      </c>
      <c r="C3334" s="1" t="s">
        <v>1204</v>
      </c>
      <c r="D3334" s="1" t="s">
        <v>244</v>
      </c>
      <c r="E3334" s="1" t="s">
        <v>358</v>
      </c>
      <c r="F3334" s="3">
        <v>1</v>
      </c>
      <c r="G3334" s="24" t="s">
        <v>7945</v>
      </c>
      <c r="H3334" s="24" t="s">
        <v>6384</v>
      </c>
      <c r="I3334" s="24" t="s">
        <v>3286</v>
      </c>
      <c r="J3334" s="24" t="s">
        <v>2920</v>
      </c>
      <c r="K3334" s="3">
        <v>25</v>
      </c>
      <c r="L3334" s="3" t="s">
        <v>7105</v>
      </c>
      <c r="M3334" s="3" t="str">
        <f>HYPERLINK("http://ictvonline.org/taxonomyHistory.asp?taxnode_id=20154155","ICTVonline=20154155")</f>
        <v>ICTVonline=20154155</v>
      </c>
    </row>
    <row r="3335" spans="1:13" x14ac:dyDescent="0.15">
      <c r="A3335" s="1" t="s">
        <v>934</v>
      </c>
      <c r="B3335" s="1" t="s">
        <v>1885</v>
      </c>
      <c r="C3335" s="1" t="s">
        <v>1204</v>
      </c>
      <c r="D3335" s="1" t="s">
        <v>232</v>
      </c>
      <c r="E3335" s="1" t="s">
        <v>360</v>
      </c>
      <c r="F3335" s="3">
        <v>1</v>
      </c>
      <c r="I3335" s="24" t="s">
        <v>3286</v>
      </c>
      <c r="J3335" s="24" t="s">
        <v>2920</v>
      </c>
      <c r="K3335" s="3">
        <v>25</v>
      </c>
      <c r="L3335" s="3" t="s">
        <v>7105</v>
      </c>
      <c r="M3335" s="3" t="str">
        <f>HYPERLINK("http://ictvonline.org/taxonomyHistory.asp?taxnode_id=20154157","ICTVonline=20154157")</f>
        <v>ICTVonline=20154157</v>
      </c>
    </row>
    <row r="3336" spans="1:13" x14ac:dyDescent="0.15">
      <c r="A3336" s="1" t="s">
        <v>934</v>
      </c>
      <c r="B3336" s="1" t="s">
        <v>1885</v>
      </c>
      <c r="C3336" s="1" t="s">
        <v>1204</v>
      </c>
      <c r="D3336" s="1" t="s">
        <v>232</v>
      </c>
      <c r="E3336" s="1" t="s">
        <v>361</v>
      </c>
      <c r="F3336" s="3">
        <v>0</v>
      </c>
      <c r="I3336" s="24" t="s">
        <v>3286</v>
      </c>
      <c r="J3336" s="24" t="s">
        <v>2920</v>
      </c>
      <c r="K3336" s="3">
        <v>25</v>
      </c>
      <c r="L3336" s="3" t="s">
        <v>7105</v>
      </c>
      <c r="M3336" s="3" t="str">
        <f>HYPERLINK("http://ictvonline.org/taxonomyHistory.asp?taxnode_id=20154158","ICTVonline=20154158")</f>
        <v>ICTVonline=20154158</v>
      </c>
    </row>
    <row r="3337" spans="1:13" x14ac:dyDescent="0.15">
      <c r="A3337" s="1" t="s">
        <v>934</v>
      </c>
      <c r="B3337" s="1" t="s">
        <v>1885</v>
      </c>
      <c r="C3337" s="1" t="s">
        <v>1204</v>
      </c>
      <c r="D3337" s="1" t="s">
        <v>232</v>
      </c>
      <c r="E3337" s="1" t="s">
        <v>362</v>
      </c>
      <c r="F3337" s="3">
        <v>0</v>
      </c>
      <c r="I3337" s="24" t="s">
        <v>3286</v>
      </c>
      <c r="J3337" s="24" t="s">
        <v>2920</v>
      </c>
      <c r="K3337" s="3">
        <v>25</v>
      </c>
      <c r="L3337" s="3" t="s">
        <v>7105</v>
      </c>
      <c r="M3337" s="3" t="str">
        <f>HYPERLINK("http://ictvonline.org/taxonomyHistory.asp?taxnode_id=20154159","ICTVonline=20154159")</f>
        <v>ICTVonline=20154159</v>
      </c>
    </row>
    <row r="3338" spans="1:13" x14ac:dyDescent="0.15">
      <c r="A3338" s="1" t="s">
        <v>934</v>
      </c>
      <c r="B3338" s="1" t="s">
        <v>1885</v>
      </c>
      <c r="C3338" s="1" t="s">
        <v>1204</v>
      </c>
      <c r="D3338" s="1" t="s">
        <v>232</v>
      </c>
      <c r="E3338" s="1" t="s">
        <v>363</v>
      </c>
      <c r="F3338" s="3">
        <v>0</v>
      </c>
      <c r="I3338" s="24" t="s">
        <v>3286</v>
      </c>
      <c r="J3338" s="24" t="s">
        <v>2920</v>
      </c>
      <c r="K3338" s="3">
        <v>25</v>
      </c>
      <c r="L3338" s="3" t="s">
        <v>7105</v>
      </c>
      <c r="M3338" s="3" t="str">
        <f>HYPERLINK("http://ictvonline.org/taxonomyHistory.asp?taxnode_id=20154160","ICTVonline=20154160")</f>
        <v>ICTVonline=20154160</v>
      </c>
    </row>
    <row r="3339" spans="1:13" x14ac:dyDescent="0.15">
      <c r="A3339" s="1" t="s">
        <v>934</v>
      </c>
      <c r="B3339" s="1" t="s">
        <v>1885</v>
      </c>
      <c r="C3339" s="1" t="s">
        <v>1204</v>
      </c>
      <c r="D3339" s="1" t="s">
        <v>232</v>
      </c>
      <c r="E3339" s="1" t="s">
        <v>364</v>
      </c>
      <c r="F3339" s="3">
        <v>0</v>
      </c>
      <c r="I3339" s="24" t="s">
        <v>3286</v>
      </c>
      <c r="J3339" s="24" t="s">
        <v>2920</v>
      </c>
      <c r="K3339" s="3">
        <v>25</v>
      </c>
      <c r="L3339" s="3" t="s">
        <v>7105</v>
      </c>
      <c r="M3339" s="3" t="str">
        <f>HYPERLINK("http://ictvonline.org/taxonomyHistory.asp?taxnode_id=20154161","ICTVonline=20154161")</f>
        <v>ICTVonline=20154161</v>
      </c>
    </row>
    <row r="3340" spans="1:13" x14ac:dyDescent="0.15">
      <c r="A3340" s="1" t="s">
        <v>934</v>
      </c>
      <c r="B3340" s="1" t="s">
        <v>1885</v>
      </c>
      <c r="C3340" s="1" t="s">
        <v>1204</v>
      </c>
      <c r="D3340" s="1" t="s">
        <v>232</v>
      </c>
      <c r="E3340" s="1" t="s">
        <v>2902</v>
      </c>
      <c r="F3340" s="3">
        <v>0</v>
      </c>
      <c r="G3340" s="24" t="s">
        <v>3318</v>
      </c>
      <c r="H3340" s="24" t="s">
        <v>3319</v>
      </c>
      <c r="I3340" s="24" t="s">
        <v>3286</v>
      </c>
      <c r="J3340" s="24" t="s">
        <v>2919</v>
      </c>
      <c r="K3340" s="3">
        <v>29</v>
      </c>
      <c r="L3340" s="3" t="s">
        <v>7106</v>
      </c>
      <c r="M3340" s="3" t="str">
        <f>HYPERLINK("http://ictvonline.org/taxonomyHistory.asp?taxnode_id=20154162","ICTVonline=20154162")</f>
        <v>ICTVonline=20154162</v>
      </c>
    </row>
    <row r="3341" spans="1:13" x14ac:dyDescent="0.15">
      <c r="A3341" s="1" t="s">
        <v>934</v>
      </c>
      <c r="B3341" s="1" t="s">
        <v>1885</v>
      </c>
      <c r="C3341" s="1" t="s">
        <v>1204</v>
      </c>
      <c r="D3341" s="1" t="s">
        <v>232</v>
      </c>
      <c r="E3341" s="1" t="s">
        <v>2903</v>
      </c>
      <c r="F3341" s="3">
        <v>0</v>
      </c>
      <c r="G3341" s="24" t="s">
        <v>3320</v>
      </c>
      <c r="H3341" s="24" t="s">
        <v>3321</v>
      </c>
      <c r="I3341" s="24" t="s">
        <v>3286</v>
      </c>
      <c r="J3341" s="24" t="s">
        <v>2919</v>
      </c>
      <c r="K3341" s="3">
        <v>29</v>
      </c>
      <c r="L3341" s="3" t="s">
        <v>7106</v>
      </c>
      <c r="M3341" s="3" t="str">
        <f>HYPERLINK("http://ictvonline.org/taxonomyHistory.asp?taxnode_id=20154163","ICTVonline=20154163")</f>
        <v>ICTVonline=20154163</v>
      </c>
    </row>
    <row r="3342" spans="1:13" x14ac:dyDescent="0.15">
      <c r="A3342" s="1" t="s">
        <v>934</v>
      </c>
      <c r="B3342" s="1" t="s">
        <v>1885</v>
      </c>
      <c r="C3342" s="1" t="s">
        <v>1204</v>
      </c>
      <c r="D3342" s="1" t="s">
        <v>232</v>
      </c>
      <c r="E3342" s="1" t="s">
        <v>2904</v>
      </c>
      <c r="F3342" s="3">
        <v>0</v>
      </c>
      <c r="G3342" s="24" t="s">
        <v>3322</v>
      </c>
      <c r="H3342" s="24" t="s">
        <v>3323</v>
      </c>
      <c r="I3342" s="24" t="s">
        <v>3286</v>
      </c>
      <c r="J3342" s="24" t="s">
        <v>2919</v>
      </c>
      <c r="K3342" s="3">
        <v>29</v>
      </c>
      <c r="L3342" s="3" t="s">
        <v>7106</v>
      </c>
      <c r="M3342" s="3" t="str">
        <f>HYPERLINK("http://ictvonline.org/taxonomyHistory.asp?taxnode_id=20154164","ICTVonline=20154164")</f>
        <v>ICTVonline=20154164</v>
      </c>
    </row>
    <row r="3343" spans="1:13" x14ac:dyDescent="0.15">
      <c r="A3343" s="1" t="s">
        <v>934</v>
      </c>
      <c r="B3343" s="1" t="s">
        <v>1885</v>
      </c>
      <c r="C3343" s="1" t="s">
        <v>1204</v>
      </c>
      <c r="D3343" s="1" t="s">
        <v>365</v>
      </c>
      <c r="E3343" s="1" t="s">
        <v>366</v>
      </c>
      <c r="F3343" s="3">
        <v>1</v>
      </c>
      <c r="I3343" s="24" t="s">
        <v>3286</v>
      </c>
      <c r="J3343" s="24" t="s">
        <v>2920</v>
      </c>
      <c r="K3343" s="3">
        <v>25</v>
      </c>
      <c r="L3343" s="3" t="s">
        <v>7105</v>
      </c>
      <c r="M3343" s="3" t="str">
        <f>HYPERLINK("http://ictvonline.org/taxonomyHistory.asp?taxnode_id=20154166","ICTVonline=20154166")</f>
        <v>ICTVonline=20154166</v>
      </c>
    </row>
    <row r="3344" spans="1:13" x14ac:dyDescent="0.15">
      <c r="A3344" s="1" t="s">
        <v>934</v>
      </c>
      <c r="B3344" s="1" t="s">
        <v>1885</v>
      </c>
      <c r="C3344" s="1" t="s">
        <v>1204</v>
      </c>
      <c r="D3344" s="1" t="s">
        <v>365</v>
      </c>
      <c r="E3344" s="1" t="s">
        <v>367</v>
      </c>
      <c r="F3344" s="3">
        <v>0</v>
      </c>
      <c r="I3344" s="24" t="s">
        <v>3286</v>
      </c>
      <c r="J3344" s="24" t="s">
        <v>2920</v>
      </c>
      <c r="K3344" s="3">
        <v>25</v>
      </c>
      <c r="L3344" s="3" t="s">
        <v>7105</v>
      </c>
      <c r="M3344" s="3" t="str">
        <f>HYPERLINK("http://ictvonline.org/taxonomyHistory.asp?taxnode_id=20154167","ICTVonline=20154167")</f>
        <v>ICTVonline=20154167</v>
      </c>
    </row>
    <row r="3345" spans="1:13" x14ac:dyDescent="0.15">
      <c r="A3345" s="1" t="s">
        <v>934</v>
      </c>
      <c r="B3345" s="1" t="s">
        <v>1885</v>
      </c>
      <c r="C3345" s="1" t="s">
        <v>1204</v>
      </c>
      <c r="D3345" s="1" t="s">
        <v>365</v>
      </c>
      <c r="E3345" s="1" t="s">
        <v>368</v>
      </c>
      <c r="F3345" s="3">
        <v>0</v>
      </c>
      <c r="I3345" s="24" t="s">
        <v>3286</v>
      </c>
      <c r="J3345" s="24" t="s">
        <v>2920</v>
      </c>
      <c r="K3345" s="3">
        <v>25</v>
      </c>
      <c r="L3345" s="3" t="s">
        <v>7105</v>
      </c>
      <c r="M3345" s="3" t="str">
        <f>HYPERLINK("http://ictvonline.org/taxonomyHistory.asp?taxnode_id=20154168","ICTVonline=20154168")</f>
        <v>ICTVonline=20154168</v>
      </c>
    </row>
    <row r="3346" spans="1:13" x14ac:dyDescent="0.15">
      <c r="A3346" s="1" t="s">
        <v>934</v>
      </c>
      <c r="B3346" s="1" t="s">
        <v>1885</v>
      </c>
      <c r="C3346" s="1" t="s">
        <v>1203</v>
      </c>
      <c r="D3346" s="1" t="s">
        <v>745</v>
      </c>
      <c r="E3346" s="1" t="s">
        <v>746</v>
      </c>
      <c r="F3346" s="3">
        <v>1</v>
      </c>
      <c r="I3346" s="24" t="s">
        <v>3286</v>
      </c>
      <c r="J3346" s="24" t="s">
        <v>2920</v>
      </c>
      <c r="K3346" s="3">
        <v>25</v>
      </c>
      <c r="L3346" s="3" t="s">
        <v>7105</v>
      </c>
      <c r="M3346" s="3" t="str">
        <f>HYPERLINK("http://ictvonline.org/taxonomyHistory.asp?taxnode_id=20154171","ICTVonline=20154171")</f>
        <v>ICTVonline=20154171</v>
      </c>
    </row>
    <row r="3347" spans="1:13" x14ac:dyDescent="0.15">
      <c r="A3347" s="1" t="s">
        <v>934</v>
      </c>
      <c r="B3347" s="1" t="s">
        <v>1885</v>
      </c>
      <c r="C3347" s="1" t="s">
        <v>1203</v>
      </c>
      <c r="D3347" s="1" t="s">
        <v>745</v>
      </c>
      <c r="E3347" s="1" t="s">
        <v>747</v>
      </c>
      <c r="F3347" s="3">
        <v>0</v>
      </c>
      <c r="I3347" s="24" t="s">
        <v>3286</v>
      </c>
      <c r="J3347" s="24" t="s">
        <v>2920</v>
      </c>
      <c r="K3347" s="3">
        <v>25</v>
      </c>
      <c r="L3347" s="3" t="s">
        <v>7105</v>
      </c>
      <c r="M3347" s="3" t="str">
        <f>HYPERLINK("http://ictvonline.org/taxonomyHistory.asp?taxnode_id=20154172","ICTVonline=20154172")</f>
        <v>ICTVonline=20154172</v>
      </c>
    </row>
    <row r="3348" spans="1:13" x14ac:dyDescent="0.15">
      <c r="A3348" s="1" t="s">
        <v>934</v>
      </c>
      <c r="B3348" s="1" t="s">
        <v>1885</v>
      </c>
      <c r="C3348" s="1" t="s">
        <v>1203</v>
      </c>
      <c r="D3348" s="1" t="s">
        <v>745</v>
      </c>
      <c r="E3348" s="1" t="s">
        <v>748</v>
      </c>
      <c r="F3348" s="3">
        <v>0</v>
      </c>
      <c r="I3348" s="24" t="s">
        <v>3286</v>
      </c>
      <c r="J3348" s="24" t="s">
        <v>2920</v>
      </c>
      <c r="K3348" s="3">
        <v>25</v>
      </c>
      <c r="L3348" s="3" t="s">
        <v>7105</v>
      </c>
      <c r="M3348" s="3" t="str">
        <f>HYPERLINK("http://ictvonline.org/taxonomyHistory.asp?taxnode_id=20154173","ICTVonline=20154173")</f>
        <v>ICTVonline=20154173</v>
      </c>
    </row>
    <row r="3349" spans="1:13" x14ac:dyDescent="0.15">
      <c r="A3349" s="1" t="s">
        <v>934</v>
      </c>
      <c r="B3349" s="1" t="s">
        <v>1885</v>
      </c>
      <c r="C3349" s="1" t="s">
        <v>1203</v>
      </c>
      <c r="D3349" s="1" t="s">
        <v>745</v>
      </c>
      <c r="E3349" s="1" t="s">
        <v>749</v>
      </c>
      <c r="F3349" s="3">
        <v>0</v>
      </c>
      <c r="I3349" s="24" t="s">
        <v>3286</v>
      </c>
      <c r="J3349" s="24" t="s">
        <v>2920</v>
      </c>
      <c r="K3349" s="3">
        <v>25</v>
      </c>
      <c r="L3349" s="3" t="s">
        <v>7105</v>
      </c>
      <c r="M3349" s="3" t="str">
        <f>HYPERLINK("http://ictvonline.org/taxonomyHistory.asp?taxnode_id=20154174","ICTVonline=20154174")</f>
        <v>ICTVonline=20154174</v>
      </c>
    </row>
    <row r="3350" spans="1:13" x14ac:dyDescent="0.15">
      <c r="A3350" s="1" t="s">
        <v>934</v>
      </c>
      <c r="B3350" s="1" t="s">
        <v>1885</v>
      </c>
      <c r="C3350" s="1" t="s">
        <v>1203</v>
      </c>
      <c r="D3350" s="1" t="s">
        <v>745</v>
      </c>
      <c r="E3350" s="1" t="s">
        <v>750</v>
      </c>
      <c r="F3350" s="3">
        <v>0</v>
      </c>
      <c r="I3350" s="24" t="s">
        <v>3286</v>
      </c>
      <c r="J3350" s="24" t="s">
        <v>2920</v>
      </c>
      <c r="K3350" s="3">
        <v>25</v>
      </c>
      <c r="L3350" s="3" t="s">
        <v>7105</v>
      </c>
      <c r="M3350" s="3" t="str">
        <f>HYPERLINK("http://ictvonline.org/taxonomyHistory.asp?taxnode_id=20154175","ICTVonline=20154175")</f>
        <v>ICTVonline=20154175</v>
      </c>
    </row>
    <row r="3351" spans="1:13" x14ac:dyDescent="0.15">
      <c r="A3351" s="1" t="s">
        <v>934</v>
      </c>
      <c r="B3351" s="1" t="s">
        <v>1885</v>
      </c>
      <c r="C3351" s="1" t="s">
        <v>1203</v>
      </c>
      <c r="D3351" s="1" t="s">
        <v>745</v>
      </c>
      <c r="E3351" s="1" t="s">
        <v>751</v>
      </c>
      <c r="F3351" s="3">
        <v>0</v>
      </c>
      <c r="I3351" s="24" t="s">
        <v>3286</v>
      </c>
      <c r="J3351" s="24" t="s">
        <v>2920</v>
      </c>
      <c r="K3351" s="3">
        <v>25</v>
      </c>
      <c r="L3351" s="3" t="s">
        <v>7105</v>
      </c>
      <c r="M3351" s="3" t="str">
        <f>HYPERLINK("http://ictvonline.org/taxonomyHistory.asp?taxnode_id=20154176","ICTVonline=20154176")</f>
        <v>ICTVonline=20154176</v>
      </c>
    </row>
    <row r="3352" spans="1:13" x14ac:dyDescent="0.15">
      <c r="A3352" s="1" t="s">
        <v>934</v>
      </c>
      <c r="B3352" s="1" t="s">
        <v>1885</v>
      </c>
      <c r="C3352" s="1" t="s">
        <v>1203</v>
      </c>
      <c r="D3352" s="1" t="s">
        <v>745</v>
      </c>
      <c r="E3352" s="1" t="s">
        <v>752</v>
      </c>
      <c r="F3352" s="3">
        <v>0</v>
      </c>
      <c r="I3352" s="24" t="s">
        <v>3286</v>
      </c>
      <c r="J3352" s="24" t="s">
        <v>2920</v>
      </c>
      <c r="K3352" s="3">
        <v>25</v>
      </c>
      <c r="L3352" s="3" t="s">
        <v>7105</v>
      </c>
      <c r="M3352" s="3" t="str">
        <f>HYPERLINK("http://ictvonline.org/taxonomyHistory.asp?taxnode_id=20154177","ICTVonline=20154177")</f>
        <v>ICTVonline=20154177</v>
      </c>
    </row>
    <row r="3353" spans="1:13" x14ac:dyDescent="0.15">
      <c r="A3353" s="1" t="s">
        <v>934</v>
      </c>
      <c r="B3353" s="1" t="s">
        <v>1885</v>
      </c>
      <c r="C3353" s="1" t="s">
        <v>1203</v>
      </c>
      <c r="D3353" s="1" t="s">
        <v>755</v>
      </c>
      <c r="E3353" s="1" t="s">
        <v>756</v>
      </c>
      <c r="F3353" s="3">
        <v>1</v>
      </c>
      <c r="I3353" s="24" t="s">
        <v>3286</v>
      </c>
      <c r="J3353" s="24" t="s">
        <v>2920</v>
      </c>
      <c r="K3353" s="3">
        <v>25</v>
      </c>
      <c r="L3353" s="3" t="s">
        <v>7105</v>
      </c>
      <c r="M3353" s="3" t="str">
        <f>HYPERLINK("http://ictvonline.org/taxonomyHistory.asp?taxnode_id=20154179","ICTVonline=20154179")</f>
        <v>ICTVonline=20154179</v>
      </c>
    </row>
    <row r="3354" spans="1:13" x14ac:dyDescent="0.15">
      <c r="A3354" s="1" t="s">
        <v>934</v>
      </c>
      <c r="B3354" s="1" t="s">
        <v>1885</v>
      </c>
      <c r="C3354" s="1" t="s">
        <v>1203</v>
      </c>
      <c r="D3354" s="1" t="s">
        <v>755</v>
      </c>
      <c r="E3354" s="1" t="s">
        <v>757</v>
      </c>
      <c r="F3354" s="3">
        <v>0</v>
      </c>
      <c r="I3354" s="24" t="s">
        <v>3286</v>
      </c>
      <c r="J3354" s="24" t="s">
        <v>2920</v>
      </c>
      <c r="K3354" s="3">
        <v>25</v>
      </c>
      <c r="L3354" s="3" t="s">
        <v>7105</v>
      </c>
      <c r="M3354" s="3" t="str">
        <f>HYPERLINK("http://ictvonline.org/taxonomyHistory.asp?taxnode_id=20154180","ICTVonline=20154180")</f>
        <v>ICTVonline=20154180</v>
      </c>
    </row>
    <row r="3355" spans="1:13" x14ac:dyDescent="0.15">
      <c r="A3355" s="1" t="s">
        <v>934</v>
      </c>
      <c r="B3355" s="1" t="s">
        <v>1885</v>
      </c>
      <c r="C3355" s="1" t="s">
        <v>1203</v>
      </c>
      <c r="D3355" s="1" t="s">
        <v>758</v>
      </c>
      <c r="E3355" s="1" t="s">
        <v>1699</v>
      </c>
      <c r="F3355" s="3">
        <v>1</v>
      </c>
      <c r="I3355" s="24" t="s">
        <v>3286</v>
      </c>
      <c r="J3355" s="24" t="s">
        <v>2920</v>
      </c>
      <c r="K3355" s="3">
        <v>25</v>
      </c>
      <c r="L3355" s="3" t="s">
        <v>7105</v>
      </c>
      <c r="M3355" s="3" t="str">
        <f>HYPERLINK("http://ictvonline.org/taxonomyHistory.asp?taxnode_id=20154182","ICTVonline=20154182")</f>
        <v>ICTVonline=20154182</v>
      </c>
    </row>
    <row r="3356" spans="1:13" x14ac:dyDescent="0.15">
      <c r="A3356" s="1" t="s">
        <v>934</v>
      </c>
      <c r="B3356" s="1" t="s">
        <v>1885</v>
      </c>
      <c r="C3356" s="1" t="s">
        <v>1203</v>
      </c>
      <c r="D3356" s="1" t="s">
        <v>758</v>
      </c>
      <c r="E3356" s="1" t="s">
        <v>1696</v>
      </c>
      <c r="F3356" s="3">
        <v>0</v>
      </c>
      <c r="I3356" s="24" t="s">
        <v>3286</v>
      </c>
      <c r="J3356" s="24" t="s">
        <v>2920</v>
      </c>
      <c r="K3356" s="3">
        <v>25</v>
      </c>
      <c r="L3356" s="3" t="s">
        <v>7105</v>
      </c>
      <c r="M3356" s="3" t="str">
        <f>HYPERLINK("http://ictvonline.org/taxonomyHistory.asp?taxnode_id=20154183","ICTVonline=20154183")</f>
        <v>ICTVonline=20154183</v>
      </c>
    </row>
    <row r="3357" spans="1:13" x14ac:dyDescent="0.15">
      <c r="A3357" s="1" t="s">
        <v>934</v>
      </c>
      <c r="B3357" s="1" t="s">
        <v>1885</v>
      </c>
      <c r="C3357" s="1" t="s">
        <v>1203</v>
      </c>
      <c r="D3357" s="1" t="s">
        <v>758</v>
      </c>
      <c r="E3357" s="1" t="s">
        <v>2032</v>
      </c>
      <c r="F3357" s="3">
        <v>0</v>
      </c>
      <c r="I3357" s="24" t="s">
        <v>3286</v>
      </c>
      <c r="J3357" s="24" t="s">
        <v>2920</v>
      </c>
      <c r="K3357" s="3">
        <v>25</v>
      </c>
      <c r="L3357" s="3" t="s">
        <v>7105</v>
      </c>
      <c r="M3357" s="3" t="str">
        <f>HYPERLINK("http://ictvonline.org/taxonomyHistory.asp?taxnode_id=20154184","ICTVonline=20154184")</f>
        <v>ICTVonline=20154184</v>
      </c>
    </row>
    <row r="3358" spans="1:13" x14ac:dyDescent="0.15">
      <c r="A3358" s="1" t="s">
        <v>934</v>
      </c>
      <c r="B3358" s="1" t="s">
        <v>1885</v>
      </c>
      <c r="C3358" s="1" t="s">
        <v>1203</v>
      </c>
      <c r="D3358" s="1" t="s">
        <v>758</v>
      </c>
      <c r="E3358" s="1" t="s">
        <v>2033</v>
      </c>
      <c r="F3358" s="3">
        <v>0</v>
      </c>
      <c r="I3358" s="24" t="s">
        <v>3286</v>
      </c>
      <c r="J3358" s="24" t="s">
        <v>2920</v>
      </c>
      <c r="K3358" s="3">
        <v>25</v>
      </c>
      <c r="L3358" s="3" t="s">
        <v>7105</v>
      </c>
      <c r="M3358" s="3" t="str">
        <f>HYPERLINK("http://ictvonline.org/taxonomyHistory.asp?taxnode_id=20154185","ICTVonline=20154185")</f>
        <v>ICTVonline=20154185</v>
      </c>
    </row>
    <row r="3359" spans="1:13" x14ac:dyDescent="0.15">
      <c r="A3359" s="1" t="s">
        <v>934</v>
      </c>
      <c r="B3359" s="1" t="s">
        <v>1885</v>
      </c>
      <c r="C3359" s="1" t="s">
        <v>1203</v>
      </c>
      <c r="D3359" s="1" t="s">
        <v>758</v>
      </c>
      <c r="E3359" s="1" t="s">
        <v>2034</v>
      </c>
      <c r="F3359" s="3">
        <v>0</v>
      </c>
      <c r="I3359" s="24" t="s">
        <v>3286</v>
      </c>
      <c r="J3359" s="24" t="s">
        <v>2920</v>
      </c>
      <c r="K3359" s="3">
        <v>25</v>
      </c>
      <c r="L3359" s="3" t="s">
        <v>7105</v>
      </c>
      <c r="M3359" s="3" t="str">
        <f>HYPERLINK("http://ictvonline.org/taxonomyHistory.asp?taxnode_id=20154186","ICTVonline=20154186")</f>
        <v>ICTVonline=20154186</v>
      </c>
    </row>
    <row r="3360" spans="1:13" x14ac:dyDescent="0.15">
      <c r="A3360" s="1" t="s">
        <v>934</v>
      </c>
      <c r="B3360" s="1" t="s">
        <v>1885</v>
      </c>
      <c r="C3360" s="1" t="s">
        <v>1203</v>
      </c>
      <c r="D3360" s="1" t="s">
        <v>758</v>
      </c>
      <c r="E3360" s="1" t="s">
        <v>2035</v>
      </c>
      <c r="F3360" s="3">
        <v>0</v>
      </c>
      <c r="I3360" s="24" t="s">
        <v>3286</v>
      </c>
      <c r="J3360" s="24" t="s">
        <v>2920</v>
      </c>
      <c r="K3360" s="3">
        <v>25</v>
      </c>
      <c r="L3360" s="3" t="s">
        <v>7105</v>
      </c>
      <c r="M3360" s="3" t="str">
        <f>HYPERLINK("http://ictvonline.org/taxonomyHistory.asp?taxnode_id=20154187","ICTVonline=20154187")</f>
        <v>ICTVonline=20154187</v>
      </c>
    </row>
    <row r="3361" spans="1:13" x14ac:dyDescent="0.15">
      <c r="A3361" s="1" t="s">
        <v>934</v>
      </c>
      <c r="B3361" s="1" t="s">
        <v>1885</v>
      </c>
      <c r="C3361" s="1" t="s">
        <v>1203</v>
      </c>
      <c r="D3361" s="1" t="s">
        <v>758</v>
      </c>
      <c r="E3361" s="1" t="s">
        <v>2036</v>
      </c>
      <c r="F3361" s="3">
        <v>0</v>
      </c>
      <c r="I3361" s="24" t="s">
        <v>3286</v>
      </c>
      <c r="J3361" s="24" t="s">
        <v>2920</v>
      </c>
      <c r="K3361" s="3">
        <v>25</v>
      </c>
      <c r="L3361" s="3" t="s">
        <v>7105</v>
      </c>
      <c r="M3361" s="3" t="str">
        <f>HYPERLINK("http://ictvonline.org/taxonomyHistory.asp?taxnode_id=20154188","ICTVonline=20154188")</f>
        <v>ICTVonline=20154188</v>
      </c>
    </row>
    <row r="3362" spans="1:13" x14ac:dyDescent="0.15">
      <c r="A3362" s="1" t="s">
        <v>934</v>
      </c>
      <c r="B3362" s="1" t="s">
        <v>1885</v>
      </c>
      <c r="C3362" s="1" t="s">
        <v>1203</v>
      </c>
      <c r="D3362" s="1" t="s">
        <v>758</v>
      </c>
      <c r="E3362" s="1" t="s">
        <v>1700</v>
      </c>
      <c r="F3362" s="3">
        <v>0</v>
      </c>
      <c r="I3362" s="24" t="s">
        <v>3286</v>
      </c>
      <c r="J3362" s="24" t="s">
        <v>2920</v>
      </c>
      <c r="K3362" s="3">
        <v>25</v>
      </c>
      <c r="L3362" s="3" t="s">
        <v>7105</v>
      </c>
      <c r="M3362" s="3" t="str">
        <f>HYPERLINK("http://ictvonline.org/taxonomyHistory.asp?taxnode_id=20154189","ICTVonline=20154189")</f>
        <v>ICTVonline=20154189</v>
      </c>
    </row>
    <row r="3363" spans="1:13" x14ac:dyDescent="0.15">
      <c r="A3363" s="1" t="s">
        <v>934</v>
      </c>
      <c r="B3363" s="1" t="s">
        <v>1885</v>
      </c>
      <c r="C3363" s="1" t="s">
        <v>1203</v>
      </c>
      <c r="D3363" s="1" t="s">
        <v>758</v>
      </c>
      <c r="E3363" s="1" t="s">
        <v>1701</v>
      </c>
      <c r="F3363" s="3">
        <v>0</v>
      </c>
      <c r="I3363" s="24" t="s">
        <v>3286</v>
      </c>
      <c r="J3363" s="24" t="s">
        <v>2920</v>
      </c>
      <c r="K3363" s="3">
        <v>25</v>
      </c>
      <c r="L3363" s="3" t="s">
        <v>7105</v>
      </c>
      <c r="M3363" s="3" t="str">
        <f>HYPERLINK("http://ictvonline.org/taxonomyHistory.asp?taxnode_id=20154190","ICTVonline=20154190")</f>
        <v>ICTVonline=20154190</v>
      </c>
    </row>
    <row r="3364" spans="1:13" x14ac:dyDescent="0.15">
      <c r="A3364" s="1" t="s">
        <v>934</v>
      </c>
      <c r="B3364" s="1" t="s">
        <v>1885</v>
      </c>
      <c r="C3364" s="1" t="s">
        <v>1203</v>
      </c>
      <c r="D3364" s="1" t="s">
        <v>758</v>
      </c>
      <c r="E3364" s="1" t="s">
        <v>1946</v>
      </c>
      <c r="F3364" s="3">
        <v>0</v>
      </c>
      <c r="I3364" s="24" t="s">
        <v>3286</v>
      </c>
      <c r="J3364" s="24" t="s">
        <v>2920</v>
      </c>
      <c r="K3364" s="3">
        <v>25</v>
      </c>
      <c r="L3364" s="3" t="s">
        <v>7105</v>
      </c>
      <c r="M3364" s="3" t="str">
        <f>HYPERLINK("http://ictvonline.org/taxonomyHistory.asp?taxnode_id=20154191","ICTVonline=20154191")</f>
        <v>ICTVonline=20154191</v>
      </c>
    </row>
    <row r="3365" spans="1:13" x14ac:dyDescent="0.15">
      <c r="A3365" s="1" t="s">
        <v>934</v>
      </c>
      <c r="B3365" s="1" t="s">
        <v>1885</v>
      </c>
      <c r="C3365" s="1" t="s">
        <v>1203</v>
      </c>
      <c r="D3365" s="1" t="s">
        <v>758</v>
      </c>
      <c r="E3365" s="1" t="s">
        <v>1947</v>
      </c>
      <c r="F3365" s="3">
        <v>0</v>
      </c>
      <c r="I3365" s="24" t="s">
        <v>3286</v>
      </c>
      <c r="J3365" s="24" t="s">
        <v>2920</v>
      </c>
      <c r="K3365" s="3">
        <v>25</v>
      </c>
      <c r="L3365" s="3" t="s">
        <v>7105</v>
      </c>
      <c r="M3365" s="3" t="str">
        <f>HYPERLINK("http://ictvonline.org/taxonomyHistory.asp?taxnode_id=20154192","ICTVonline=20154192")</f>
        <v>ICTVonline=20154192</v>
      </c>
    </row>
    <row r="3366" spans="1:13" x14ac:dyDescent="0.15">
      <c r="A3366" s="1" t="s">
        <v>934</v>
      </c>
      <c r="B3366" s="1" t="s">
        <v>1885</v>
      </c>
      <c r="C3366" s="1" t="s">
        <v>1203</v>
      </c>
      <c r="D3366" s="1" t="s">
        <v>758</v>
      </c>
      <c r="E3366" s="1" t="s">
        <v>1948</v>
      </c>
      <c r="F3366" s="3">
        <v>0</v>
      </c>
      <c r="I3366" s="24" t="s">
        <v>3286</v>
      </c>
      <c r="J3366" s="24" t="s">
        <v>2920</v>
      </c>
      <c r="K3366" s="3">
        <v>25</v>
      </c>
      <c r="L3366" s="3" t="s">
        <v>7105</v>
      </c>
      <c r="M3366" s="3" t="str">
        <f>HYPERLINK("http://ictvonline.org/taxonomyHistory.asp?taxnode_id=20154193","ICTVonline=20154193")</f>
        <v>ICTVonline=20154193</v>
      </c>
    </row>
    <row r="3367" spans="1:13" x14ac:dyDescent="0.15">
      <c r="A3367" s="1" t="s">
        <v>934</v>
      </c>
      <c r="B3367" s="1" t="s">
        <v>1885</v>
      </c>
      <c r="C3367" s="1" t="s">
        <v>1203</v>
      </c>
      <c r="D3367" s="1" t="s">
        <v>758</v>
      </c>
      <c r="E3367" s="1" t="s">
        <v>1692</v>
      </c>
      <c r="F3367" s="3">
        <v>0</v>
      </c>
      <c r="I3367" s="24" t="s">
        <v>3286</v>
      </c>
      <c r="J3367" s="24" t="s">
        <v>2920</v>
      </c>
      <c r="K3367" s="3">
        <v>25</v>
      </c>
      <c r="L3367" s="3" t="s">
        <v>7105</v>
      </c>
      <c r="M3367" s="3" t="str">
        <f>HYPERLINK("http://ictvonline.org/taxonomyHistory.asp?taxnode_id=20154194","ICTVonline=20154194")</f>
        <v>ICTVonline=20154194</v>
      </c>
    </row>
    <row r="3368" spans="1:13" x14ac:dyDescent="0.15">
      <c r="A3368" s="1" t="s">
        <v>934</v>
      </c>
      <c r="B3368" s="1" t="s">
        <v>1885</v>
      </c>
      <c r="C3368" s="1" t="s">
        <v>1203</v>
      </c>
      <c r="D3368" s="1" t="s">
        <v>758</v>
      </c>
      <c r="E3368" s="1" t="s">
        <v>1693</v>
      </c>
      <c r="F3368" s="3">
        <v>0</v>
      </c>
      <c r="I3368" s="24" t="s">
        <v>3286</v>
      </c>
      <c r="J3368" s="24" t="s">
        <v>2920</v>
      </c>
      <c r="K3368" s="3">
        <v>25</v>
      </c>
      <c r="L3368" s="3" t="s">
        <v>7105</v>
      </c>
      <c r="M3368" s="3" t="str">
        <f>HYPERLINK("http://ictvonline.org/taxonomyHistory.asp?taxnode_id=20154195","ICTVonline=20154195")</f>
        <v>ICTVonline=20154195</v>
      </c>
    </row>
    <row r="3369" spans="1:13" x14ac:dyDescent="0.15">
      <c r="A3369" s="1" t="s">
        <v>934</v>
      </c>
      <c r="B3369" s="1" t="s">
        <v>1885</v>
      </c>
      <c r="C3369" s="1" t="s">
        <v>1203</v>
      </c>
      <c r="D3369" s="1" t="s">
        <v>758</v>
      </c>
      <c r="E3369" s="1" t="s">
        <v>1694</v>
      </c>
      <c r="F3369" s="3">
        <v>0</v>
      </c>
      <c r="I3369" s="24" t="s">
        <v>3286</v>
      </c>
      <c r="J3369" s="24" t="s">
        <v>2920</v>
      </c>
      <c r="K3369" s="3">
        <v>25</v>
      </c>
      <c r="L3369" s="3" t="s">
        <v>7105</v>
      </c>
      <c r="M3369" s="3" t="str">
        <f>HYPERLINK("http://ictvonline.org/taxonomyHistory.asp?taxnode_id=20154196","ICTVonline=20154196")</f>
        <v>ICTVonline=20154196</v>
      </c>
    </row>
    <row r="3370" spans="1:13" x14ac:dyDescent="0.15">
      <c r="A3370" s="1" t="s">
        <v>934</v>
      </c>
      <c r="B3370" s="1" t="s">
        <v>1885</v>
      </c>
      <c r="C3370" s="1" t="s">
        <v>1203</v>
      </c>
      <c r="D3370" s="1" t="s">
        <v>758</v>
      </c>
      <c r="E3370" s="1" t="s">
        <v>1695</v>
      </c>
      <c r="F3370" s="3">
        <v>0</v>
      </c>
      <c r="I3370" s="24" t="s">
        <v>3286</v>
      </c>
      <c r="J3370" s="24" t="s">
        <v>2920</v>
      </c>
      <c r="K3370" s="3">
        <v>25</v>
      </c>
      <c r="L3370" s="3" t="s">
        <v>7105</v>
      </c>
      <c r="M3370" s="3" t="str">
        <f>HYPERLINK("http://ictvonline.org/taxonomyHistory.asp?taxnode_id=20154197","ICTVonline=20154197")</f>
        <v>ICTVonline=20154197</v>
      </c>
    </row>
    <row r="3371" spans="1:13" x14ac:dyDescent="0.15">
      <c r="A3371" s="1" t="s">
        <v>934</v>
      </c>
      <c r="B3371" s="1" t="s">
        <v>1885</v>
      </c>
      <c r="C3371" s="1" t="s">
        <v>1203</v>
      </c>
      <c r="D3371" s="1" t="s">
        <v>1702</v>
      </c>
      <c r="E3371" s="1" t="s">
        <v>1950</v>
      </c>
      <c r="F3371" s="3">
        <v>1</v>
      </c>
      <c r="I3371" s="24" t="s">
        <v>3286</v>
      </c>
      <c r="J3371" s="24" t="s">
        <v>2920</v>
      </c>
      <c r="K3371" s="3">
        <v>25</v>
      </c>
      <c r="L3371" s="3" t="s">
        <v>7105</v>
      </c>
      <c r="M3371" s="3" t="str">
        <f>HYPERLINK("http://ictvonline.org/taxonomyHistory.asp?taxnode_id=20154199","ICTVonline=20154199")</f>
        <v>ICTVonline=20154199</v>
      </c>
    </row>
    <row r="3372" spans="1:13" x14ac:dyDescent="0.15">
      <c r="A3372" s="1" t="s">
        <v>934</v>
      </c>
      <c r="B3372" s="1" t="s">
        <v>1885</v>
      </c>
      <c r="C3372" s="1" t="s">
        <v>1203</v>
      </c>
      <c r="D3372" s="1" t="s">
        <v>1951</v>
      </c>
      <c r="E3372" s="1" t="s">
        <v>1952</v>
      </c>
      <c r="F3372" s="3">
        <v>1</v>
      </c>
      <c r="G3372" s="24" t="s">
        <v>7946</v>
      </c>
      <c r="H3372" s="24" t="s">
        <v>6385</v>
      </c>
      <c r="I3372" s="24" t="s">
        <v>3286</v>
      </c>
      <c r="J3372" s="24" t="s">
        <v>2920</v>
      </c>
      <c r="K3372" s="3">
        <v>25</v>
      </c>
      <c r="L3372" s="3" t="s">
        <v>7105</v>
      </c>
      <c r="M3372" s="3" t="str">
        <f>HYPERLINK("http://ictvonline.org/taxonomyHistory.asp?taxnode_id=20154201","ICTVonline=20154201")</f>
        <v>ICTVonline=20154201</v>
      </c>
    </row>
    <row r="3373" spans="1:13" x14ac:dyDescent="0.15">
      <c r="A3373" s="1" t="s">
        <v>934</v>
      </c>
      <c r="B3373" s="1" t="s">
        <v>1885</v>
      </c>
      <c r="C3373" s="1" t="s">
        <v>1203</v>
      </c>
      <c r="D3373" s="1" t="s">
        <v>1951</v>
      </c>
      <c r="E3373" s="1" t="s">
        <v>1953</v>
      </c>
      <c r="F3373" s="3">
        <v>0</v>
      </c>
      <c r="I3373" s="24" t="s">
        <v>3286</v>
      </c>
      <c r="J3373" s="24" t="s">
        <v>2920</v>
      </c>
      <c r="K3373" s="3">
        <v>25</v>
      </c>
      <c r="L3373" s="3" t="s">
        <v>7105</v>
      </c>
      <c r="M3373" s="3" t="str">
        <f>HYPERLINK("http://ictvonline.org/taxonomyHistory.asp?taxnode_id=20154202","ICTVonline=20154202")</f>
        <v>ICTVonline=20154202</v>
      </c>
    </row>
    <row r="3374" spans="1:13" x14ac:dyDescent="0.15">
      <c r="A3374" s="1" t="s">
        <v>934</v>
      </c>
      <c r="B3374" s="1" t="s">
        <v>1885</v>
      </c>
      <c r="C3374" s="1" t="s">
        <v>1203</v>
      </c>
      <c r="D3374" s="1" t="s">
        <v>1951</v>
      </c>
      <c r="E3374" s="1" t="s">
        <v>1707</v>
      </c>
      <c r="F3374" s="3">
        <v>0</v>
      </c>
      <c r="G3374" s="24" t="s">
        <v>7947</v>
      </c>
      <c r="H3374" s="24" t="s">
        <v>4734</v>
      </c>
      <c r="I3374" s="24" t="s">
        <v>3286</v>
      </c>
      <c r="J3374" s="24" t="s">
        <v>2920</v>
      </c>
      <c r="K3374" s="3">
        <v>25</v>
      </c>
      <c r="L3374" s="3" t="s">
        <v>7105</v>
      </c>
      <c r="M3374" s="3" t="str">
        <f>HYPERLINK("http://ictvonline.org/taxonomyHistory.asp?taxnode_id=20154203","ICTVonline=20154203")</f>
        <v>ICTVonline=20154203</v>
      </c>
    </row>
    <row r="3375" spans="1:13" x14ac:dyDescent="0.15">
      <c r="A3375" s="1" t="s">
        <v>934</v>
      </c>
      <c r="B3375" s="1" t="s">
        <v>1885</v>
      </c>
      <c r="C3375" s="1" t="s">
        <v>1203</v>
      </c>
      <c r="D3375" s="1" t="s">
        <v>1951</v>
      </c>
      <c r="E3375" s="1" t="s">
        <v>1708</v>
      </c>
      <c r="F3375" s="3">
        <v>0</v>
      </c>
      <c r="G3375" s="24" t="s">
        <v>7948</v>
      </c>
      <c r="H3375" s="24" t="s">
        <v>6386</v>
      </c>
      <c r="I3375" s="24" t="s">
        <v>3286</v>
      </c>
      <c r="J3375" s="24" t="s">
        <v>2920</v>
      </c>
      <c r="K3375" s="3">
        <v>25</v>
      </c>
      <c r="L3375" s="3" t="s">
        <v>7105</v>
      </c>
      <c r="M3375" s="3" t="str">
        <f>HYPERLINK("http://ictvonline.org/taxonomyHistory.asp?taxnode_id=20154204","ICTVonline=20154204")</f>
        <v>ICTVonline=20154204</v>
      </c>
    </row>
    <row r="3376" spans="1:13" x14ac:dyDescent="0.15">
      <c r="A3376" s="1" t="s">
        <v>934</v>
      </c>
      <c r="B3376" s="1" t="s">
        <v>1885</v>
      </c>
      <c r="C3376" s="1" t="s">
        <v>1203</v>
      </c>
      <c r="D3376" s="1" t="s">
        <v>1951</v>
      </c>
      <c r="E3376" s="1" t="s">
        <v>1709</v>
      </c>
      <c r="F3376" s="3">
        <v>0</v>
      </c>
      <c r="G3376" s="24" t="s">
        <v>7949</v>
      </c>
      <c r="H3376" s="24" t="s">
        <v>6387</v>
      </c>
      <c r="I3376" s="24" t="s">
        <v>3286</v>
      </c>
      <c r="J3376" s="24" t="s">
        <v>2920</v>
      </c>
      <c r="K3376" s="3">
        <v>25</v>
      </c>
      <c r="L3376" s="3" t="s">
        <v>7105</v>
      </c>
      <c r="M3376" s="3" t="str">
        <f>HYPERLINK("http://ictvonline.org/taxonomyHistory.asp?taxnode_id=20154205","ICTVonline=20154205")</f>
        <v>ICTVonline=20154205</v>
      </c>
    </row>
    <row r="3377" spans="1:13" x14ac:dyDescent="0.15">
      <c r="A3377" s="1" t="s">
        <v>934</v>
      </c>
      <c r="B3377" s="1" t="s">
        <v>1885</v>
      </c>
      <c r="C3377" s="1" t="s">
        <v>1203</v>
      </c>
      <c r="D3377" s="1" t="s">
        <v>1951</v>
      </c>
      <c r="E3377" s="1" t="s">
        <v>1618</v>
      </c>
      <c r="F3377" s="3">
        <v>0</v>
      </c>
      <c r="G3377" s="24" t="s">
        <v>7950</v>
      </c>
      <c r="H3377" s="24" t="s">
        <v>6388</v>
      </c>
      <c r="I3377" s="24" t="s">
        <v>3286</v>
      </c>
      <c r="J3377" s="24" t="s">
        <v>2920</v>
      </c>
      <c r="K3377" s="3">
        <v>25</v>
      </c>
      <c r="L3377" s="3" t="s">
        <v>7105</v>
      </c>
      <c r="M3377" s="3" t="str">
        <f>HYPERLINK("http://ictvonline.org/taxonomyHistory.asp?taxnode_id=20154206","ICTVonline=20154206")</f>
        <v>ICTVonline=20154206</v>
      </c>
    </row>
    <row r="3378" spans="1:13" x14ac:dyDescent="0.15">
      <c r="A3378" s="1" t="s">
        <v>934</v>
      </c>
      <c r="B3378" s="1" t="s">
        <v>1885</v>
      </c>
      <c r="C3378" s="1" t="s">
        <v>1203</v>
      </c>
      <c r="D3378" s="1" t="s">
        <v>1951</v>
      </c>
      <c r="E3378" s="1" t="s">
        <v>1619</v>
      </c>
      <c r="F3378" s="3">
        <v>0</v>
      </c>
      <c r="I3378" s="24" t="s">
        <v>3286</v>
      </c>
      <c r="J3378" s="24" t="s">
        <v>2920</v>
      </c>
      <c r="K3378" s="3">
        <v>25</v>
      </c>
      <c r="L3378" s="3" t="s">
        <v>7105</v>
      </c>
      <c r="M3378" s="3" t="str">
        <f>HYPERLINK("http://ictvonline.org/taxonomyHistory.asp?taxnode_id=20154207","ICTVonline=20154207")</f>
        <v>ICTVonline=20154207</v>
      </c>
    </row>
    <row r="3379" spans="1:13" x14ac:dyDescent="0.15">
      <c r="A3379" s="1" t="s">
        <v>934</v>
      </c>
      <c r="B3379" s="1" t="s">
        <v>1885</v>
      </c>
      <c r="C3379" s="1" t="s">
        <v>1203</v>
      </c>
      <c r="D3379" s="1" t="s">
        <v>1951</v>
      </c>
      <c r="E3379" s="1" t="s">
        <v>1711</v>
      </c>
      <c r="F3379" s="3">
        <v>0</v>
      </c>
      <c r="G3379" s="24" t="s">
        <v>7951</v>
      </c>
      <c r="H3379" s="24" t="s">
        <v>6389</v>
      </c>
      <c r="I3379" s="24" t="s">
        <v>3286</v>
      </c>
      <c r="J3379" s="24" t="s">
        <v>2920</v>
      </c>
      <c r="K3379" s="3">
        <v>25</v>
      </c>
      <c r="L3379" s="3" t="s">
        <v>7105</v>
      </c>
      <c r="M3379" s="3" t="str">
        <f>HYPERLINK("http://ictvonline.org/taxonomyHistory.asp?taxnode_id=20154208","ICTVonline=20154208")</f>
        <v>ICTVonline=20154208</v>
      </c>
    </row>
    <row r="3380" spans="1:13" x14ac:dyDescent="0.15">
      <c r="A3380" s="1" t="s">
        <v>934</v>
      </c>
      <c r="B3380" s="1" t="s">
        <v>1885</v>
      </c>
      <c r="C3380" s="1" t="s">
        <v>1203</v>
      </c>
      <c r="D3380" s="1" t="s">
        <v>1951</v>
      </c>
      <c r="E3380" s="1" t="s">
        <v>6390</v>
      </c>
      <c r="F3380" s="3">
        <v>0</v>
      </c>
      <c r="G3380" s="24" t="s">
        <v>7752</v>
      </c>
      <c r="H3380" s="24" t="s">
        <v>6391</v>
      </c>
      <c r="I3380" s="24" t="s">
        <v>3286</v>
      </c>
      <c r="J3380" s="24" t="s">
        <v>2919</v>
      </c>
      <c r="K3380" s="3">
        <v>30</v>
      </c>
      <c r="L3380" s="3" t="s">
        <v>7107</v>
      </c>
      <c r="M3380" s="3" t="str">
        <f>HYPERLINK("http://ictvonline.org/taxonomyHistory.asp?taxnode_id=20154209","ICTVonline=20154209")</f>
        <v>ICTVonline=20154209</v>
      </c>
    </row>
    <row r="3381" spans="1:13" x14ac:dyDescent="0.15">
      <c r="A3381" s="1" t="s">
        <v>934</v>
      </c>
      <c r="B3381" s="1" t="s">
        <v>1885</v>
      </c>
      <c r="C3381" s="1" t="s">
        <v>1203</v>
      </c>
      <c r="D3381" s="1" t="s">
        <v>1712</v>
      </c>
      <c r="E3381" s="1" t="s">
        <v>1429</v>
      </c>
      <c r="F3381" s="3">
        <v>1</v>
      </c>
      <c r="I3381" s="24" t="s">
        <v>3286</v>
      </c>
      <c r="J3381" s="24" t="s">
        <v>2920</v>
      </c>
      <c r="K3381" s="3">
        <v>25</v>
      </c>
      <c r="L3381" s="3" t="s">
        <v>7105</v>
      </c>
      <c r="M3381" s="3" t="str">
        <f>HYPERLINK("http://ictvonline.org/taxonomyHistory.asp?taxnode_id=20154211","ICTVonline=20154211")</f>
        <v>ICTVonline=20154211</v>
      </c>
    </row>
    <row r="3382" spans="1:13" x14ac:dyDescent="0.15">
      <c r="A3382" s="1" t="s">
        <v>934</v>
      </c>
      <c r="B3382" s="1" t="s">
        <v>1885</v>
      </c>
      <c r="C3382" s="1" t="s">
        <v>1203</v>
      </c>
      <c r="D3382" s="1" t="s">
        <v>1712</v>
      </c>
      <c r="E3382" s="1" t="s">
        <v>1430</v>
      </c>
      <c r="F3382" s="3">
        <v>0</v>
      </c>
      <c r="I3382" s="24" t="s">
        <v>3286</v>
      </c>
      <c r="J3382" s="24" t="s">
        <v>2920</v>
      </c>
      <c r="K3382" s="3">
        <v>25</v>
      </c>
      <c r="L3382" s="3" t="s">
        <v>7105</v>
      </c>
      <c r="M3382" s="3" t="str">
        <f>HYPERLINK("http://ictvonline.org/taxonomyHistory.asp?taxnode_id=20154212","ICTVonline=20154212")</f>
        <v>ICTVonline=20154212</v>
      </c>
    </row>
    <row r="3383" spans="1:13" x14ac:dyDescent="0.15">
      <c r="A3383" s="1" t="s">
        <v>934</v>
      </c>
      <c r="B3383" s="1" t="s">
        <v>1885</v>
      </c>
      <c r="C3383" s="1" t="s">
        <v>1203</v>
      </c>
      <c r="D3383" s="1" t="s">
        <v>1712</v>
      </c>
      <c r="E3383" s="1" t="s">
        <v>1431</v>
      </c>
      <c r="F3383" s="3">
        <v>0</v>
      </c>
      <c r="I3383" s="24" t="s">
        <v>3286</v>
      </c>
      <c r="J3383" s="24" t="s">
        <v>2920</v>
      </c>
      <c r="K3383" s="3">
        <v>25</v>
      </c>
      <c r="L3383" s="3" t="s">
        <v>7105</v>
      </c>
      <c r="M3383" s="3" t="str">
        <f>HYPERLINK("http://ictvonline.org/taxonomyHistory.asp?taxnode_id=20154213","ICTVonline=20154213")</f>
        <v>ICTVonline=20154213</v>
      </c>
    </row>
    <row r="3384" spans="1:13" x14ac:dyDescent="0.15">
      <c r="A3384" s="1" t="s">
        <v>934</v>
      </c>
      <c r="B3384" s="1" t="s">
        <v>1885</v>
      </c>
      <c r="C3384" s="1" t="s">
        <v>1203</v>
      </c>
      <c r="D3384" s="1" t="s">
        <v>1712</v>
      </c>
      <c r="E3384" s="1" t="s">
        <v>1432</v>
      </c>
      <c r="F3384" s="3">
        <v>0</v>
      </c>
      <c r="I3384" s="24" t="s">
        <v>3286</v>
      </c>
      <c r="J3384" s="24" t="s">
        <v>2920</v>
      </c>
      <c r="K3384" s="3">
        <v>25</v>
      </c>
      <c r="L3384" s="3" t="s">
        <v>7105</v>
      </c>
      <c r="M3384" s="3" t="str">
        <f>HYPERLINK("http://ictvonline.org/taxonomyHistory.asp?taxnode_id=20154214","ICTVonline=20154214")</f>
        <v>ICTVonline=20154214</v>
      </c>
    </row>
    <row r="3385" spans="1:13" x14ac:dyDescent="0.15">
      <c r="A3385" s="1" t="s">
        <v>934</v>
      </c>
      <c r="B3385" s="1" t="s">
        <v>1885</v>
      </c>
      <c r="C3385" s="1" t="s">
        <v>1203</v>
      </c>
      <c r="D3385" s="1" t="s">
        <v>1712</v>
      </c>
      <c r="E3385" s="1" t="s">
        <v>1433</v>
      </c>
      <c r="F3385" s="3">
        <v>0</v>
      </c>
      <c r="I3385" s="24" t="s">
        <v>3286</v>
      </c>
      <c r="J3385" s="24" t="s">
        <v>2920</v>
      </c>
      <c r="K3385" s="3">
        <v>25</v>
      </c>
      <c r="L3385" s="3" t="s">
        <v>7105</v>
      </c>
      <c r="M3385" s="3" t="str">
        <f>HYPERLINK("http://ictvonline.org/taxonomyHistory.asp?taxnode_id=20154215","ICTVonline=20154215")</f>
        <v>ICTVonline=20154215</v>
      </c>
    </row>
    <row r="3386" spans="1:13" x14ac:dyDescent="0.15">
      <c r="A3386" s="1" t="s">
        <v>934</v>
      </c>
      <c r="B3386" s="1" t="s">
        <v>1885</v>
      </c>
      <c r="C3386" s="1" t="s">
        <v>1203</v>
      </c>
      <c r="D3386" s="1" t="s">
        <v>2052</v>
      </c>
      <c r="E3386" s="1" t="s">
        <v>2053</v>
      </c>
      <c r="F3386" s="3">
        <v>1</v>
      </c>
      <c r="G3386" s="24" t="s">
        <v>7952</v>
      </c>
      <c r="H3386" s="24" t="s">
        <v>6392</v>
      </c>
      <c r="I3386" s="24" t="s">
        <v>3286</v>
      </c>
      <c r="J3386" s="24" t="s">
        <v>2920</v>
      </c>
      <c r="K3386" s="3">
        <v>25</v>
      </c>
      <c r="L3386" s="3" t="s">
        <v>7105</v>
      </c>
      <c r="M3386" s="3" t="str">
        <f>HYPERLINK("http://ictvonline.org/taxonomyHistory.asp?taxnode_id=20154217","ICTVonline=20154217")</f>
        <v>ICTVonline=20154217</v>
      </c>
    </row>
    <row r="3387" spans="1:13" x14ac:dyDescent="0.15">
      <c r="A3387" s="1" t="s">
        <v>934</v>
      </c>
      <c r="B3387" s="1" t="s">
        <v>1885</v>
      </c>
      <c r="C3387" s="1" t="s">
        <v>1203</v>
      </c>
      <c r="D3387" s="1" t="s">
        <v>2052</v>
      </c>
      <c r="E3387" s="1" t="s">
        <v>2054</v>
      </c>
      <c r="F3387" s="3">
        <v>0</v>
      </c>
      <c r="I3387" s="24" t="s">
        <v>3286</v>
      </c>
      <c r="J3387" s="24" t="s">
        <v>2920</v>
      </c>
      <c r="K3387" s="3">
        <v>25</v>
      </c>
      <c r="L3387" s="3" t="s">
        <v>7105</v>
      </c>
      <c r="M3387" s="3" t="str">
        <f>HYPERLINK("http://ictvonline.org/taxonomyHistory.asp?taxnode_id=20154218","ICTVonline=20154218")</f>
        <v>ICTVonline=20154218</v>
      </c>
    </row>
    <row r="3388" spans="1:13" x14ac:dyDescent="0.15">
      <c r="A3388" s="1" t="s">
        <v>934</v>
      </c>
      <c r="B3388" s="1" t="s">
        <v>1885</v>
      </c>
      <c r="C3388" s="1" t="s">
        <v>1203</v>
      </c>
      <c r="D3388" s="1" t="s">
        <v>2052</v>
      </c>
      <c r="E3388" s="1" t="s">
        <v>2055</v>
      </c>
      <c r="F3388" s="3">
        <v>0</v>
      </c>
      <c r="G3388" s="24" t="s">
        <v>7953</v>
      </c>
      <c r="H3388" s="24" t="s">
        <v>5857</v>
      </c>
      <c r="I3388" s="24" t="s">
        <v>3286</v>
      </c>
      <c r="J3388" s="24" t="s">
        <v>2920</v>
      </c>
      <c r="K3388" s="3">
        <v>25</v>
      </c>
      <c r="L3388" s="3" t="s">
        <v>7105</v>
      </c>
      <c r="M3388" s="3" t="str">
        <f>HYPERLINK("http://ictvonline.org/taxonomyHistory.asp?taxnode_id=20154219","ICTVonline=20154219")</f>
        <v>ICTVonline=20154219</v>
      </c>
    </row>
    <row r="3389" spans="1:13" x14ac:dyDescent="0.15">
      <c r="A3389" s="1" t="s">
        <v>934</v>
      </c>
      <c r="B3389" s="1" t="s">
        <v>1885</v>
      </c>
      <c r="C3389" s="1" t="s">
        <v>1203</v>
      </c>
      <c r="D3389" s="1" t="s">
        <v>1358</v>
      </c>
      <c r="E3389" s="1" t="s">
        <v>1359</v>
      </c>
      <c r="F3389" s="3">
        <v>0</v>
      </c>
      <c r="I3389" s="24" t="s">
        <v>3286</v>
      </c>
      <c r="J3389" s="24" t="s">
        <v>2920</v>
      </c>
      <c r="K3389" s="3">
        <v>25</v>
      </c>
      <c r="L3389" s="3" t="s">
        <v>7105</v>
      </c>
      <c r="M3389" s="3" t="str">
        <f>HYPERLINK("http://ictvonline.org/taxonomyHistory.asp?taxnode_id=20154221","ICTVonline=20154221")</f>
        <v>ICTVonline=20154221</v>
      </c>
    </row>
    <row r="3390" spans="1:13" x14ac:dyDescent="0.15">
      <c r="A3390" s="1" t="s">
        <v>934</v>
      </c>
      <c r="B3390" s="1" t="s">
        <v>1885</v>
      </c>
      <c r="C3390" s="1" t="s">
        <v>1203</v>
      </c>
      <c r="D3390" s="1" t="s">
        <v>1358</v>
      </c>
      <c r="E3390" s="1" t="s">
        <v>1360</v>
      </c>
      <c r="F3390" s="3">
        <v>0</v>
      </c>
      <c r="I3390" s="24" t="s">
        <v>3286</v>
      </c>
      <c r="J3390" s="24" t="s">
        <v>2920</v>
      </c>
      <c r="K3390" s="3">
        <v>25</v>
      </c>
      <c r="L3390" s="3" t="s">
        <v>7105</v>
      </c>
      <c r="M3390" s="3" t="str">
        <f>HYPERLINK("http://ictvonline.org/taxonomyHistory.asp?taxnode_id=20154222","ICTVonline=20154222")</f>
        <v>ICTVonline=20154222</v>
      </c>
    </row>
    <row r="3391" spans="1:13" x14ac:dyDescent="0.15">
      <c r="A3391" s="1" t="s">
        <v>934</v>
      </c>
      <c r="B3391" s="1" t="s">
        <v>1885</v>
      </c>
      <c r="C3391" s="1" t="s">
        <v>1203</v>
      </c>
      <c r="D3391" s="1" t="s">
        <v>1358</v>
      </c>
      <c r="E3391" s="1" t="s">
        <v>1361</v>
      </c>
      <c r="F3391" s="3">
        <v>1</v>
      </c>
      <c r="I3391" s="24" t="s">
        <v>3286</v>
      </c>
      <c r="J3391" s="24" t="s">
        <v>2920</v>
      </c>
      <c r="K3391" s="3">
        <v>25</v>
      </c>
      <c r="L3391" s="3" t="s">
        <v>7105</v>
      </c>
      <c r="M3391" s="3" t="str">
        <f>HYPERLINK("http://ictvonline.org/taxonomyHistory.asp?taxnode_id=20154223","ICTVonline=20154223")</f>
        <v>ICTVonline=20154223</v>
      </c>
    </row>
    <row r="3392" spans="1:13" x14ac:dyDescent="0.15">
      <c r="A3392" s="1" t="s">
        <v>934</v>
      </c>
      <c r="B3392" s="1" t="s">
        <v>1885</v>
      </c>
      <c r="C3392" s="1" t="s">
        <v>1203</v>
      </c>
      <c r="D3392" s="1" t="s">
        <v>1358</v>
      </c>
      <c r="E3392" s="1" t="s">
        <v>1362</v>
      </c>
      <c r="F3392" s="3">
        <v>0</v>
      </c>
      <c r="I3392" s="24" t="s">
        <v>3286</v>
      </c>
      <c r="J3392" s="24" t="s">
        <v>2920</v>
      </c>
      <c r="K3392" s="3">
        <v>25</v>
      </c>
      <c r="L3392" s="3" t="s">
        <v>7105</v>
      </c>
      <c r="M3392" s="3" t="str">
        <f>HYPERLINK("http://ictvonline.org/taxonomyHistory.asp?taxnode_id=20154224","ICTVonline=20154224")</f>
        <v>ICTVonline=20154224</v>
      </c>
    </row>
    <row r="3393" spans="1:13" x14ac:dyDescent="0.15">
      <c r="A3393" s="1" t="s">
        <v>934</v>
      </c>
      <c r="B3393" s="1" t="s">
        <v>1885</v>
      </c>
      <c r="C3393" s="1" t="s">
        <v>1203</v>
      </c>
      <c r="D3393" s="1" t="s">
        <v>1358</v>
      </c>
      <c r="E3393" s="1" t="s">
        <v>6393</v>
      </c>
      <c r="F3393" s="3">
        <v>0</v>
      </c>
      <c r="G3393" s="24" t="s">
        <v>7753</v>
      </c>
      <c r="H3393" s="24" t="s">
        <v>6394</v>
      </c>
      <c r="I3393" s="24" t="s">
        <v>3286</v>
      </c>
      <c r="J3393" s="24" t="s">
        <v>2919</v>
      </c>
      <c r="K3393" s="3">
        <v>30</v>
      </c>
      <c r="L3393" s="3" t="s">
        <v>7108</v>
      </c>
      <c r="M3393" s="3" t="str">
        <f>HYPERLINK("http://ictvonline.org/taxonomyHistory.asp?taxnode_id=20154226","ICTVonline=20154226")</f>
        <v>ICTVonline=20154226</v>
      </c>
    </row>
    <row r="3394" spans="1:13" x14ac:dyDescent="0.15">
      <c r="A3394" s="1" t="s">
        <v>934</v>
      </c>
      <c r="B3394" s="1" t="s">
        <v>1885</v>
      </c>
      <c r="C3394" s="1" t="s">
        <v>1203</v>
      </c>
      <c r="D3394" s="1" t="s">
        <v>1358</v>
      </c>
      <c r="E3394" s="1" t="s">
        <v>1363</v>
      </c>
      <c r="F3394" s="3">
        <v>0</v>
      </c>
      <c r="I3394" s="24" t="s">
        <v>3286</v>
      </c>
      <c r="J3394" s="24" t="s">
        <v>2920</v>
      </c>
      <c r="K3394" s="3">
        <v>25</v>
      </c>
      <c r="L3394" s="3" t="s">
        <v>7105</v>
      </c>
      <c r="M3394" s="3" t="str">
        <f>HYPERLINK("http://ictvonline.org/taxonomyHistory.asp?taxnode_id=20154225","ICTVonline=20154225")</f>
        <v>ICTVonline=20154225</v>
      </c>
    </row>
    <row r="3395" spans="1:13" x14ac:dyDescent="0.15">
      <c r="A3395" s="1" t="s">
        <v>934</v>
      </c>
      <c r="B3395" s="1" t="s">
        <v>1885</v>
      </c>
      <c r="C3395" s="1" t="s">
        <v>1203</v>
      </c>
      <c r="D3395" s="1" t="s">
        <v>1364</v>
      </c>
      <c r="E3395" s="1" t="s">
        <v>1365</v>
      </c>
      <c r="F3395" s="3">
        <v>0</v>
      </c>
      <c r="I3395" s="24" t="s">
        <v>3286</v>
      </c>
      <c r="J3395" s="24" t="s">
        <v>2920</v>
      </c>
      <c r="K3395" s="3">
        <v>25</v>
      </c>
      <c r="L3395" s="3" t="s">
        <v>7105</v>
      </c>
      <c r="M3395" s="3" t="str">
        <f>HYPERLINK("http://ictvonline.org/taxonomyHistory.asp?taxnode_id=20154228","ICTVonline=20154228")</f>
        <v>ICTVonline=20154228</v>
      </c>
    </row>
    <row r="3396" spans="1:13" x14ac:dyDescent="0.15">
      <c r="A3396" s="1" t="s">
        <v>934</v>
      </c>
      <c r="B3396" s="1" t="s">
        <v>1885</v>
      </c>
      <c r="C3396" s="1" t="s">
        <v>1203</v>
      </c>
      <c r="D3396" s="1" t="s">
        <v>1364</v>
      </c>
      <c r="E3396" s="1" t="s">
        <v>243</v>
      </c>
      <c r="F3396" s="3">
        <v>1</v>
      </c>
      <c r="G3396" s="24" t="s">
        <v>7954</v>
      </c>
      <c r="H3396" s="24" t="s">
        <v>6383</v>
      </c>
      <c r="I3396" s="24" t="s">
        <v>3286</v>
      </c>
      <c r="J3396" s="24" t="s">
        <v>2920</v>
      </c>
      <c r="K3396" s="3">
        <v>25</v>
      </c>
      <c r="L3396" s="3" t="s">
        <v>7105</v>
      </c>
      <c r="M3396" s="3" t="str">
        <f>HYPERLINK("http://ictvonline.org/taxonomyHistory.asp?taxnode_id=20154229","ICTVonline=20154229")</f>
        <v>ICTVonline=20154229</v>
      </c>
    </row>
    <row r="3397" spans="1:13" x14ac:dyDescent="0.15">
      <c r="A3397" s="1" t="s">
        <v>934</v>
      </c>
      <c r="B3397" s="1" t="s">
        <v>369</v>
      </c>
      <c r="C3397" s="1" t="s">
        <v>370</v>
      </c>
      <c r="D3397" s="1" t="s">
        <v>371</v>
      </c>
      <c r="E3397" s="1" t="s">
        <v>245</v>
      </c>
      <c r="F3397" s="3">
        <v>0</v>
      </c>
      <c r="I3397" s="24" t="s">
        <v>3288</v>
      </c>
      <c r="J3397" s="24" t="s">
        <v>2920</v>
      </c>
      <c r="K3397" s="3">
        <v>21</v>
      </c>
      <c r="L3397" s="3" t="s">
        <v>7109</v>
      </c>
      <c r="M3397" s="3" t="str">
        <f>HYPERLINK("http://ictvonline.org/taxonomyHistory.asp?taxnode_id=20154233","ICTVonline=20154233")</f>
        <v>ICTVonline=20154233</v>
      </c>
    </row>
    <row r="3398" spans="1:13" x14ac:dyDescent="0.15">
      <c r="A3398" s="1" t="s">
        <v>934</v>
      </c>
      <c r="B3398" s="1" t="s">
        <v>369</v>
      </c>
      <c r="C3398" s="1" t="s">
        <v>370</v>
      </c>
      <c r="D3398" s="1" t="s">
        <v>371</v>
      </c>
      <c r="E3398" s="1" t="s">
        <v>375</v>
      </c>
      <c r="F3398" s="3">
        <v>1</v>
      </c>
      <c r="I3398" s="24" t="s">
        <v>3288</v>
      </c>
      <c r="J3398" s="24" t="s">
        <v>2920</v>
      </c>
      <c r="K3398" s="3">
        <v>21</v>
      </c>
      <c r="L3398" s="3" t="s">
        <v>7109</v>
      </c>
      <c r="M3398" s="3" t="str">
        <f>HYPERLINK("http://ictvonline.org/taxonomyHistory.asp?taxnode_id=20154234","ICTVonline=20154234")</f>
        <v>ICTVonline=20154234</v>
      </c>
    </row>
    <row r="3399" spans="1:13" x14ac:dyDescent="0.15">
      <c r="A3399" s="1" t="s">
        <v>934</v>
      </c>
      <c r="B3399" s="1" t="s">
        <v>369</v>
      </c>
      <c r="C3399" s="1" t="s">
        <v>370</v>
      </c>
      <c r="D3399" s="1" t="s">
        <v>371</v>
      </c>
      <c r="E3399" s="1" t="s">
        <v>246</v>
      </c>
      <c r="F3399" s="3">
        <v>0</v>
      </c>
      <c r="I3399" s="24" t="s">
        <v>3288</v>
      </c>
      <c r="J3399" s="24" t="s">
        <v>2920</v>
      </c>
      <c r="K3399" s="3">
        <v>21</v>
      </c>
      <c r="L3399" s="3" t="s">
        <v>7109</v>
      </c>
      <c r="M3399" s="3" t="str">
        <f>HYPERLINK("http://ictvonline.org/taxonomyHistory.asp?taxnode_id=20154235","ICTVonline=20154235")</f>
        <v>ICTVonline=20154235</v>
      </c>
    </row>
    <row r="3400" spans="1:13" x14ac:dyDescent="0.15">
      <c r="A3400" s="1" t="s">
        <v>934</v>
      </c>
      <c r="B3400" s="1" t="s">
        <v>369</v>
      </c>
      <c r="C3400" s="1" t="s">
        <v>370</v>
      </c>
      <c r="D3400" s="1" t="s">
        <v>371</v>
      </c>
      <c r="E3400" s="1" t="s">
        <v>247</v>
      </c>
      <c r="F3400" s="3">
        <v>0</v>
      </c>
      <c r="I3400" s="24" t="s">
        <v>3288</v>
      </c>
      <c r="J3400" s="24" t="s">
        <v>2920</v>
      </c>
      <c r="K3400" s="3">
        <v>21</v>
      </c>
      <c r="L3400" s="3" t="s">
        <v>7109</v>
      </c>
      <c r="M3400" s="3" t="str">
        <f>HYPERLINK("http://ictvonline.org/taxonomyHistory.asp?taxnode_id=20154236","ICTVonline=20154236")</f>
        <v>ICTVonline=20154236</v>
      </c>
    </row>
    <row r="3401" spans="1:13" x14ac:dyDescent="0.15">
      <c r="A3401" s="1" t="s">
        <v>934</v>
      </c>
      <c r="B3401" s="1" t="s">
        <v>369</v>
      </c>
      <c r="C3401" s="1" t="s">
        <v>370</v>
      </c>
      <c r="D3401" s="1" t="s">
        <v>371</v>
      </c>
      <c r="E3401" s="1" t="s">
        <v>248</v>
      </c>
      <c r="F3401" s="3">
        <v>0</v>
      </c>
      <c r="I3401" s="24" t="s">
        <v>3288</v>
      </c>
      <c r="J3401" s="24" t="s">
        <v>2920</v>
      </c>
      <c r="K3401" s="3">
        <v>21</v>
      </c>
      <c r="L3401" s="3" t="s">
        <v>7109</v>
      </c>
      <c r="M3401" s="3" t="str">
        <f>HYPERLINK("http://ictvonline.org/taxonomyHistory.asp?taxnode_id=20154237","ICTVonline=20154237")</f>
        <v>ICTVonline=20154237</v>
      </c>
    </row>
    <row r="3402" spans="1:13" x14ac:dyDescent="0.15">
      <c r="A3402" s="1" t="s">
        <v>934</v>
      </c>
      <c r="B3402" s="1" t="s">
        <v>369</v>
      </c>
      <c r="C3402" s="1" t="s">
        <v>370</v>
      </c>
      <c r="D3402" s="1" t="s">
        <v>371</v>
      </c>
      <c r="E3402" s="1" t="s">
        <v>1936</v>
      </c>
      <c r="F3402" s="3">
        <v>0</v>
      </c>
      <c r="I3402" s="24" t="s">
        <v>3288</v>
      </c>
      <c r="J3402" s="24" t="s">
        <v>2920</v>
      </c>
      <c r="K3402" s="3">
        <v>21</v>
      </c>
      <c r="L3402" s="3" t="s">
        <v>7109</v>
      </c>
      <c r="M3402" s="3" t="str">
        <f>HYPERLINK("http://ictvonline.org/taxonomyHistory.asp?taxnode_id=20154238","ICTVonline=20154238")</f>
        <v>ICTVonline=20154238</v>
      </c>
    </row>
    <row r="3403" spans="1:13" x14ac:dyDescent="0.15">
      <c r="A3403" s="1" t="s">
        <v>934</v>
      </c>
      <c r="B3403" s="1" t="s">
        <v>369</v>
      </c>
      <c r="C3403" s="1" t="s">
        <v>370</v>
      </c>
      <c r="D3403" s="1" t="s">
        <v>371</v>
      </c>
      <c r="E3403" s="1" t="s">
        <v>1937</v>
      </c>
      <c r="F3403" s="3">
        <v>0</v>
      </c>
      <c r="I3403" s="24" t="s">
        <v>3288</v>
      </c>
      <c r="J3403" s="24" t="s">
        <v>2920</v>
      </c>
      <c r="K3403" s="3">
        <v>21</v>
      </c>
      <c r="L3403" s="3" t="s">
        <v>7109</v>
      </c>
      <c r="M3403" s="3" t="str">
        <f>HYPERLINK("http://ictvonline.org/taxonomyHistory.asp?taxnode_id=20154239","ICTVonline=20154239")</f>
        <v>ICTVonline=20154239</v>
      </c>
    </row>
    <row r="3404" spans="1:13" x14ac:dyDescent="0.15">
      <c r="A3404" s="1" t="s">
        <v>934</v>
      </c>
      <c r="B3404" s="1" t="s">
        <v>369</v>
      </c>
      <c r="C3404" s="1" t="s">
        <v>370</v>
      </c>
      <c r="D3404" s="1" t="s">
        <v>371</v>
      </c>
      <c r="E3404" s="1" t="s">
        <v>711</v>
      </c>
      <c r="F3404" s="3">
        <v>0</v>
      </c>
      <c r="I3404" s="24" t="s">
        <v>3288</v>
      </c>
      <c r="J3404" s="24" t="s">
        <v>2920</v>
      </c>
      <c r="K3404" s="3">
        <v>21</v>
      </c>
      <c r="L3404" s="3" t="s">
        <v>7109</v>
      </c>
      <c r="M3404" s="3" t="str">
        <f>HYPERLINK("http://ictvonline.org/taxonomyHistory.asp?taxnode_id=20154240","ICTVonline=20154240")</f>
        <v>ICTVonline=20154240</v>
      </c>
    </row>
    <row r="3405" spans="1:13" x14ac:dyDescent="0.15">
      <c r="A3405" s="1" t="s">
        <v>934</v>
      </c>
      <c r="B3405" s="1" t="s">
        <v>369</v>
      </c>
      <c r="C3405" s="1" t="s">
        <v>370</v>
      </c>
      <c r="D3405" s="1" t="s">
        <v>371</v>
      </c>
      <c r="E3405" s="1" t="s">
        <v>712</v>
      </c>
      <c r="F3405" s="3">
        <v>0</v>
      </c>
      <c r="I3405" s="24" t="s">
        <v>3288</v>
      </c>
      <c r="J3405" s="24" t="s">
        <v>2920</v>
      </c>
      <c r="K3405" s="3">
        <v>21</v>
      </c>
      <c r="L3405" s="3" t="s">
        <v>7109</v>
      </c>
      <c r="M3405" s="3" t="str">
        <f>HYPERLINK("http://ictvonline.org/taxonomyHistory.asp?taxnode_id=20154241","ICTVonline=20154241")</f>
        <v>ICTVonline=20154241</v>
      </c>
    </row>
    <row r="3406" spans="1:13" x14ac:dyDescent="0.15">
      <c r="A3406" s="1" t="s">
        <v>934</v>
      </c>
      <c r="B3406" s="1" t="s">
        <v>369</v>
      </c>
      <c r="C3406" s="1" t="s">
        <v>370</v>
      </c>
      <c r="D3406" s="1" t="s">
        <v>713</v>
      </c>
      <c r="E3406" s="1" t="s">
        <v>818</v>
      </c>
      <c r="F3406" s="3">
        <v>0</v>
      </c>
      <c r="I3406" s="24" t="s">
        <v>3288</v>
      </c>
      <c r="J3406" s="24" t="s">
        <v>2924</v>
      </c>
      <c r="K3406" s="3">
        <v>23</v>
      </c>
      <c r="L3406" s="3" t="s">
        <v>2933</v>
      </c>
      <c r="M3406" s="3" t="str">
        <f>HYPERLINK("http://ictvonline.org/taxonomyHistory.asp?taxnode_id=20154243","ICTVonline=20154243")</f>
        <v>ICTVonline=20154243</v>
      </c>
    </row>
    <row r="3407" spans="1:13" x14ac:dyDescent="0.15">
      <c r="A3407" s="1" t="s">
        <v>934</v>
      </c>
      <c r="B3407" s="1" t="s">
        <v>369</v>
      </c>
      <c r="C3407" s="1" t="s">
        <v>370</v>
      </c>
      <c r="D3407" s="1" t="s">
        <v>713</v>
      </c>
      <c r="E3407" s="1" t="s">
        <v>819</v>
      </c>
      <c r="F3407" s="3">
        <v>0</v>
      </c>
      <c r="I3407" s="24" t="s">
        <v>3288</v>
      </c>
      <c r="J3407" s="24" t="s">
        <v>2920</v>
      </c>
      <c r="K3407" s="3">
        <v>21</v>
      </c>
      <c r="L3407" s="3" t="s">
        <v>7109</v>
      </c>
      <c r="M3407" s="3" t="str">
        <f>HYPERLINK("http://ictvonline.org/taxonomyHistory.asp?taxnode_id=20154244","ICTVonline=20154244")</f>
        <v>ICTVonline=20154244</v>
      </c>
    </row>
    <row r="3408" spans="1:13" x14ac:dyDescent="0.15">
      <c r="A3408" s="1" t="s">
        <v>934</v>
      </c>
      <c r="B3408" s="1" t="s">
        <v>369</v>
      </c>
      <c r="C3408" s="1" t="s">
        <v>370</v>
      </c>
      <c r="D3408" s="1" t="s">
        <v>713</v>
      </c>
      <c r="E3408" s="1" t="s">
        <v>820</v>
      </c>
      <c r="F3408" s="3">
        <v>0</v>
      </c>
      <c r="I3408" s="24" t="s">
        <v>3288</v>
      </c>
      <c r="J3408" s="24" t="s">
        <v>2920</v>
      </c>
      <c r="K3408" s="3">
        <v>21</v>
      </c>
      <c r="L3408" s="3" t="s">
        <v>7109</v>
      </c>
      <c r="M3408" s="3" t="str">
        <f>HYPERLINK("http://ictvonline.org/taxonomyHistory.asp?taxnode_id=20154245","ICTVonline=20154245")</f>
        <v>ICTVonline=20154245</v>
      </c>
    </row>
    <row r="3409" spans="1:13" x14ac:dyDescent="0.15">
      <c r="A3409" s="1" t="s">
        <v>934</v>
      </c>
      <c r="B3409" s="1" t="s">
        <v>369</v>
      </c>
      <c r="C3409" s="1" t="s">
        <v>370</v>
      </c>
      <c r="D3409" s="1" t="s">
        <v>713</v>
      </c>
      <c r="E3409" s="1" t="s">
        <v>815</v>
      </c>
      <c r="F3409" s="3">
        <v>1</v>
      </c>
      <c r="I3409" s="24" t="s">
        <v>3288</v>
      </c>
      <c r="J3409" s="24" t="s">
        <v>2920</v>
      </c>
      <c r="K3409" s="3">
        <v>21</v>
      </c>
      <c r="L3409" s="3" t="s">
        <v>7109</v>
      </c>
      <c r="M3409" s="3" t="str">
        <f>HYPERLINK("http://ictvonline.org/taxonomyHistory.asp?taxnode_id=20154246","ICTVonline=20154246")</f>
        <v>ICTVonline=20154246</v>
      </c>
    </row>
    <row r="3410" spans="1:13" x14ac:dyDescent="0.15">
      <c r="A3410" s="1" t="s">
        <v>934</v>
      </c>
      <c r="B3410" s="1" t="s">
        <v>369</v>
      </c>
      <c r="C3410" s="1" t="s">
        <v>370</v>
      </c>
      <c r="D3410" s="1" t="s">
        <v>713</v>
      </c>
      <c r="E3410" s="1" t="s">
        <v>816</v>
      </c>
      <c r="F3410" s="3">
        <v>0</v>
      </c>
      <c r="I3410" s="24" t="s">
        <v>3288</v>
      </c>
      <c r="J3410" s="24" t="s">
        <v>2920</v>
      </c>
      <c r="K3410" s="3">
        <v>21</v>
      </c>
      <c r="L3410" s="3" t="s">
        <v>7109</v>
      </c>
      <c r="M3410" s="3" t="str">
        <f>HYPERLINK("http://ictvonline.org/taxonomyHistory.asp?taxnode_id=20154247","ICTVonline=20154247")</f>
        <v>ICTVonline=20154247</v>
      </c>
    </row>
    <row r="3411" spans="1:13" x14ac:dyDescent="0.15">
      <c r="A3411" s="1" t="s">
        <v>934</v>
      </c>
      <c r="B3411" s="1" t="s">
        <v>369</v>
      </c>
      <c r="C3411" s="1" t="s">
        <v>370</v>
      </c>
      <c r="D3411" s="1" t="s">
        <v>817</v>
      </c>
      <c r="E3411" s="1" t="s">
        <v>1312</v>
      </c>
      <c r="F3411" s="3">
        <v>1</v>
      </c>
      <c r="I3411" s="24" t="s">
        <v>3288</v>
      </c>
      <c r="J3411" s="24" t="s">
        <v>2920</v>
      </c>
      <c r="K3411" s="3">
        <v>21</v>
      </c>
      <c r="L3411" s="3" t="s">
        <v>7109</v>
      </c>
      <c r="M3411" s="3" t="str">
        <f>HYPERLINK("http://ictvonline.org/taxonomyHistory.asp?taxnode_id=20154249","ICTVonline=20154249")</f>
        <v>ICTVonline=20154249</v>
      </c>
    </row>
    <row r="3412" spans="1:13" x14ac:dyDescent="0.15">
      <c r="A3412" s="1" t="s">
        <v>934</v>
      </c>
      <c r="B3412" s="1" t="s">
        <v>369</v>
      </c>
      <c r="C3412" s="1" t="s">
        <v>370</v>
      </c>
      <c r="D3412" s="1" t="s">
        <v>817</v>
      </c>
      <c r="E3412" s="1" t="s">
        <v>1313</v>
      </c>
      <c r="F3412" s="3">
        <v>0</v>
      </c>
      <c r="I3412" s="24" t="s">
        <v>3288</v>
      </c>
      <c r="J3412" s="24" t="s">
        <v>2920</v>
      </c>
      <c r="K3412" s="3">
        <v>21</v>
      </c>
      <c r="L3412" s="3" t="s">
        <v>7109</v>
      </c>
      <c r="M3412" s="3" t="str">
        <f>HYPERLINK("http://ictvonline.org/taxonomyHistory.asp?taxnode_id=20154250","ICTVonline=20154250")</f>
        <v>ICTVonline=20154250</v>
      </c>
    </row>
    <row r="3413" spans="1:13" x14ac:dyDescent="0.15">
      <c r="A3413" s="1" t="s">
        <v>934</v>
      </c>
      <c r="B3413" s="1" t="s">
        <v>369</v>
      </c>
      <c r="C3413" s="1" t="s">
        <v>370</v>
      </c>
      <c r="D3413" s="1" t="s">
        <v>817</v>
      </c>
      <c r="E3413" s="1" t="s">
        <v>1314</v>
      </c>
      <c r="F3413" s="3">
        <v>0</v>
      </c>
      <c r="I3413" s="24" t="s">
        <v>3288</v>
      </c>
      <c r="J3413" s="24" t="s">
        <v>2920</v>
      </c>
      <c r="K3413" s="3">
        <v>21</v>
      </c>
      <c r="L3413" s="3" t="s">
        <v>7109</v>
      </c>
      <c r="M3413" s="3" t="str">
        <f>HYPERLINK("http://ictvonline.org/taxonomyHistory.asp?taxnode_id=20154251","ICTVonline=20154251")</f>
        <v>ICTVonline=20154251</v>
      </c>
    </row>
    <row r="3414" spans="1:13" x14ac:dyDescent="0.15">
      <c r="A3414" s="1" t="s">
        <v>934</v>
      </c>
      <c r="B3414" s="1" t="s">
        <v>369</v>
      </c>
      <c r="C3414" s="1" t="s">
        <v>370</v>
      </c>
      <c r="D3414" s="1" t="s">
        <v>817</v>
      </c>
      <c r="E3414" s="1" t="s">
        <v>821</v>
      </c>
      <c r="F3414" s="3">
        <v>0</v>
      </c>
      <c r="I3414" s="24" t="s">
        <v>3288</v>
      </c>
      <c r="J3414" s="24" t="s">
        <v>2920</v>
      </c>
      <c r="K3414" s="3">
        <v>21</v>
      </c>
      <c r="L3414" s="3" t="s">
        <v>7109</v>
      </c>
      <c r="M3414" s="3" t="str">
        <f>HYPERLINK("http://ictvonline.org/taxonomyHistory.asp?taxnode_id=20154252","ICTVonline=20154252")</f>
        <v>ICTVonline=20154252</v>
      </c>
    </row>
    <row r="3415" spans="1:13" x14ac:dyDescent="0.15">
      <c r="A3415" s="1" t="s">
        <v>934</v>
      </c>
      <c r="B3415" s="1" t="s">
        <v>369</v>
      </c>
      <c r="C3415" s="1" t="s">
        <v>370</v>
      </c>
      <c r="D3415" s="1" t="s">
        <v>822</v>
      </c>
      <c r="E3415" s="1" t="s">
        <v>823</v>
      </c>
      <c r="F3415" s="3">
        <v>1</v>
      </c>
      <c r="I3415" s="24" t="s">
        <v>3288</v>
      </c>
      <c r="J3415" s="24" t="s">
        <v>2920</v>
      </c>
      <c r="K3415" s="3">
        <v>21</v>
      </c>
      <c r="L3415" s="3" t="s">
        <v>7109</v>
      </c>
      <c r="M3415" s="3" t="str">
        <f>HYPERLINK("http://ictvonline.org/taxonomyHistory.asp?taxnode_id=20154254","ICTVonline=20154254")</f>
        <v>ICTVonline=20154254</v>
      </c>
    </row>
    <row r="3416" spans="1:13" x14ac:dyDescent="0.15">
      <c r="A3416" s="1" t="s">
        <v>934</v>
      </c>
      <c r="B3416" s="1" t="s">
        <v>369</v>
      </c>
      <c r="C3416" s="1" t="s">
        <v>370</v>
      </c>
      <c r="D3416" s="1" t="s">
        <v>822</v>
      </c>
      <c r="E3416" s="1" t="s">
        <v>824</v>
      </c>
      <c r="F3416" s="3">
        <v>0</v>
      </c>
      <c r="I3416" s="24" t="s">
        <v>3288</v>
      </c>
      <c r="J3416" s="24" t="s">
        <v>2920</v>
      </c>
      <c r="K3416" s="3">
        <v>21</v>
      </c>
      <c r="L3416" s="3" t="s">
        <v>7109</v>
      </c>
      <c r="M3416" s="3" t="str">
        <f>HYPERLINK("http://ictvonline.org/taxonomyHistory.asp?taxnode_id=20154255","ICTVonline=20154255")</f>
        <v>ICTVonline=20154255</v>
      </c>
    </row>
    <row r="3417" spans="1:13" x14ac:dyDescent="0.15">
      <c r="A3417" s="1" t="s">
        <v>934</v>
      </c>
      <c r="B3417" s="1" t="s">
        <v>369</v>
      </c>
      <c r="C3417" s="1" t="s">
        <v>370</v>
      </c>
      <c r="D3417" s="1" t="s">
        <v>822</v>
      </c>
      <c r="E3417" s="1" t="s">
        <v>825</v>
      </c>
      <c r="F3417" s="3">
        <v>0</v>
      </c>
      <c r="I3417" s="24" t="s">
        <v>3288</v>
      </c>
      <c r="J3417" s="24" t="s">
        <v>2920</v>
      </c>
      <c r="K3417" s="3">
        <v>21</v>
      </c>
      <c r="L3417" s="3" t="s">
        <v>7109</v>
      </c>
      <c r="M3417" s="3" t="str">
        <f>HYPERLINK("http://ictvonline.org/taxonomyHistory.asp?taxnode_id=20154256","ICTVonline=20154256")</f>
        <v>ICTVonline=20154256</v>
      </c>
    </row>
    <row r="3418" spans="1:13" x14ac:dyDescent="0.15">
      <c r="A3418" s="1" t="s">
        <v>934</v>
      </c>
      <c r="B3418" s="1" t="s">
        <v>369</v>
      </c>
      <c r="C3418" s="1" t="s">
        <v>370</v>
      </c>
      <c r="D3418" s="1" t="s">
        <v>826</v>
      </c>
      <c r="E3418" s="1" t="s">
        <v>827</v>
      </c>
      <c r="F3418" s="3">
        <v>0</v>
      </c>
      <c r="I3418" s="24" t="s">
        <v>3288</v>
      </c>
      <c r="J3418" s="24" t="s">
        <v>2920</v>
      </c>
      <c r="K3418" s="3">
        <v>21</v>
      </c>
      <c r="L3418" s="3" t="s">
        <v>7109</v>
      </c>
      <c r="M3418" s="3" t="str">
        <f>HYPERLINK("http://ictvonline.org/taxonomyHistory.asp?taxnode_id=20154258","ICTVonline=20154258")</f>
        <v>ICTVonline=20154258</v>
      </c>
    </row>
    <row r="3419" spans="1:13" x14ac:dyDescent="0.15">
      <c r="A3419" s="1" t="s">
        <v>934</v>
      </c>
      <c r="B3419" s="1" t="s">
        <v>369</v>
      </c>
      <c r="C3419" s="1" t="s">
        <v>370</v>
      </c>
      <c r="D3419" s="1" t="s">
        <v>826</v>
      </c>
      <c r="E3419" s="1" t="s">
        <v>828</v>
      </c>
      <c r="F3419" s="3">
        <v>0</v>
      </c>
      <c r="I3419" s="24" t="s">
        <v>3288</v>
      </c>
      <c r="J3419" s="24" t="s">
        <v>2920</v>
      </c>
      <c r="K3419" s="3">
        <v>21</v>
      </c>
      <c r="L3419" s="3" t="s">
        <v>7109</v>
      </c>
      <c r="M3419" s="3" t="str">
        <f>HYPERLINK("http://ictvonline.org/taxonomyHistory.asp?taxnode_id=20154259","ICTVonline=20154259")</f>
        <v>ICTVonline=20154259</v>
      </c>
    </row>
    <row r="3420" spans="1:13" x14ac:dyDescent="0.15">
      <c r="A3420" s="1" t="s">
        <v>934</v>
      </c>
      <c r="B3420" s="1" t="s">
        <v>369</v>
      </c>
      <c r="C3420" s="1" t="s">
        <v>370</v>
      </c>
      <c r="D3420" s="1" t="s">
        <v>826</v>
      </c>
      <c r="E3420" s="1" t="s">
        <v>829</v>
      </c>
      <c r="F3420" s="3">
        <v>0</v>
      </c>
      <c r="I3420" s="24" t="s">
        <v>3288</v>
      </c>
      <c r="J3420" s="24" t="s">
        <v>2920</v>
      </c>
      <c r="K3420" s="3">
        <v>21</v>
      </c>
      <c r="L3420" s="3" t="s">
        <v>7109</v>
      </c>
      <c r="M3420" s="3" t="str">
        <f>HYPERLINK("http://ictvonline.org/taxonomyHistory.asp?taxnode_id=20154260","ICTVonline=20154260")</f>
        <v>ICTVonline=20154260</v>
      </c>
    </row>
    <row r="3421" spans="1:13" x14ac:dyDescent="0.15">
      <c r="A3421" s="1" t="s">
        <v>934</v>
      </c>
      <c r="B3421" s="1" t="s">
        <v>369</v>
      </c>
      <c r="C3421" s="1" t="s">
        <v>370</v>
      </c>
      <c r="D3421" s="1" t="s">
        <v>826</v>
      </c>
      <c r="E3421" s="1" t="s">
        <v>1326</v>
      </c>
      <c r="F3421" s="3">
        <v>0</v>
      </c>
      <c r="I3421" s="24" t="s">
        <v>3288</v>
      </c>
      <c r="J3421" s="24" t="s">
        <v>2920</v>
      </c>
      <c r="K3421" s="3">
        <v>21</v>
      </c>
      <c r="L3421" s="3" t="s">
        <v>7109</v>
      </c>
      <c r="M3421" s="3" t="str">
        <f>HYPERLINK("http://ictvonline.org/taxonomyHistory.asp?taxnode_id=20154261","ICTVonline=20154261")</f>
        <v>ICTVonline=20154261</v>
      </c>
    </row>
    <row r="3422" spans="1:13" x14ac:dyDescent="0.15">
      <c r="A3422" s="1" t="s">
        <v>934</v>
      </c>
      <c r="B3422" s="1" t="s">
        <v>369</v>
      </c>
      <c r="C3422" s="1" t="s">
        <v>370</v>
      </c>
      <c r="D3422" s="1" t="s">
        <v>826</v>
      </c>
      <c r="E3422" s="1" t="s">
        <v>1327</v>
      </c>
      <c r="F3422" s="3">
        <v>0</v>
      </c>
      <c r="I3422" s="24" t="s">
        <v>3288</v>
      </c>
      <c r="J3422" s="24" t="s">
        <v>2920</v>
      </c>
      <c r="K3422" s="3">
        <v>21</v>
      </c>
      <c r="L3422" s="3" t="s">
        <v>7109</v>
      </c>
      <c r="M3422" s="3" t="str">
        <f>HYPERLINK("http://ictvonline.org/taxonomyHistory.asp?taxnode_id=20154262","ICTVonline=20154262")</f>
        <v>ICTVonline=20154262</v>
      </c>
    </row>
    <row r="3423" spans="1:13" x14ac:dyDescent="0.15">
      <c r="A3423" s="1" t="s">
        <v>934</v>
      </c>
      <c r="B3423" s="1" t="s">
        <v>369</v>
      </c>
      <c r="C3423" s="1" t="s">
        <v>370</v>
      </c>
      <c r="D3423" s="1" t="s">
        <v>826</v>
      </c>
      <c r="E3423" s="1" t="s">
        <v>1328</v>
      </c>
      <c r="F3423" s="3">
        <v>0</v>
      </c>
      <c r="I3423" s="24" t="s">
        <v>3288</v>
      </c>
      <c r="J3423" s="24" t="s">
        <v>2924</v>
      </c>
      <c r="K3423" s="3">
        <v>23</v>
      </c>
      <c r="L3423" s="3" t="s">
        <v>2933</v>
      </c>
      <c r="M3423" s="3" t="str">
        <f>HYPERLINK("http://ictvonline.org/taxonomyHistory.asp?taxnode_id=20154263","ICTVonline=20154263")</f>
        <v>ICTVonline=20154263</v>
      </c>
    </row>
    <row r="3424" spans="1:13" x14ac:dyDescent="0.15">
      <c r="A3424" s="1" t="s">
        <v>934</v>
      </c>
      <c r="B3424" s="1" t="s">
        <v>369</v>
      </c>
      <c r="C3424" s="1" t="s">
        <v>370</v>
      </c>
      <c r="D3424" s="1" t="s">
        <v>826</v>
      </c>
      <c r="E3424" s="1" t="s">
        <v>1329</v>
      </c>
      <c r="F3424" s="3">
        <v>0</v>
      </c>
      <c r="I3424" s="24" t="s">
        <v>3288</v>
      </c>
      <c r="J3424" s="24" t="s">
        <v>2920</v>
      </c>
      <c r="K3424" s="3">
        <v>21</v>
      </c>
      <c r="L3424" s="3" t="s">
        <v>7109</v>
      </c>
      <c r="M3424" s="3" t="str">
        <f>HYPERLINK("http://ictvonline.org/taxonomyHistory.asp?taxnode_id=20154264","ICTVonline=20154264")</f>
        <v>ICTVonline=20154264</v>
      </c>
    </row>
    <row r="3425" spans="1:13" x14ac:dyDescent="0.15">
      <c r="A3425" s="1" t="s">
        <v>934</v>
      </c>
      <c r="B3425" s="1" t="s">
        <v>369</v>
      </c>
      <c r="C3425" s="1" t="s">
        <v>370</v>
      </c>
      <c r="D3425" s="1" t="s">
        <v>826</v>
      </c>
      <c r="E3425" s="1" t="s">
        <v>1330</v>
      </c>
      <c r="F3425" s="3">
        <v>0</v>
      </c>
      <c r="I3425" s="24" t="s">
        <v>3288</v>
      </c>
      <c r="J3425" s="24" t="s">
        <v>2920</v>
      </c>
      <c r="K3425" s="3">
        <v>21</v>
      </c>
      <c r="L3425" s="3" t="s">
        <v>7109</v>
      </c>
      <c r="M3425" s="3" t="str">
        <f>HYPERLINK("http://ictvonline.org/taxonomyHistory.asp?taxnode_id=20154265","ICTVonline=20154265")</f>
        <v>ICTVonline=20154265</v>
      </c>
    </row>
    <row r="3426" spans="1:13" x14ac:dyDescent="0.15">
      <c r="A3426" s="1" t="s">
        <v>934</v>
      </c>
      <c r="B3426" s="1" t="s">
        <v>369</v>
      </c>
      <c r="C3426" s="1" t="s">
        <v>370</v>
      </c>
      <c r="D3426" s="1" t="s">
        <v>826</v>
      </c>
      <c r="E3426" s="1" t="s">
        <v>759</v>
      </c>
      <c r="F3426" s="3">
        <v>0</v>
      </c>
      <c r="I3426" s="24" t="s">
        <v>3288</v>
      </c>
      <c r="J3426" s="24" t="s">
        <v>2920</v>
      </c>
      <c r="K3426" s="3">
        <v>21</v>
      </c>
      <c r="L3426" s="3" t="s">
        <v>7109</v>
      </c>
      <c r="M3426" s="3" t="str">
        <f>HYPERLINK("http://ictvonline.org/taxonomyHistory.asp?taxnode_id=20154266","ICTVonline=20154266")</f>
        <v>ICTVonline=20154266</v>
      </c>
    </row>
    <row r="3427" spans="1:13" x14ac:dyDescent="0.15">
      <c r="A3427" s="1" t="s">
        <v>934</v>
      </c>
      <c r="B3427" s="1" t="s">
        <v>369</v>
      </c>
      <c r="C3427" s="1" t="s">
        <v>370</v>
      </c>
      <c r="D3427" s="1" t="s">
        <v>826</v>
      </c>
      <c r="E3427" s="1" t="s">
        <v>1241</v>
      </c>
      <c r="F3427" s="3">
        <v>0</v>
      </c>
      <c r="I3427" s="24" t="s">
        <v>3288</v>
      </c>
      <c r="J3427" s="24" t="s">
        <v>2920</v>
      </c>
      <c r="K3427" s="3">
        <v>21</v>
      </c>
      <c r="L3427" s="3" t="s">
        <v>7109</v>
      </c>
      <c r="M3427" s="3" t="str">
        <f>HYPERLINK("http://ictvonline.org/taxonomyHistory.asp?taxnode_id=20154267","ICTVonline=20154267")</f>
        <v>ICTVonline=20154267</v>
      </c>
    </row>
    <row r="3428" spans="1:13" x14ac:dyDescent="0.15">
      <c r="A3428" s="1" t="s">
        <v>934</v>
      </c>
      <c r="B3428" s="1" t="s">
        <v>369</v>
      </c>
      <c r="C3428" s="1" t="s">
        <v>370</v>
      </c>
      <c r="D3428" s="1" t="s">
        <v>826</v>
      </c>
      <c r="E3428" s="1" t="s">
        <v>1242</v>
      </c>
      <c r="F3428" s="3">
        <v>1</v>
      </c>
      <c r="I3428" s="24" t="s">
        <v>3288</v>
      </c>
      <c r="J3428" s="24" t="s">
        <v>2920</v>
      </c>
      <c r="K3428" s="3">
        <v>21</v>
      </c>
      <c r="L3428" s="3" t="s">
        <v>7109</v>
      </c>
      <c r="M3428" s="3" t="str">
        <f>HYPERLINK("http://ictvonline.org/taxonomyHistory.asp?taxnode_id=20154268","ICTVonline=20154268")</f>
        <v>ICTVonline=20154268</v>
      </c>
    </row>
    <row r="3429" spans="1:13" x14ac:dyDescent="0.15">
      <c r="A3429" s="1" t="s">
        <v>934</v>
      </c>
      <c r="B3429" s="1" t="s">
        <v>369</v>
      </c>
      <c r="C3429" s="1" t="s">
        <v>370</v>
      </c>
      <c r="D3429" s="1" t="s">
        <v>826</v>
      </c>
      <c r="E3429" s="1" t="s">
        <v>1243</v>
      </c>
      <c r="F3429" s="3">
        <v>0</v>
      </c>
      <c r="I3429" s="24" t="s">
        <v>3288</v>
      </c>
      <c r="J3429" s="24" t="s">
        <v>2924</v>
      </c>
      <c r="K3429" s="3">
        <v>23</v>
      </c>
      <c r="L3429" s="3" t="s">
        <v>2933</v>
      </c>
      <c r="M3429" s="3" t="str">
        <f>HYPERLINK("http://ictvonline.org/taxonomyHistory.asp?taxnode_id=20154269","ICTVonline=20154269")</f>
        <v>ICTVonline=20154269</v>
      </c>
    </row>
    <row r="3430" spans="1:13" x14ac:dyDescent="0.15">
      <c r="A3430" s="1" t="s">
        <v>934</v>
      </c>
      <c r="B3430" s="1" t="s">
        <v>369</v>
      </c>
      <c r="C3430" s="1" t="s">
        <v>370</v>
      </c>
      <c r="D3430" s="1" t="s">
        <v>826</v>
      </c>
      <c r="E3430" s="1" t="s">
        <v>1244</v>
      </c>
      <c r="F3430" s="3">
        <v>0</v>
      </c>
      <c r="I3430" s="24" t="s">
        <v>3288</v>
      </c>
      <c r="J3430" s="24" t="s">
        <v>2920</v>
      </c>
      <c r="K3430" s="3">
        <v>21</v>
      </c>
      <c r="L3430" s="3" t="s">
        <v>7109</v>
      </c>
      <c r="M3430" s="3" t="str">
        <f>HYPERLINK("http://ictvonline.org/taxonomyHistory.asp?taxnode_id=20154270","ICTVonline=20154270")</f>
        <v>ICTVonline=20154270</v>
      </c>
    </row>
    <row r="3431" spans="1:13" x14ac:dyDescent="0.15">
      <c r="A3431" s="1" t="s">
        <v>934</v>
      </c>
      <c r="B3431" s="1" t="s">
        <v>369</v>
      </c>
      <c r="C3431" s="1" t="s">
        <v>370</v>
      </c>
      <c r="D3431" s="1" t="s">
        <v>826</v>
      </c>
      <c r="E3431" s="1" t="s">
        <v>1509</v>
      </c>
      <c r="F3431" s="3">
        <v>0</v>
      </c>
      <c r="I3431" s="24" t="s">
        <v>3288</v>
      </c>
      <c r="J3431" s="24" t="s">
        <v>2920</v>
      </c>
      <c r="K3431" s="3">
        <v>21</v>
      </c>
      <c r="L3431" s="3" t="s">
        <v>7109</v>
      </c>
      <c r="M3431" s="3" t="str">
        <f>HYPERLINK("http://ictvonline.org/taxonomyHistory.asp?taxnode_id=20154271","ICTVonline=20154271")</f>
        <v>ICTVonline=20154271</v>
      </c>
    </row>
    <row r="3432" spans="1:13" x14ac:dyDescent="0.15">
      <c r="A3432" s="1" t="s">
        <v>934</v>
      </c>
      <c r="B3432" s="1" t="s">
        <v>369</v>
      </c>
      <c r="C3432" s="1" t="s">
        <v>370</v>
      </c>
      <c r="D3432" s="1" t="s">
        <v>826</v>
      </c>
      <c r="E3432" s="1" t="s">
        <v>1510</v>
      </c>
      <c r="F3432" s="3">
        <v>0</v>
      </c>
      <c r="I3432" s="24" t="s">
        <v>3288</v>
      </c>
      <c r="J3432" s="24" t="s">
        <v>2920</v>
      </c>
      <c r="K3432" s="3">
        <v>21</v>
      </c>
      <c r="L3432" s="3" t="s">
        <v>7109</v>
      </c>
      <c r="M3432" s="3" t="str">
        <f>HYPERLINK("http://ictvonline.org/taxonomyHistory.asp?taxnode_id=20154272","ICTVonline=20154272")</f>
        <v>ICTVonline=20154272</v>
      </c>
    </row>
    <row r="3433" spans="1:13" x14ac:dyDescent="0.15">
      <c r="A3433" s="1" t="s">
        <v>934</v>
      </c>
      <c r="B3433" s="1" t="s">
        <v>369</v>
      </c>
      <c r="C3433" s="1" t="s">
        <v>370</v>
      </c>
      <c r="D3433" s="1" t="s">
        <v>826</v>
      </c>
      <c r="E3433" s="1" t="s">
        <v>1511</v>
      </c>
      <c r="F3433" s="3">
        <v>0</v>
      </c>
      <c r="I3433" s="24" t="s">
        <v>3288</v>
      </c>
      <c r="J3433" s="24" t="s">
        <v>2920</v>
      </c>
      <c r="K3433" s="3">
        <v>21</v>
      </c>
      <c r="L3433" s="3" t="s">
        <v>7109</v>
      </c>
      <c r="M3433" s="3" t="str">
        <f>HYPERLINK("http://ictvonline.org/taxonomyHistory.asp?taxnode_id=20154273","ICTVonline=20154273")</f>
        <v>ICTVonline=20154273</v>
      </c>
    </row>
    <row r="3434" spans="1:13" x14ac:dyDescent="0.15">
      <c r="A3434" s="1" t="s">
        <v>934</v>
      </c>
      <c r="B3434" s="1" t="s">
        <v>369</v>
      </c>
      <c r="C3434" s="1" t="s">
        <v>370</v>
      </c>
      <c r="D3434" s="1" t="s">
        <v>826</v>
      </c>
      <c r="E3434" s="1" t="s">
        <v>1512</v>
      </c>
      <c r="F3434" s="3">
        <v>0</v>
      </c>
      <c r="I3434" s="24" t="s">
        <v>3288</v>
      </c>
      <c r="J3434" s="24" t="s">
        <v>2920</v>
      </c>
      <c r="K3434" s="3">
        <v>21</v>
      </c>
      <c r="L3434" s="3" t="s">
        <v>7109</v>
      </c>
      <c r="M3434" s="3" t="str">
        <f>HYPERLINK("http://ictvonline.org/taxonomyHistory.asp?taxnode_id=20154274","ICTVonline=20154274")</f>
        <v>ICTVonline=20154274</v>
      </c>
    </row>
    <row r="3435" spans="1:13" x14ac:dyDescent="0.15">
      <c r="A3435" s="1" t="s">
        <v>934</v>
      </c>
      <c r="B3435" s="1" t="s">
        <v>369</v>
      </c>
      <c r="C3435" s="1" t="s">
        <v>370</v>
      </c>
      <c r="D3435" s="1" t="s">
        <v>1513</v>
      </c>
      <c r="E3435" s="1" t="s">
        <v>1435</v>
      </c>
      <c r="F3435" s="3">
        <v>0</v>
      </c>
      <c r="I3435" s="24" t="s">
        <v>3288</v>
      </c>
      <c r="J3435" s="24" t="s">
        <v>2920</v>
      </c>
      <c r="K3435" s="3">
        <v>21</v>
      </c>
      <c r="L3435" s="3" t="s">
        <v>7109</v>
      </c>
      <c r="M3435" s="3" t="str">
        <f>HYPERLINK("http://ictvonline.org/taxonomyHistory.asp?taxnode_id=20154276","ICTVonline=20154276")</f>
        <v>ICTVonline=20154276</v>
      </c>
    </row>
    <row r="3436" spans="1:13" x14ac:dyDescent="0.15">
      <c r="A3436" s="1" t="s">
        <v>934</v>
      </c>
      <c r="B3436" s="1" t="s">
        <v>369</v>
      </c>
      <c r="C3436" s="1" t="s">
        <v>370</v>
      </c>
      <c r="D3436" s="1" t="s">
        <v>1513</v>
      </c>
      <c r="E3436" s="1" t="s">
        <v>1251</v>
      </c>
      <c r="F3436" s="3">
        <v>0</v>
      </c>
      <c r="I3436" s="24" t="s">
        <v>3288</v>
      </c>
      <c r="J3436" s="24" t="s">
        <v>2920</v>
      </c>
      <c r="K3436" s="3">
        <v>21</v>
      </c>
      <c r="L3436" s="3" t="s">
        <v>7109</v>
      </c>
      <c r="M3436" s="3" t="str">
        <f>HYPERLINK("http://ictvonline.org/taxonomyHistory.asp?taxnode_id=20154277","ICTVonline=20154277")</f>
        <v>ICTVonline=20154277</v>
      </c>
    </row>
    <row r="3437" spans="1:13" x14ac:dyDescent="0.15">
      <c r="A3437" s="1" t="s">
        <v>934</v>
      </c>
      <c r="B3437" s="1" t="s">
        <v>369</v>
      </c>
      <c r="C3437" s="1" t="s">
        <v>370</v>
      </c>
      <c r="D3437" s="1" t="s">
        <v>1513</v>
      </c>
      <c r="E3437" s="1" t="s">
        <v>1252</v>
      </c>
      <c r="F3437" s="3">
        <v>0</v>
      </c>
      <c r="I3437" s="24" t="s">
        <v>3288</v>
      </c>
      <c r="J3437" s="24" t="s">
        <v>2920</v>
      </c>
      <c r="K3437" s="3">
        <v>21</v>
      </c>
      <c r="L3437" s="3" t="s">
        <v>7109</v>
      </c>
      <c r="M3437" s="3" t="str">
        <f>HYPERLINK("http://ictvonline.org/taxonomyHistory.asp?taxnode_id=20154278","ICTVonline=20154278")</f>
        <v>ICTVonline=20154278</v>
      </c>
    </row>
    <row r="3438" spans="1:13" x14ac:dyDescent="0.15">
      <c r="A3438" s="1" t="s">
        <v>934</v>
      </c>
      <c r="B3438" s="1" t="s">
        <v>369</v>
      </c>
      <c r="C3438" s="1" t="s">
        <v>370</v>
      </c>
      <c r="D3438" s="1" t="s">
        <v>1513</v>
      </c>
      <c r="E3438" s="1" t="s">
        <v>1253</v>
      </c>
      <c r="F3438" s="3">
        <v>0</v>
      </c>
      <c r="I3438" s="24" t="s">
        <v>3288</v>
      </c>
      <c r="J3438" s="24" t="s">
        <v>2931</v>
      </c>
      <c r="K3438" s="3">
        <v>23</v>
      </c>
      <c r="L3438" s="3" t="s">
        <v>2933</v>
      </c>
      <c r="M3438" s="3" t="str">
        <f>HYPERLINK("http://ictvonline.org/taxonomyHistory.asp?taxnode_id=20154279","ICTVonline=20154279")</f>
        <v>ICTVonline=20154279</v>
      </c>
    </row>
    <row r="3439" spans="1:13" x14ac:dyDescent="0.15">
      <c r="A3439" s="1" t="s">
        <v>934</v>
      </c>
      <c r="B3439" s="1" t="s">
        <v>369</v>
      </c>
      <c r="C3439" s="1" t="s">
        <v>370</v>
      </c>
      <c r="D3439" s="1" t="s">
        <v>1513</v>
      </c>
      <c r="E3439" s="1" t="s">
        <v>1254</v>
      </c>
      <c r="F3439" s="3">
        <v>1</v>
      </c>
      <c r="I3439" s="24" t="s">
        <v>3288</v>
      </c>
      <c r="J3439" s="24" t="s">
        <v>2920</v>
      </c>
      <c r="K3439" s="3">
        <v>21</v>
      </c>
      <c r="L3439" s="3" t="s">
        <v>7109</v>
      </c>
      <c r="M3439" s="3" t="str">
        <f>HYPERLINK("http://ictvonline.org/taxonomyHistory.asp?taxnode_id=20154280","ICTVonline=20154280")</f>
        <v>ICTVonline=20154280</v>
      </c>
    </row>
    <row r="3440" spans="1:13" x14ac:dyDescent="0.15">
      <c r="A3440" s="1" t="s">
        <v>934</v>
      </c>
      <c r="B3440" s="1" t="s">
        <v>369</v>
      </c>
      <c r="C3440" s="1" t="s">
        <v>370</v>
      </c>
      <c r="D3440" s="1" t="s">
        <v>1513</v>
      </c>
      <c r="E3440" s="1" t="s">
        <v>1255</v>
      </c>
      <c r="F3440" s="3">
        <v>0</v>
      </c>
      <c r="I3440" s="24" t="s">
        <v>3288</v>
      </c>
      <c r="J3440" s="24" t="s">
        <v>2920</v>
      </c>
      <c r="K3440" s="3">
        <v>21</v>
      </c>
      <c r="L3440" s="3" t="s">
        <v>7109</v>
      </c>
      <c r="M3440" s="3" t="str">
        <f>HYPERLINK("http://ictvonline.org/taxonomyHistory.asp?taxnode_id=20154281","ICTVonline=20154281")</f>
        <v>ICTVonline=20154281</v>
      </c>
    </row>
    <row r="3441" spans="1:13" x14ac:dyDescent="0.15">
      <c r="A3441" s="1" t="s">
        <v>934</v>
      </c>
      <c r="B3441" s="1" t="s">
        <v>369</v>
      </c>
      <c r="C3441" s="1" t="s">
        <v>370</v>
      </c>
      <c r="D3441" s="1" t="s">
        <v>1513</v>
      </c>
      <c r="E3441" s="1" t="s">
        <v>1256</v>
      </c>
      <c r="F3441" s="3">
        <v>0</v>
      </c>
      <c r="I3441" s="24" t="s">
        <v>3288</v>
      </c>
      <c r="J3441" s="24" t="s">
        <v>2920</v>
      </c>
      <c r="K3441" s="3">
        <v>21</v>
      </c>
      <c r="L3441" s="3" t="s">
        <v>7109</v>
      </c>
      <c r="M3441" s="3" t="str">
        <f>HYPERLINK("http://ictvonline.org/taxonomyHistory.asp?taxnode_id=20154282","ICTVonline=20154282")</f>
        <v>ICTVonline=20154282</v>
      </c>
    </row>
    <row r="3442" spans="1:13" x14ac:dyDescent="0.15">
      <c r="A3442" s="1" t="s">
        <v>934</v>
      </c>
      <c r="B3442" s="1" t="s">
        <v>369</v>
      </c>
      <c r="C3442" s="1" t="s">
        <v>370</v>
      </c>
      <c r="D3442" s="1" t="s">
        <v>1513</v>
      </c>
      <c r="E3442" s="1" t="s">
        <v>1257</v>
      </c>
      <c r="F3442" s="3">
        <v>0</v>
      </c>
      <c r="I3442" s="24" t="s">
        <v>3288</v>
      </c>
      <c r="J3442" s="24" t="s">
        <v>2920</v>
      </c>
      <c r="K3442" s="3">
        <v>21</v>
      </c>
      <c r="L3442" s="3" t="s">
        <v>7109</v>
      </c>
      <c r="M3442" s="3" t="str">
        <f>HYPERLINK("http://ictvonline.org/taxonomyHistory.asp?taxnode_id=20154283","ICTVonline=20154283")</f>
        <v>ICTVonline=20154283</v>
      </c>
    </row>
    <row r="3443" spans="1:13" x14ac:dyDescent="0.15">
      <c r="A3443" s="1" t="s">
        <v>934</v>
      </c>
      <c r="B3443" s="1" t="s">
        <v>369</v>
      </c>
      <c r="C3443" s="1" t="s">
        <v>370</v>
      </c>
      <c r="D3443" s="1" t="s">
        <v>1513</v>
      </c>
      <c r="E3443" s="1" t="s">
        <v>1258</v>
      </c>
      <c r="F3443" s="3">
        <v>0</v>
      </c>
      <c r="I3443" s="24" t="s">
        <v>3288</v>
      </c>
      <c r="J3443" s="24" t="s">
        <v>2920</v>
      </c>
      <c r="K3443" s="3">
        <v>21</v>
      </c>
      <c r="L3443" s="3" t="s">
        <v>7109</v>
      </c>
      <c r="M3443" s="3" t="str">
        <f>HYPERLINK("http://ictvonline.org/taxonomyHistory.asp?taxnode_id=20154284","ICTVonline=20154284")</f>
        <v>ICTVonline=20154284</v>
      </c>
    </row>
    <row r="3444" spans="1:13" x14ac:dyDescent="0.15">
      <c r="A3444" s="1" t="s">
        <v>934</v>
      </c>
      <c r="B3444" s="1" t="s">
        <v>369</v>
      </c>
      <c r="C3444" s="1" t="s">
        <v>1259</v>
      </c>
      <c r="D3444" s="1" t="s">
        <v>1260</v>
      </c>
      <c r="E3444" s="1" t="s">
        <v>1436</v>
      </c>
      <c r="F3444" s="3">
        <v>0</v>
      </c>
      <c r="I3444" s="24" t="s">
        <v>3288</v>
      </c>
      <c r="J3444" s="24" t="s">
        <v>2919</v>
      </c>
      <c r="K3444" s="3">
        <v>23</v>
      </c>
      <c r="L3444" s="3" t="s">
        <v>2933</v>
      </c>
      <c r="M3444" s="3" t="str">
        <f>HYPERLINK("http://ictvonline.org/taxonomyHistory.asp?taxnode_id=20154287","ICTVonline=20154287")</f>
        <v>ICTVonline=20154287</v>
      </c>
    </row>
    <row r="3445" spans="1:13" x14ac:dyDescent="0.15">
      <c r="A3445" s="1" t="s">
        <v>934</v>
      </c>
      <c r="B3445" s="1" t="s">
        <v>369</v>
      </c>
      <c r="C3445" s="1" t="s">
        <v>1259</v>
      </c>
      <c r="D3445" s="1" t="s">
        <v>1260</v>
      </c>
      <c r="E3445" s="1" t="s">
        <v>1437</v>
      </c>
      <c r="F3445" s="3">
        <v>0</v>
      </c>
      <c r="I3445" s="24" t="s">
        <v>3288</v>
      </c>
      <c r="J3445" s="24" t="s">
        <v>2920</v>
      </c>
      <c r="K3445" s="3">
        <v>21</v>
      </c>
      <c r="L3445" s="3" t="s">
        <v>7109</v>
      </c>
      <c r="M3445" s="3" t="str">
        <f>HYPERLINK("http://ictvonline.org/taxonomyHistory.asp?taxnode_id=20154288","ICTVonline=20154288")</f>
        <v>ICTVonline=20154288</v>
      </c>
    </row>
    <row r="3446" spans="1:13" x14ac:dyDescent="0.15">
      <c r="A3446" s="1" t="s">
        <v>934</v>
      </c>
      <c r="B3446" s="1" t="s">
        <v>369</v>
      </c>
      <c r="C3446" s="1" t="s">
        <v>1259</v>
      </c>
      <c r="D3446" s="1" t="s">
        <v>1260</v>
      </c>
      <c r="E3446" s="1" t="s">
        <v>1438</v>
      </c>
      <c r="F3446" s="3">
        <v>0</v>
      </c>
      <c r="I3446" s="24" t="s">
        <v>3288</v>
      </c>
      <c r="J3446" s="24" t="s">
        <v>2919</v>
      </c>
      <c r="K3446" s="3">
        <v>23</v>
      </c>
      <c r="L3446" s="3" t="s">
        <v>2933</v>
      </c>
      <c r="M3446" s="3" t="str">
        <f>HYPERLINK("http://ictvonline.org/taxonomyHistory.asp?taxnode_id=20154289","ICTVonline=20154289")</f>
        <v>ICTVonline=20154289</v>
      </c>
    </row>
    <row r="3447" spans="1:13" x14ac:dyDescent="0.15">
      <c r="A3447" s="1" t="s">
        <v>934</v>
      </c>
      <c r="B3447" s="1" t="s">
        <v>369</v>
      </c>
      <c r="C3447" s="1" t="s">
        <v>1259</v>
      </c>
      <c r="D3447" s="1" t="s">
        <v>1260</v>
      </c>
      <c r="E3447" s="1" t="s">
        <v>1439</v>
      </c>
      <c r="F3447" s="3">
        <v>0</v>
      </c>
      <c r="I3447" s="24" t="s">
        <v>3288</v>
      </c>
      <c r="J3447" s="24" t="s">
        <v>2920</v>
      </c>
      <c r="K3447" s="3">
        <v>21</v>
      </c>
      <c r="L3447" s="3" t="s">
        <v>7109</v>
      </c>
      <c r="M3447" s="3" t="str">
        <f>HYPERLINK("http://ictvonline.org/taxonomyHistory.asp?taxnode_id=20154290","ICTVonline=20154290")</f>
        <v>ICTVonline=20154290</v>
      </c>
    </row>
    <row r="3448" spans="1:13" x14ac:dyDescent="0.15">
      <c r="A3448" s="1" t="s">
        <v>934</v>
      </c>
      <c r="B3448" s="1" t="s">
        <v>369</v>
      </c>
      <c r="C3448" s="1" t="s">
        <v>1259</v>
      </c>
      <c r="D3448" s="1" t="s">
        <v>1260</v>
      </c>
      <c r="E3448" s="1" t="s">
        <v>1343</v>
      </c>
      <c r="F3448" s="3">
        <v>0</v>
      </c>
      <c r="I3448" s="24" t="s">
        <v>3288</v>
      </c>
      <c r="J3448" s="24" t="s">
        <v>2919</v>
      </c>
      <c r="K3448" s="3">
        <v>23</v>
      </c>
      <c r="L3448" s="3" t="s">
        <v>2933</v>
      </c>
      <c r="M3448" s="3" t="str">
        <f>HYPERLINK("http://ictvonline.org/taxonomyHistory.asp?taxnode_id=20154291","ICTVonline=20154291")</f>
        <v>ICTVonline=20154291</v>
      </c>
    </row>
    <row r="3449" spans="1:13" x14ac:dyDescent="0.15">
      <c r="A3449" s="1" t="s">
        <v>934</v>
      </c>
      <c r="B3449" s="1" t="s">
        <v>369</v>
      </c>
      <c r="C3449" s="1" t="s">
        <v>1259</v>
      </c>
      <c r="D3449" s="1" t="s">
        <v>1260</v>
      </c>
      <c r="E3449" s="1" t="s">
        <v>1344</v>
      </c>
      <c r="F3449" s="3">
        <v>1</v>
      </c>
      <c r="I3449" s="24" t="s">
        <v>3288</v>
      </c>
      <c r="J3449" s="24" t="s">
        <v>2947</v>
      </c>
      <c r="K3449" s="3">
        <v>21</v>
      </c>
      <c r="L3449" s="3" t="s">
        <v>7109</v>
      </c>
      <c r="M3449" s="3" t="str">
        <f>HYPERLINK("http://ictvonline.org/taxonomyHistory.asp?taxnode_id=20154292","ICTVonline=20154292")</f>
        <v>ICTVonline=20154292</v>
      </c>
    </row>
    <row r="3450" spans="1:13" x14ac:dyDescent="0.15">
      <c r="A3450" s="1" t="s">
        <v>934</v>
      </c>
      <c r="B3450" s="1" t="s">
        <v>6395</v>
      </c>
      <c r="D3450" s="1" t="s">
        <v>6396</v>
      </c>
      <c r="E3450" s="1" t="s">
        <v>6397</v>
      </c>
      <c r="F3450" s="3">
        <v>1</v>
      </c>
      <c r="G3450" s="24" t="s">
        <v>6398</v>
      </c>
      <c r="H3450" s="24" t="s">
        <v>6399</v>
      </c>
      <c r="I3450" s="24" t="s">
        <v>3265</v>
      </c>
      <c r="J3450" s="24" t="s">
        <v>2919</v>
      </c>
      <c r="K3450" s="3">
        <v>30</v>
      </c>
      <c r="L3450" s="3" t="s">
        <v>7110</v>
      </c>
      <c r="M3450" s="3" t="str">
        <f>HYPERLINK("http://ictvonline.org/taxonomyHistory.asp?taxnode_id=20154619","ICTVonline=20154619")</f>
        <v>ICTVonline=20154619</v>
      </c>
    </row>
    <row r="3451" spans="1:13" x14ac:dyDescent="0.15">
      <c r="A3451" s="1" t="s">
        <v>934</v>
      </c>
      <c r="B3451" s="1" t="s">
        <v>2905</v>
      </c>
      <c r="D3451" s="1" t="s">
        <v>2906</v>
      </c>
      <c r="E3451" s="1" t="s">
        <v>2907</v>
      </c>
      <c r="F3451" s="3">
        <v>0</v>
      </c>
      <c r="G3451" s="24" t="s">
        <v>3324</v>
      </c>
      <c r="I3451" s="24" t="s">
        <v>2965</v>
      </c>
      <c r="J3451" s="24" t="s">
        <v>2919</v>
      </c>
      <c r="K3451" s="3">
        <v>29</v>
      </c>
      <c r="L3451" s="3" t="s">
        <v>7111</v>
      </c>
      <c r="M3451" s="3" t="str">
        <f>HYPERLINK("http://ictvonline.org/taxonomyHistory.asp?taxnode_id=20154296","ICTVonline=20154296")</f>
        <v>ICTVonline=20154296</v>
      </c>
    </row>
    <row r="3452" spans="1:13" x14ac:dyDescent="0.15">
      <c r="A3452" s="1" t="s">
        <v>934</v>
      </c>
      <c r="B3452" s="1" t="s">
        <v>2905</v>
      </c>
      <c r="D3452" s="1" t="s">
        <v>2906</v>
      </c>
      <c r="E3452" s="1" t="s">
        <v>2950</v>
      </c>
      <c r="F3452" s="3">
        <v>0</v>
      </c>
      <c r="G3452" s="24" t="s">
        <v>3325</v>
      </c>
      <c r="I3452" s="24" t="s">
        <v>2965</v>
      </c>
      <c r="J3452" s="24" t="s">
        <v>2919</v>
      </c>
      <c r="K3452" s="3">
        <v>29</v>
      </c>
      <c r="L3452" s="3" t="s">
        <v>7111</v>
      </c>
      <c r="M3452" s="3" t="str">
        <f>HYPERLINK("http://ictvonline.org/taxonomyHistory.asp?taxnode_id=20154297","ICTVonline=20154297")</f>
        <v>ICTVonline=20154297</v>
      </c>
    </row>
    <row r="3453" spans="1:13" x14ac:dyDescent="0.15">
      <c r="A3453" s="1" t="s">
        <v>934</v>
      </c>
      <c r="B3453" s="1" t="s">
        <v>2905</v>
      </c>
      <c r="D3453" s="1" t="s">
        <v>2906</v>
      </c>
      <c r="E3453" s="1" t="s">
        <v>2951</v>
      </c>
      <c r="F3453" s="3">
        <v>1</v>
      </c>
      <c r="G3453" s="24" t="s">
        <v>3326</v>
      </c>
      <c r="I3453" s="24" t="s">
        <v>2965</v>
      </c>
      <c r="J3453" s="24" t="s">
        <v>2919</v>
      </c>
      <c r="K3453" s="3">
        <v>29</v>
      </c>
      <c r="L3453" s="3" t="s">
        <v>7111</v>
      </c>
      <c r="M3453" s="3" t="str">
        <f>HYPERLINK("http://ictvonline.org/taxonomyHistory.asp?taxnode_id=20154298","ICTVonline=20154298")</f>
        <v>ICTVonline=20154298</v>
      </c>
    </row>
    <row r="3454" spans="1:13" x14ac:dyDescent="0.15">
      <c r="A3454" s="1" t="s">
        <v>934</v>
      </c>
      <c r="B3454" s="1" t="s">
        <v>2905</v>
      </c>
      <c r="D3454" s="1" t="s">
        <v>2908</v>
      </c>
      <c r="E3454" s="1" t="s">
        <v>2952</v>
      </c>
      <c r="F3454" s="3">
        <v>1</v>
      </c>
      <c r="G3454" s="24" t="s">
        <v>3327</v>
      </c>
      <c r="I3454" s="24" t="s">
        <v>2965</v>
      </c>
      <c r="J3454" s="24" t="s">
        <v>2919</v>
      </c>
      <c r="K3454" s="3">
        <v>29</v>
      </c>
      <c r="L3454" s="3" t="s">
        <v>7111</v>
      </c>
      <c r="M3454" s="3" t="str">
        <f>HYPERLINK("http://ictvonline.org/taxonomyHistory.asp?taxnode_id=20154300","ICTVonline=20154300")</f>
        <v>ICTVonline=20154300</v>
      </c>
    </row>
    <row r="3455" spans="1:13" x14ac:dyDescent="0.15">
      <c r="A3455" s="1" t="s">
        <v>934</v>
      </c>
      <c r="B3455" s="1" t="s">
        <v>2905</v>
      </c>
      <c r="D3455" s="1" t="s">
        <v>2909</v>
      </c>
      <c r="E3455" s="1" t="s">
        <v>6400</v>
      </c>
      <c r="F3455" s="3">
        <v>0</v>
      </c>
      <c r="G3455" s="24" t="s">
        <v>3329</v>
      </c>
      <c r="I3455" s="24" t="s">
        <v>2965</v>
      </c>
      <c r="J3455" s="24" t="s">
        <v>2924</v>
      </c>
      <c r="K3455" s="3">
        <v>30</v>
      </c>
      <c r="L3455" s="3" t="s">
        <v>6745</v>
      </c>
      <c r="M3455" s="3" t="str">
        <f>HYPERLINK("http://ictvonline.org/taxonomyHistory.asp?taxnode_id=20154303","ICTVonline=20154303")</f>
        <v>ICTVonline=20154303</v>
      </c>
    </row>
    <row r="3456" spans="1:13" x14ac:dyDescent="0.15">
      <c r="A3456" s="1" t="s">
        <v>934</v>
      </c>
      <c r="B3456" s="1" t="s">
        <v>2905</v>
      </c>
      <c r="D3456" s="1" t="s">
        <v>2909</v>
      </c>
      <c r="E3456" s="1" t="s">
        <v>6401</v>
      </c>
      <c r="F3456" s="3">
        <v>1</v>
      </c>
      <c r="G3456" s="24" t="s">
        <v>3328</v>
      </c>
      <c r="I3456" s="24" t="s">
        <v>2965</v>
      </c>
      <c r="J3456" s="24" t="s">
        <v>2924</v>
      </c>
      <c r="K3456" s="3">
        <v>30</v>
      </c>
      <c r="L3456" s="3" t="s">
        <v>6745</v>
      </c>
      <c r="M3456" s="3" t="str">
        <f>HYPERLINK("http://ictvonline.org/taxonomyHistory.asp?taxnode_id=20154302","ICTVonline=20154302")</f>
        <v>ICTVonline=20154302</v>
      </c>
    </row>
    <row r="3457" spans="1:13" x14ac:dyDescent="0.15">
      <c r="A3457" s="1" t="s">
        <v>934</v>
      </c>
      <c r="B3457" s="1" t="s">
        <v>2767</v>
      </c>
      <c r="D3457" s="1" t="s">
        <v>2768</v>
      </c>
      <c r="E3457" s="1" t="s">
        <v>2769</v>
      </c>
      <c r="F3457" s="3">
        <v>1</v>
      </c>
      <c r="G3457" s="24" t="s">
        <v>6402</v>
      </c>
      <c r="I3457" s="24" t="s">
        <v>5634</v>
      </c>
      <c r="J3457" s="24" t="s">
        <v>2919</v>
      </c>
      <c r="K3457" s="3">
        <v>28</v>
      </c>
      <c r="L3457" s="3" t="s">
        <v>7112</v>
      </c>
      <c r="M3457" s="3" t="str">
        <f>HYPERLINK("http://ictvonline.org/taxonomyHistory.asp?taxnode_id=20154307","ICTVonline=20154307")</f>
        <v>ICTVonline=20154307</v>
      </c>
    </row>
    <row r="3458" spans="1:13" x14ac:dyDescent="0.15">
      <c r="A3458" s="1" t="s">
        <v>934</v>
      </c>
      <c r="B3458" s="1" t="s">
        <v>1688</v>
      </c>
      <c r="D3458" s="1" t="s">
        <v>1689</v>
      </c>
      <c r="E3458" s="1" t="s">
        <v>6403</v>
      </c>
      <c r="F3458" s="3">
        <v>0</v>
      </c>
      <c r="I3458" s="24" t="s">
        <v>2965</v>
      </c>
      <c r="J3458" s="24" t="s">
        <v>2924</v>
      </c>
      <c r="K3458" s="3">
        <v>30</v>
      </c>
      <c r="L3458" s="3" t="s">
        <v>6745</v>
      </c>
      <c r="M3458" s="3" t="str">
        <f>HYPERLINK("http://ictvonline.org/taxonomyHistory.asp?taxnode_id=20154311","ICTVonline=20154311")</f>
        <v>ICTVonline=20154311</v>
      </c>
    </row>
    <row r="3459" spans="1:13" x14ac:dyDescent="0.15">
      <c r="A3459" s="1" t="s">
        <v>934</v>
      </c>
      <c r="B3459" s="1" t="s">
        <v>1688</v>
      </c>
      <c r="D3459" s="1" t="s">
        <v>1689</v>
      </c>
      <c r="E3459" s="1" t="s">
        <v>6404</v>
      </c>
      <c r="F3459" s="3">
        <v>0</v>
      </c>
      <c r="I3459" s="24" t="s">
        <v>2965</v>
      </c>
      <c r="J3459" s="24" t="s">
        <v>2924</v>
      </c>
      <c r="K3459" s="3">
        <v>30</v>
      </c>
      <c r="L3459" s="3" t="s">
        <v>6745</v>
      </c>
      <c r="M3459" s="3" t="str">
        <f>HYPERLINK("http://ictvonline.org/taxonomyHistory.asp?taxnode_id=20154312","ICTVonline=20154312")</f>
        <v>ICTVonline=20154312</v>
      </c>
    </row>
    <row r="3460" spans="1:13" x14ac:dyDescent="0.15">
      <c r="A3460" s="1" t="s">
        <v>934</v>
      </c>
      <c r="B3460" s="1" t="s">
        <v>1688</v>
      </c>
      <c r="D3460" s="1" t="s">
        <v>1689</v>
      </c>
      <c r="E3460" s="1" t="s">
        <v>6405</v>
      </c>
      <c r="F3460" s="3">
        <v>1</v>
      </c>
      <c r="I3460" s="24" t="s">
        <v>2965</v>
      </c>
      <c r="J3460" s="24" t="s">
        <v>2924</v>
      </c>
      <c r="K3460" s="3">
        <v>30</v>
      </c>
      <c r="L3460" s="3" t="s">
        <v>6745</v>
      </c>
      <c r="M3460" s="3" t="str">
        <f>HYPERLINK("http://ictvonline.org/taxonomyHistory.asp?taxnode_id=20154313","ICTVonline=20154313")</f>
        <v>ICTVonline=20154313</v>
      </c>
    </row>
    <row r="3461" spans="1:13" x14ac:dyDescent="0.15">
      <c r="A3461" s="1" t="s">
        <v>934</v>
      </c>
      <c r="B3461" s="1" t="s">
        <v>1688</v>
      </c>
      <c r="D3461" s="1" t="s">
        <v>1689</v>
      </c>
      <c r="E3461" s="1" t="s">
        <v>6406</v>
      </c>
      <c r="F3461" s="3">
        <v>0</v>
      </c>
      <c r="I3461" s="24" t="s">
        <v>2965</v>
      </c>
      <c r="J3461" s="24" t="s">
        <v>2924</v>
      </c>
      <c r="K3461" s="3">
        <v>30</v>
      </c>
      <c r="L3461" s="3" t="s">
        <v>6745</v>
      </c>
      <c r="M3461" s="3" t="str">
        <f>HYPERLINK("http://ictvonline.org/taxonomyHistory.asp?taxnode_id=20154314","ICTVonline=20154314")</f>
        <v>ICTVonline=20154314</v>
      </c>
    </row>
    <row r="3462" spans="1:13" x14ac:dyDescent="0.15">
      <c r="A3462" s="1" t="s">
        <v>934</v>
      </c>
      <c r="B3462" s="1" t="s">
        <v>1688</v>
      </c>
      <c r="D3462" s="1" t="s">
        <v>934</v>
      </c>
      <c r="E3462" s="1" t="s">
        <v>6407</v>
      </c>
      <c r="F3462" s="3">
        <v>0</v>
      </c>
      <c r="I3462" s="24" t="s">
        <v>2965</v>
      </c>
      <c r="J3462" s="24" t="s">
        <v>2924</v>
      </c>
      <c r="K3462" s="3">
        <v>30</v>
      </c>
      <c r="L3462" s="3" t="s">
        <v>6745</v>
      </c>
      <c r="M3462" s="3" t="str">
        <f>HYPERLINK("http://ictvonline.org/taxonomyHistory.asp?taxnode_id=20154316","ICTVonline=20154316")</f>
        <v>ICTVonline=20154316</v>
      </c>
    </row>
    <row r="3463" spans="1:13" x14ac:dyDescent="0.15">
      <c r="A3463" s="1" t="s">
        <v>934</v>
      </c>
      <c r="B3463" s="1" t="s">
        <v>873</v>
      </c>
      <c r="D3463" s="1" t="s">
        <v>874</v>
      </c>
      <c r="E3463" s="1" t="s">
        <v>875</v>
      </c>
      <c r="F3463" s="3">
        <v>0</v>
      </c>
      <c r="I3463" s="24" t="s">
        <v>3265</v>
      </c>
      <c r="J3463" s="24" t="s">
        <v>2920</v>
      </c>
      <c r="K3463" s="3">
        <v>2</v>
      </c>
      <c r="L3463" s="3" t="s">
        <v>2953</v>
      </c>
      <c r="M3463" s="3" t="str">
        <f>HYPERLINK("http://ictvonline.org/taxonomyHistory.asp?taxnode_id=20154320","ICTVonline=20154320")</f>
        <v>ICTVonline=20154320</v>
      </c>
    </row>
    <row r="3464" spans="1:13" x14ac:dyDescent="0.15">
      <c r="A3464" s="1" t="s">
        <v>934</v>
      </c>
      <c r="B3464" s="1" t="s">
        <v>873</v>
      </c>
      <c r="D3464" s="1" t="s">
        <v>874</v>
      </c>
      <c r="E3464" s="1" t="s">
        <v>876</v>
      </c>
      <c r="F3464" s="3">
        <v>0</v>
      </c>
      <c r="I3464" s="24" t="s">
        <v>3265</v>
      </c>
      <c r="J3464" s="24" t="s">
        <v>2920</v>
      </c>
      <c r="K3464" s="3">
        <v>12</v>
      </c>
      <c r="L3464" s="3" t="s">
        <v>2927</v>
      </c>
      <c r="M3464" s="3" t="str">
        <f>HYPERLINK("http://ictvonline.org/taxonomyHistory.asp?taxnode_id=20154321","ICTVonline=20154321")</f>
        <v>ICTVonline=20154321</v>
      </c>
    </row>
    <row r="3465" spans="1:13" x14ac:dyDescent="0.15">
      <c r="A3465" s="1" t="s">
        <v>934</v>
      </c>
      <c r="B3465" s="1" t="s">
        <v>873</v>
      </c>
      <c r="D3465" s="1" t="s">
        <v>874</v>
      </c>
      <c r="E3465" s="1" t="s">
        <v>877</v>
      </c>
      <c r="F3465" s="3">
        <v>0</v>
      </c>
      <c r="I3465" s="24" t="s">
        <v>3265</v>
      </c>
      <c r="J3465" s="24" t="s">
        <v>2919</v>
      </c>
      <c r="K3465" s="3">
        <v>4</v>
      </c>
      <c r="L3465" s="3" t="s">
        <v>2954</v>
      </c>
      <c r="M3465" s="3" t="str">
        <f>HYPERLINK("http://ictvonline.org/taxonomyHistory.asp?taxnode_id=20154322","ICTVonline=20154322")</f>
        <v>ICTVonline=20154322</v>
      </c>
    </row>
    <row r="3466" spans="1:13" x14ac:dyDescent="0.15">
      <c r="A3466" s="1" t="s">
        <v>934</v>
      </c>
      <c r="B3466" s="1" t="s">
        <v>873</v>
      </c>
      <c r="D3466" s="1" t="s">
        <v>874</v>
      </c>
      <c r="E3466" s="1" t="s">
        <v>878</v>
      </c>
      <c r="F3466" s="3">
        <v>0</v>
      </c>
      <c r="I3466" s="24" t="s">
        <v>3265</v>
      </c>
      <c r="J3466" s="24" t="s">
        <v>2919</v>
      </c>
      <c r="K3466" s="3">
        <v>18</v>
      </c>
      <c r="L3466" s="3" t="s">
        <v>2929</v>
      </c>
      <c r="M3466" s="3" t="str">
        <f>HYPERLINK("http://ictvonline.org/taxonomyHistory.asp?taxnode_id=20154323","ICTVonline=20154323")</f>
        <v>ICTVonline=20154323</v>
      </c>
    </row>
    <row r="3467" spans="1:13" x14ac:dyDescent="0.15">
      <c r="A3467" s="1" t="s">
        <v>934</v>
      </c>
      <c r="B3467" s="1" t="s">
        <v>873</v>
      </c>
      <c r="D3467" s="1" t="s">
        <v>874</v>
      </c>
      <c r="E3467" s="1" t="s">
        <v>879</v>
      </c>
      <c r="F3467" s="3">
        <v>0</v>
      </c>
      <c r="I3467" s="24" t="s">
        <v>3265</v>
      </c>
      <c r="J3467" s="24" t="s">
        <v>2920</v>
      </c>
      <c r="K3467" s="3">
        <v>2</v>
      </c>
      <c r="L3467" s="3" t="s">
        <v>2953</v>
      </c>
      <c r="M3467" s="3" t="str">
        <f>HYPERLINK("http://ictvonline.org/taxonomyHistory.asp?taxnode_id=20154324","ICTVonline=20154324")</f>
        <v>ICTVonline=20154324</v>
      </c>
    </row>
    <row r="3468" spans="1:13" x14ac:dyDescent="0.15">
      <c r="A3468" s="1" t="s">
        <v>934</v>
      </c>
      <c r="B3468" s="1" t="s">
        <v>873</v>
      </c>
      <c r="D3468" s="1" t="s">
        <v>874</v>
      </c>
      <c r="E3468" s="1" t="s">
        <v>880</v>
      </c>
      <c r="F3468" s="3">
        <v>0</v>
      </c>
      <c r="I3468" s="24" t="s">
        <v>3265</v>
      </c>
      <c r="J3468" s="24" t="s">
        <v>2920</v>
      </c>
      <c r="K3468" s="3">
        <v>2</v>
      </c>
      <c r="L3468" s="3" t="s">
        <v>2953</v>
      </c>
      <c r="M3468" s="3" t="str">
        <f>HYPERLINK("http://ictvonline.org/taxonomyHistory.asp?taxnode_id=20154325","ICTVonline=20154325")</f>
        <v>ICTVonline=20154325</v>
      </c>
    </row>
    <row r="3469" spans="1:13" x14ac:dyDescent="0.15">
      <c r="A3469" s="1" t="s">
        <v>934</v>
      </c>
      <c r="B3469" s="1" t="s">
        <v>873</v>
      </c>
      <c r="D3469" s="1" t="s">
        <v>874</v>
      </c>
      <c r="E3469" s="1" t="s">
        <v>2770</v>
      </c>
      <c r="F3469" s="3">
        <v>0</v>
      </c>
      <c r="I3469" s="24" t="s">
        <v>3265</v>
      </c>
      <c r="J3469" s="24" t="s">
        <v>2919</v>
      </c>
      <c r="K3469" s="3">
        <v>28</v>
      </c>
      <c r="L3469" s="3" t="s">
        <v>7113</v>
      </c>
      <c r="M3469" s="3" t="str">
        <f>HYPERLINK("http://ictvonline.org/taxonomyHistory.asp?taxnode_id=20154326","ICTVonline=20154326")</f>
        <v>ICTVonline=20154326</v>
      </c>
    </row>
    <row r="3470" spans="1:13" x14ac:dyDescent="0.15">
      <c r="A3470" s="1" t="s">
        <v>934</v>
      </c>
      <c r="B3470" s="1" t="s">
        <v>873</v>
      </c>
      <c r="D3470" s="1" t="s">
        <v>874</v>
      </c>
      <c r="E3470" s="1" t="s">
        <v>881</v>
      </c>
      <c r="F3470" s="3">
        <v>0</v>
      </c>
      <c r="I3470" s="24" t="s">
        <v>3265</v>
      </c>
      <c r="J3470" s="24" t="s">
        <v>2919</v>
      </c>
      <c r="K3470" s="3">
        <v>4</v>
      </c>
      <c r="L3470" s="3" t="s">
        <v>2954</v>
      </c>
      <c r="M3470" s="3" t="str">
        <f>HYPERLINK("http://ictvonline.org/taxonomyHistory.asp?taxnode_id=20154327","ICTVonline=20154327")</f>
        <v>ICTVonline=20154327</v>
      </c>
    </row>
    <row r="3471" spans="1:13" x14ac:dyDescent="0.15">
      <c r="A3471" s="1" t="s">
        <v>934</v>
      </c>
      <c r="B3471" s="1" t="s">
        <v>873</v>
      </c>
      <c r="D3471" s="1" t="s">
        <v>874</v>
      </c>
      <c r="E3471" s="1" t="s">
        <v>882</v>
      </c>
      <c r="F3471" s="3">
        <v>0</v>
      </c>
      <c r="I3471" s="24" t="s">
        <v>3265</v>
      </c>
      <c r="J3471" s="24" t="s">
        <v>2931</v>
      </c>
      <c r="K3471" s="3">
        <v>18</v>
      </c>
      <c r="L3471" s="3" t="s">
        <v>2929</v>
      </c>
      <c r="M3471" s="3" t="str">
        <f>HYPERLINK("http://ictvonline.org/taxonomyHistory.asp?taxnode_id=20154328","ICTVonline=20154328")</f>
        <v>ICTVonline=20154328</v>
      </c>
    </row>
    <row r="3472" spans="1:13" x14ac:dyDescent="0.15">
      <c r="A3472" s="1" t="s">
        <v>934</v>
      </c>
      <c r="B3472" s="1" t="s">
        <v>873</v>
      </c>
      <c r="D3472" s="1" t="s">
        <v>874</v>
      </c>
      <c r="E3472" s="1" t="s">
        <v>883</v>
      </c>
      <c r="F3472" s="3">
        <v>0</v>
      </c>
      <c r="I3472" s="24" t="s">
        <v>3265</v>
      </c>
      <c r="J3472" s="24" t="s">
        <v>2920</v>
      </c>
      <c r="K3472" s="3">
        <v>2</v>
      </c>
      <c r="L3472" s="3" t="s">
        <v>2953</v>
      </c>
      <c r="M3472" s="3" t="str">
        <f>HYPERLINK("http://ictvonline.org/taxonomyHistory.asp?taxnode_id=20154329","ICTVonline=20154329")</f>
        <v>ICTVonline=20154329</v>
      </c>
    </row>
    <row r="3473" spans="1:13" x14ac:dyDescent="0.15">
      <c r="A3473" s="1" t="s">
        <v>934</v>
      </c>
      <c r="B3473" s="1" t="s">
        <v>873</v>
      </c>
      <c r="D3473" s="1" t="s">
        <v>874</v>
      </c>
      <c r="E3473" s="1" t="s">
        <v>884</v>
      </c>
      <c r="F3473" s="3">
        <v>0</v>
      </c>
      <c r="I3473" s="24" t="s">
        <v>3265</v>
      </c>
      <c r="J3473" s="24" t="s">
        <v>2919</v>
      </c>
      <c r="K3473" s="3">
        <v>12</v>
      </c>
      <c r="L3473" s="3" t="s">
        <v>2927</v>
      </c>
      <c r="M3473" s="3" t="str">
        <f>HYPERLINK("http://ictvonline.org/taxonomyHistory.asp?taxnode_id=20154330","ICTVonline=20154330")</f>
        <v>ICTVonline=20154330</v>
      </c>
    </row>
    <row r="3474" spans="1:13" x14ac:dyDescent="0.15">
      <c r="A3474" s="1" t="s">
        <v>934</v>
      </c>
      <c r="B3474" s="1" t="s">
        <v>873</v>
      </c>
      <c r="D3474" s="1" t="s">
        <v>874</v>
      </c>
      <c r="E3474" s="1" t="s">
        <v>2427</v>
      </c>
      <c r="F3474" s="3">
        <v>0</v>
      </c>
      <c r="I3474" s="24" t="s">
        <v>3265</v>
      </c>
      <c r="J3474" s="24" t="s">
        <v>2919</v>
      </c>
      <c r="K3474" s="3">
        <v>27</v>
      </c>
      <c r="L3474" s="3" t="s">
        <v>7114</v>
      </c>
      <c r="M3474" s="3" t="str">
        <f>HYPERLINK("http://ictvonline.org/taxonomyHistory.asp?taxnode_id=20154331","ICTVonline=20154331")</f>
        <v>ICTVonline=20154331</v>
      </c>
    </row>
    <row r="3475" spans="1:13" x14ac:dyDescent="0.15">
      <c r="A3475" s="1" t="s">
        <v>934</v>
      </c>
      <c r="B3475" s="1" t="s">
        <v>873</v>
      </c>
      <c r="D3475" s="1" t="s">
        <v>874</v>
      </c>
      <c r="E3475" s="1" t="s">
        <v>885</v>
      </c>
      <c r="F3475" s="3">
        <v>0</v>
      </c>
      <c r="I3475" s="24" t="s">
        <v>3265</v>
      </c>
      <c r="J3475" s="24" t="s">
        <v>2920</v>
      </c>
      <c r="K3475" s="3">
        <v>2</v>
      </c>
      <c r="L3475" s="3" t="s">
        <v>2953</v>
      </c>
      <c r="M3475" s="3" t="str">
        <f>HYPERLINK("http://ictvonline.org/taxonomyHistory.asp?taxnode_id=20154332","ICTVonline=20154332")</f>
        <v>ICTVonline=20154332</v>
      </c>
    </row>
    <row r="3476" spans="1:13" x14ac:dyDescent="0.15">
      <c r="A3476" s="1" t="s">
        <v>934</v>
      </c>
      <c r="B3476" s="1" t="s">
        <v>873</v>
      </c>
      <c r="D3476" s="1" t="s">
        <v>874</v>
      </c>
      <c r="E3476" s="1" t="s">
        <v>886</v>
      </c>
      <c r="F3476" s="3">
        <v>0</v>
      </c>
      <c r="I3476" s="24" t="s">
        <v>3265</v>
      </c>
      <c r="J3476" s="24" t="s">
        <v>2924</v>
      </c>
      <c r="K3476" s="3">
        <v>6</v>
      </c>
      <c r="L3476" s="3" t="s">
        <v>2949</v>
      </c>
      <c r="M3476" s="3" t="str">
        <f>HYPERLINK("http://ictvonline.org/taxonomyHistory.asp?taxnode_id=20154333","ICTVonline=20154333")</f>
        <v>ICTVonline=20154333</v>
      </c>
    </row>
    <row r="3477" spans="1:13" x14ac:dyDescent="0.15">
      <c r="A3477" s="1" t="s">
        <v>934</v>
      </c>
      <c r="B3477" s="1" t="s">
        <v>873</v>
      </c>
      <c r="D3477" s="1" t="s">
        <v>874</v>
      </c>
      <c r="E3477" s="1" t="s">
        <v>3339</v>
      </c>
      <c r="F3477" s="3">
        <v>0</v>
      </c>
      <c r="I3477" s="24" t="s">
        <v>3265</v>
      </c>
      <c r="J3477" s="24" t="s">
        <v>2919</v>
      </c>
      <c r="K3477" s="3">
        <v>23</v>
      </c>
      <c r="L3477" s="3" t="s">
        <v>2933</v>
      </c>
      <c r="M3477" s="3" t="str">
        <f>HYPERLINK("http://ictvonline.org/taxonomyHistory.asp?taxnode_id=20154334","ICTVonline=20154334")</f>
        <v>ICTVonline=20154334</v>
      </c>
    </row>
    <row r="3478" spans="1:13" x14ac:dyDescent="0.15">
      <c r="A3478" s="1" t="s">
        <v>934</v>
      </c>
      <c r="B3478" s="1" t="s">
        <v>873</v>
      </c>
      <c r="D3478" s="1" t="s">
        <v>874</v>
      </c>
      <c r="E3478" s="1" t="s">
        <v>887</v>
      </c>
      <c r="F3478" s="3">
        <v>0</v>
      </c>
      <c r="I3478" s="24" t="s">
        <v>3265</v>
      </c>
      <c r="J3478" s="24" t="s">
        <v>2920</v>
      </c>
      <c r="K3478" s="3">
        <v>2</v>
      </c>
      <c r="L3478" s="3" t="s">
        <v>2953</v>
      </c>
      <c r="M3478" s="3" t="str">
        <f>HYPERLINK("http://ictvonline.org/taxonomyHistory.asp?taxnode_id=20154335","ICTVonline=20154335")</f>
        <v>ICTVonline=20154335</v>
      </c>
    </row>
    <row r="3479" spans="1:13" x14ac:dyDescent="0.15">
      <c r="A3479" s="1" t="s">
        <v>934</v>
      </c>
      <c r="B3479" s="1" t="s">
        <v>873</v>
      </c>
      <c r="D3479" s="1" t="s">
        <v>874</v>
      </c>
      <c r="E3479" s="1" t="s">
        <v>888</v>
      </c>
      <c r="F3479" s="3">
        <v>0</v>
      </c>
      <c r="I3479" s="24" t="s">
        <v>3265</v>
      </c>
      <c r="J3479" s="24" t="s">
        <v>2919</v>
      </c>
      <c r="K3479" s="3">
        <v>4</v>
      </c>
      <c r="L3479" s="3" t="s">
        <v>2954</v>
      </c>
      <c r="M3479" s="3" t="str">
        <f>HYPERLINK("http://ictvonline.org/taxonomyHistory.asp?taxnode_id=20154336","ICTVonline=20154336")</f>
        <v>ICTVonline=20154336</v>
      </c>
    </row>
    <row r="3480" spans="1:13" x14ac:dyDescent="0.15">
      <c r="A3480" s="1" t="s">
        <v>934</v>
      </c>
      <c r="B3480" s="1" t="s">
        <v>873</v>
      </c>
      <c r="D3480" s="1" t="s">
        <v>874</v>
      </c>
      <c r="E3480" s="1" t="s">
        <v>1927</v>
      </c>
      <c r="F3480" s="3">
        <v>0</v>
      </c>
      <c r="I3480" s="24" t="s">
        <v>3265</v>
      </c>
      <c r="J3480" s="24" t="s">
        <v>2920</v>
      </c>
      <c r="K3480" s="3">
        <v>2</v>
      </c>
      <c r="L3480" s="3" t="s">
        <v>2953</v>
      </c>
      <c r="M3480" s="3" t="str">
        <f>HYPERLINK("http://ictvonline.org/taxonomyHistory.asp?taxnode_id=20154337","ICTVonline=20154337")</f>
        <v>ICTVonline=20154337</v>
      </c>
    </row>
    <row r="3481" spans="1:13" x14ac:dyDescent="0.15">
      <c r="A3481" s="1" t="s">
        <v>934</v>
      </c>
      <c r="B3481" s="1" t="s">
        <v>873</v>
      </c>
      <c r="D3481" s="1" t="s">
        <v>874</v>
      </c>
      <c r="E3481" s="1" t="s">
        <v>889</v>
      </c>
      <c r="F3481" s="3">
        <v>0</v>
      </c>
      <c r="I3481" s="24" t="s">
        <v>3265</v>
      </c>
      <c r="J3481" s="24" t="s">
        <v>2920</v>
      </c>
      <c r="K3481" s="3">
        <v>2</v>
      </c>
      <c r="L3481" s="3" t="s">
        <v>2953</v>
      </c>
      <c r="M3481" s="3" t="str">
        <f>HYPERLINK("http://ictvonline.org/taxonomyHistory.asp?taxnode_id=20154338","ICTVonline=20154338")</f>
        <v>ICTVonline=20154338</v>
      </c>
    </row>
    <row r="3482" spans="1:13" x14ac:dyDescent="0.15">
      <c r="A3482" s="1" t="s">
        <v>934</v>
      </c>
      <c r="B3482" s="1" t="s">
        <v>873</v>
      </c>
      <c r="D3482" s="1" t="s">
        <v>874</v>
      </c>
      <c r="E3482" s="1" t="s">
        <v>1366</v>
      </c>
      <c r="F3482" s="3">
        <v>0</v>
      </c>
      <c r="I3482" s="24" t="s">
        <v>3265</v>
      </c>
      <c r="J3482" s="24" t="s">
        <v>2924</v>
      </c>
      <c r="K3482" s="3">
        <v>23</v>
      </c>
      <c r="L3482" s="3" t="s">
        <v>2933</v>
      </c>
      <c r="M3482" s="3" t="str">
        <f>HYPERLINK("http://ictvonline.org/taxonomyHistory.asp?taxnode_id=20154339","ICTVonline=20154339")</f>
        <v>ICTVonline=20154339</v>
      </c>
    </row>
    <row r="3483" spans="1:13" x14ac:dyDescent="0.15">
      <c r="A3483" s="1" t="s">
        <v>934</v>
      </c>
      <c r="B3483" s="1" t="s">
        <v>873</v>
      </c>
      <c r="D3483" s="1" t="s">
        <v>874</v>
      </c>
      <c r="E3483" s="1" t="s">
        <v>1367</v>
      </c>
      <c r="F3483" s="3">
        <v>0</v>
      </c>
      <c r="I3483" s="24" t="s">
        <v>3265</v>
      </c>
      <c r="J3483" s="24" t="s">
        <v>2931</v>
      </c>
      <c r="K3483" s="3">
        <v>18</v>
      </c>
      <c r="L3483" s="3" t="s">
        <v>2929</v>
      </c>
      <c r="M3483" s="3" t="str">
        <f>HYPERLINK("http://ictvonline.org/taxonomyHistory.asp?taxnode_id=20154340","ICTVonline=20154340")</f>
        <v>ICTVonline=20154340</v>
      </c>
    </row>
    <row r="3484" spans="1:13" x14ac:dyDescent="0.15">
      <c r="A3484" s="1" t="s">
        <v>934</v>
      </c>
      <c r="B3484" s="1" t="s">
        <v>873</v>
      </c>
      <c r="D3484" s="1" t="s">
        <v>874</v>
      </c>
      <c r="E3484" s="1" t="s">
        <v>1368</v>
      </c>
      <c r="F3484" s="3">
        <v>0</v>
      </c>
      <c r="I3484" s="24" t="s">
        <v>3265</v>
      </c>
      <c r="J3484" s="24" t="s">
        <v>2919</v>
      </c>
      <c r="K3484" s="3">
        <v>20</v>
      </c>
      <c r="L3484" s="3" t="s">
        <v>2925</v>
      </c>
      <c r="M3484" s="3" t="str">
        <f>HYPERLINK("http://ictvonline.org/taxonomyHistory.asp?taxnode_id=20154341","ICTVonline=20154341")</f>
        <v>ICTVonline=20154341</v>
      </c>
    </row>
    <row r="3485" spans="1:13" x14ac:dyDescent="0.15">
      <c r="A3485" s="1" t="s">
        <v>934</v>
      </c>
      <c r="B3485" s="1" t="s">
        <v>873</v>
      </c>
      <c r="D3485" s="1" t="s">
        <v>874</v>
      </c>
      <c r="E3485" s="1" t="s">
        <v>1369</v>
      </c>
      <c r="F3485" s="3">
        <v>0</v>
      </c>
      <c r="I3485" s="24" t="s">
        <v>3265</v>
      </c>
      <c r="J3485" s="24" t="s">
        <v>2920</v>
      </c>
      <c r="K3485" s="3">
        <v>2</v>
      </c>
      <c r="L3485" s="3" t="s">
        <v>2953</v>
      </c>
      <c r="M3485" s="3" t="str">
        <f>HYPERLINK("http://ictvonline.org/taxonomyHistory.asp?taxnode_id=20154342","ICTVonline=20154342")</f>
        <v>ICTVonline=20154342</v>
      </c>
    </row>
    <row r="3486" spans="1:13" x14ac:dyDescent="0.15">
      <c r="A3486" s="1" t="s">
        <v>934</v>
      </c>
      <c r="B3486" s="1" t="s">
        <v>873</v>
      </c>
      <c r="D3486" s="1" t="s">
        <v>874</v>
      </c>
      <c r="E3486" s="1" t="s">
        <v>1370</v>
      </c>
      <c r="F3486" s="3">
        <v>1</v>
      </c>
      <c r="I3486" s="24" t="s">
        <v>3265</v>
      </c>
      <c r="J3486" s="24" t="s">
        <v>2938</v>
      </c>
      <c r="K3486" s="3">
        <v>18</v>
      </c>
      <c r="L3486" s="3" t="s">
        <v>2929</v>
      </c>
      <c r="M3486" s="3" t="str">
        <f>HYPERLINK("http://ictvonline.org/taxonomyHistory.asp?taxnode_id=20154343","ICTVonline=20154343")</f>
        <v>ICTVonline=20154343</v>
      </c>
    </row>
    <row r="3487" spans="1:13" x14ac:dyDescent="0.15">
      <c r="A3487" s="1" t="s">
        <v>934</v>
      </c>
      <c r="B3487" s="1" t="s">
        <v>873</v>
      </c>
      <c r="D3487" s="1" t="s">
        <v>874</v>
      </c>
      <c r="E3487" s="1" t="s">
        <v>1371</v>
      </c>
      <c r="F3487" s="3">
        <v>0</v>
      </c>
      <c r="I3487" s="24" t="s">
        <v>3265</v>
      </c>
      <c r="J3487" s="24" t="s">
        <v>2919</v>
      </c>
      <c r="K3487" s="3">
        <v>23</v>
      </c>
      <c r="L3487" s="3" t="s">
        <v>2933</v>
      </c>
      <c r="M3487" s="3" t="str">
        <f>HYPERLINK("http://ictvonline.org/taxonomyHistory.asp?taxnode_id=20154344","ICTVonline=20154344")</f>
        <v>ICTVonline=20154344</v>
      </c>
    </row>
    <row r="3488" spans="1:13" x14ac:dyDescent="0.15">
      <c r="A3488" s="1" t="s">
        <v>934</v>
      </c>
      <c r="B3488" s="1" t="s">
        <v>873</v>
      </c>
      <c r="D3488" s="1" t="s">
        <v>874</v>
      </c>
      <c r="E3488" s="1" t="s">
        <v>796</v>
      </c>
      <c r="F3488" s="3">
        <v>0</v>
      </c>
      <c r="I3488" s="24" t="s">
        <v>3265</v>
      </c>
      <c r="J3488" s="24" t="s">
        <v>2919</v>
      </c>
      <c r="K3488" s="3">
        <v>23</v>
      </c>
      <c r="L3488" s="3" t="s">
        <v>2933</v>
      </c>
      <c r="M3488" s="3" t="str">
        <f>HYPERLINK("http://ictvonline.org/taxonomyHistory.asp?taxnode_id=20154345","ICTVonline=20154345")</f>
        <v>ICTVonline=20154345</v>
      </c>
    </row>
    <row r="3489" spans="1:13" x14ac:dyDescent="0.15">
      <c r="A3489" s="1" t="s">
        <v>934</v>
      </c>
      <c r="B3489" s="1" t="s">
        <v>873</v>
      </c>
      <c r="D3489" s="1" t="s">
        <v>874</v>
      </c>
      <c r="E3489" s="1" t="s">
        <v>797</v>
      </c>
      <c r="F3489" s="3">
        <v>0</v>
      </c>
      <c r="I3489" s="24" t="s">
        <v>3265</v>
      </c>
      <c r="J3489" s="24" t="s">
        <v>2919</v>
      </c>
      <c r="K3489" s="3">
        <v>20</v>
      </c>
      <c r="L3489" s="3" t="s">
        <v>2925</v>
      </c>
      <c r="M3489" s="3" t="str">
        <f>HYPERLINK("http://ictvonline.org/taxonomyHistory.asp?taxnode_id=20154346","ICTVonline=20154346")</f>
        <v>ICTVonline=20154346</v>
      </c>
    </row>
    <row r="3490" spans="1:13" x14ac:dyDescent="0.15">
      <c r="A3490" s="1" t="s">
        <v>934</v>
      </c>
      <c r="B3490" s="1" t="s">
        <v>873</v>
      </c>
      <c r="D3490" s="1" t="s">
        <v>874</v>
      </c>
      <c r="E3490" s="1" t="s">
        <v>798</v>
      </c>
      <c r="F3490" s="3">
        <v>0</v>
      </c>
      <c r="I3490" s="24" t="s">
        <v>3265</v>
      </c>
      <c r="J3490" s="24" t="s">
        <v>2920</v>
      </c>
      <c r="K3490" s="3">
        <v>2</v>
      </c>
      <c r="L3490" s="3" t="s">
        <v>2953</v>
      </c>
      <c r="M3490" s="3" t="str">
        <f>HYPERLINK("http://ictvonline.org/taxonomyHistory.asp?taxnode_id=20154347","ICTVonline=20154347")</f>
        <v>ICTVonline=20154347</v>
      </c>
    </row>
    <row r="3491" spans="1:13" x14ac:dyDescent="0.15">
      <c r="A3491" s="1" t="s">
        <v>934</v>
      </c>
      <c r="B3491" s="1" t="s">
        <v>873</v>
      </c>
      <c r="D3491" s="1" t="s">
        <v>874</v>
      </c>
      <c r="E3491" s="1" t="s">
        <v>1931</v>
      </c>
      <c r="F3491" s="3">
        <v>0</v>
      </c>
      <c r="I3491" s="24" t="s">
        <v>3265</v>
      </c>
      <c r="J3491" s="24" t="s">
        <v>2920</v>
      </c>
      <c r="K3491" s="3">
        <v>2</v>
      </c>
      <c r="L3491" s="3" t="s">
        <v>2953</v>
      </c>
      <c r="M3491" s="3" t="str">
        <f>HYPERLINK("http://ictvonline.org/taxonomyHistory.asp?taxnode_id=20154348","ICTVonline=20154348")</f>
        <v>ICTVonline=20154348</v>
      </c>
    </row>
    <row r="3492" spans="1:13" x14ac:dyDescent="0.15">
      <c r="A3492" s="1" t="s">
        <v>934</v>
      </c>
      <c r="B3492" s="1" t="s">
        <v>873</v>
      </c>
      <c r="D3492" s="1" t="s">
        <v>874</v>
      </c>
      <c r="E3492" s="1" t="s">
        <v>1932</v>
      </c>
      <c r="F3492" s="3">
        <v>0</v>
      </c>
      <c r="I3492" s="24" t="s">
        <v>3265</v>
      </c>
      <c r="J3492" s="24" t="s">
        <v>2920</v>
      </c>
      <c r="K3492" s="3">
        <v>2</v>
      </c>
      <c r="L3492" s="3" t="s">
        <v>2953</v>
      </c>
      <c r="M3492" s="3" t="str">
        <f>HYPERLINK("http://ictvonline.org/taxonomyHistory.asp?taxnode_id=20154349","ICTVonline=20154349")</f>
        <v>ICTVonline=20154349</v>
      </c>
    </row>
    <row r="3493" spans="1:13" x14ac:dyDescent="0.15">
      <c r="A3493" s="1" t="s">
        <v>934</v>
      </c>
      <c r="B3493" s="1" t="s">
        <v>873</v>
      </c>
      <c r="D3493" s="1" t="s">
        <v>874</v>
      </c>
      <c r="E3493" s="1" t="s">
        <v>1933</v>
      </c>
      <c r="F3493" s="3">
        <v>0</v>
      </c>
      <c r="I3493" s="24" t="s">
        <v>3265</v>
      </c>
      <c r="J3493" s="24" t="s">
        <v>2920</v>
      </c>
      <c r="K3493" s="3">
        <v>2</v>
      </c>
      <c r="L3493" s="3" t="s">
        <v>2953</v>
      </c>
      <c r="M3493" s="3" t="str">
        <f>HYPERLINK("http://ictvonline.org/taxonomyHistory.asp?taxnode_id=20154350","ICTVonline=20154350")</f>
        <v>ICTVonline=20154350</v>
      </c>
    </row>
    <row r="3494" spans="1:13" x14ac:dyDescent="0.15">
      <c r="A3494" s="1" t="s">
        <v>934</v>
      </c>
      <c r="B3494" s="1" t="s">
        <v>873</v>
      </c>
      <c r="D3494" s="1" t="s">
        <v>1934</v>
      </c>
      <c r="E3494" s="1" t="s">
        <v>1935</v>
      </c>
      <c r="F3494" s="3">
        <v>1</v>
      </c>
      <c r="I3494" s="24" t="s">
        <v>3265</v>
      </c>
      <c r="J3494" s="24" t="s">
        <v>2921</v>
      </c>
      <c r="K3494" s="3">
        <v>3</v>
      </c>
      <c r="L3494" s="3" t="s">
        <v>2955</v>
      </c>
      <c r="M3494" s="3" t="str">
        <f>HYPERLINK("http://ictvonline.org/taxonomyHistory.asp?taxnode_id=20154352","ICTVonline=20154352")</f>
        <v>ICTVonline=20154352</v>
      </c>
    </row>
    <row r="3495" spans="1:13" x14ac:dyDescent="0.15">
      <c r="A3495" s="1" t="s">
        <v>934</v>
      </c>
      <c r="B3495" s="1" t="s">
        <v>804</v>
      </c>
      <c r="D3495" s="1" t="s">
        <v>6408</v>
      </c>
      <c r="E3495" s="1" t="s">
        <v>811</v>
      </c>
      <c r="F3495" s="3">
        <v>0</v>
      </c>
      <c r="G3495" s="24" t="s">
        <v>6409</v>
      </c>
      <c r="H3495" s="24" t="s">
        <v>5500</v>
      </c>
      <c r="I3495" s="24" t="s">
        <v>3265</v>
      </c>
      <c r="J3495" s="24" t="s">
        <v>2920</v>
      </c>
      <c r="K3495" s="3">
        <v>30</v>
      </c>
      <c r="L3495" s="3" t="s">
        <v>7115</v>
      </c>
      <c r="M3495" s="3" t="str">
        <f>HYPERLINK("http://ictvonline.org/taxonomyHistory.asp?taxnode_id=20154373","ICTVonline=20154373")</f>
        <v>ICTVonline=20154373</v>
      </c>
    </row>
    <row r="3496" spans="1:13" x14ac:dyDescent="0.15">
      <c r="A3496" s="1" t="s">
        <v>934</v>
      </c>
      <c r="B3496" s="1" t="s">
        <v>804</v>
      </c>
      <c r="D3496" s="1" t="s">
        <v>6408</v>
      </c>
      <c r="E3496" s="1" t="s">
        <v>206</v>
      </c>
      <c r="F3496" s="3">
        <v>0</v>
      </c>
      <c r="G3496" s="24" t="s">
        <v>6410</v>
      </c>
      <c r="H3496" s="24" t="s">
        <v>5496</v>
      </c>
      <c r="I3496" s="24" t="s">
        <v>3265</v>
      </c>
      <c r="J3496" s="24" t="s">
        <v>2920</v>
      </c>
      <c r="K3496" s="3">
        <v>30</v>
      </c>
      <c r="L3496" s="3" t="s">
        <v>7115</v>
      </c>
      <c r="M3496" s="3" t="str">
        <f>HYPERLINK("http://ictvonline.org/taxonomyHistory.asp?taxnode_id=20154375","ICTVonline=20154375")</f>
        <v>ICTVonline=20154375</v>
      </c>
    </row>
    <row r="3497" spans="1:13" x14ac:dyDescent="0.15">
      <c r="A3497" s="1" t="s">
        <v>934</v>
      </c>
      <c r="B3497" s="1" t="s">
        <v>804</v>
      </c>
      <c r="D3497" s="1" t="s">
        <v>6408</v>
      </c>
      <c r="E3497" s="1" t="s">
        <v>814</v>
      </c>
      <c r="F3497" s="3">
        <v>1</v>
      </c>
      <c r="G3497" s="24" t="s">
        <v>6411</v>
      </c>
      <c r="H3497" s="24" t="s">
        <v>6412</v>
      </c>
      <c r="I3497" s="24" t="s">
        <v>3265</v>
      </c>
      <c r="J3497" s="24" t="s">
        <v>2920</v>
      </c>
      <c r="K3497" s="3">
        <v>30</v>
      </c>
      <c r="L3497" s="3" t="s">
        <v>7115</v>
      </c>
      <c r="M3497" s="3" t="str">
        <f>HYPERLINK("http://ictvonline.org/taxonomyHistory.asp?taxnode_id=20154377","ICTVonline=20154377")</f>
        <v>ICTVonline=20154377</v>
      </c>
    </row>
    <row r="3498" spans="1:13" x14ac:dyDescent="0.15">
      <c r="A3498" s="1" t="s">
        <v>934</v>
      </c>
      <c r="B3498" s="1" t="s">
        <v>804</v>
      </c>
      <c r="D3498" s="1" t="s">
        <v>6408</v>
      </c>
      <c r="E3498" s="1" t="s">
        <v>207</v>
      </c>
      <c r="F3498" s="3">
        <v>0</v>
      </c>
      <c r="G3498" s="24" t="s">
        <v>6413</v>
      </c>
      <c r="H3498" s="24" t="s">
        <v>5496</v>
      </c>
      <c r="I3498" s="24" t="s">
        <v>3265</v>
      </c>
      <c r="J3498" s="24" t="s">
        <v>2920</v>
      </c>
      <c r="K3498" s="3">
        <v>30</v>
      </c>
      <c r="L3498" s="3" t="s">
        <v>7115</v>
      </c>
      <c r="M3498" s="3" t="str">
        <f>HYPERLINK("http://ictvonline.org/taxonomyHistory.asp?taxnode_id=20154381","ICTVonline=20154381")</f>
        <v>ICTVonline=20154381</v>
      </c>
    </row>
    <row r="3499" spans="1:13" x14ac:dyDescent="0.15">
      <c r="A3499" s="1" t="s">
        <v>934</v>
      </c>
      <c r="B3499" s="1" t="s">
        <v>804</v>
      </c>
      <c r="D3499" s="1" t="s">
        <v>6408</v>
      </c>
      <c r="E3499" s="1" t="s">
        <v>581</v>
      </c>
      <c r="F3499" s="3">
        <v>0</v>
      </c>
      <c r="G3499" s="24" t="s">
        <v>6414</v>
      </c>
      <c r="H3499" s="24" t="s">
        <v>6415</v>
      </c>
      <c r="I3499" s="24" t="s">
        <v>3265</v>
      </c>
      <c r="J3499" s="24" t="s">
        <v>2920</v>
      </c>
      <c r="K3499" s="3">
        <v>30</v>
      </c>
      <c r="L3499" s="3" t="s">
        <v>7115</v>
      </c>
      <c r="M3499" s="3" t="str">
        <f>HYPERLINK("http://ictvonline.org/taxonomyHistory.asp?taxnode_id=20154384","ICTVonline=20154384")</f>
        <v>ICTVonline=20154384</v>
      </c>
    </row>
    <row r="3500" spans="1:13" x14ac:dyDescent="0.15">
      <c r="A3500" s="1" t="s">
        <v>934</v>
      </c>
      <c r="B3500" s="1" t="s">
        <v>804</v>
      </c>
      <c r="D3500" s="1" t="s">
        <v>6408</v>
      </c>
      <c r="E3500" s="1" t="s">
        <v>1316</v>
      </c>
      <c r="F3500" s="3">
        <v>0</v>
      </c>
      <c r="G3500" s="24" t="s">
        <v>6416</v>
      </c>
      <c r="H3500" s="24" t="s">
        <v>6417</v>
      </c>
      <c r="I3500" s="24" t="s">
        <v>3265</v>
      </c>
      <c r="J3500" s="24" t="s">
        <v>2920</v>
      </c>
      <c r="K3500" s="3">
        <v>30</v>
      </c>
      <c r="L3500" s="3" t="s">
        <v>7115</v>
      </c>
      <c r="M3500" s="3" t="str">
        <f>HYPERLINK("http://ictvonline.org/taxonomyHistory.asp?taxnode_id=20154386","ICTVonline=20154386")</f>
        <v>ICTVonline=20154386</v>
      </c>
    </row>
    <row r="3501" spans="1:13" x14ac:dyDescent="0.15">
      <c r="A3501" s="1" t="s">
        <v>934</v>
      </c>
      <c r="B3501" s="1" t="s">
        <v>804</v>
      </c>
      <c r="D3501" s="1" t="s">
        <v>6408</v>
      </c>
      <c r="E3501" s="1" t="s">
        <v>1317</v>
      </c>
      <c r="F3501" s="3">
        <v>0</v>
      </c>
      <c r="G3501" s="24" t="s">
        <v>6418</v>
      </c>
      <c r="H3501" s="24" t="s">
        <v>6419</v>
      </c>
      <c r="I3501" s="24" t="s">
        <v>3265</v>
      </c>
      <c r="J3501" s="24" t="s">
        <v>2920</v>
      </c>
      <c r="K3501" s="3">
        <v>30</v>
      </c>
      <c r="L3501" s="3" t="s">
        <v>7115</v>
      </c>
      <c r="M3501" s="3" t="str">
        <f>HYPERLINK("http://ictvonline.org/taxonomyHistory.asp?taxnode_id=20154387","ICTVonline=20154387")</f>
        <v>ICTVonline=20154387</v>
      </c>
    </row>
    <row r="3502" spans="1:13" x14ac:dyDescent="0.15">
      <c r="A3502" s="1" t="s">
        <v>934</v>
      </c>
      <c r="B3502" s="1" t="s">
        <v>804</v>
      </c>
      <c r="D3502" s="1" t="s">
        <v>2428</v>
      </c>
      <c r="E3502" s="1" t="s">
        <v>901</v>
      </c>
      <c r="F3502" s="3">
        <v>0</v>
      </c>
      <c r="G3502" s="24" t="s">
        <v>6420</v>
      </c>
      <c r="H3502" s="24" t="s">
        <v>6421</v>
      </c>
      <c r="I3502" s="24" t="s">
        <v>3265</v>
      </c>
      <c r="J3502" s="24" t="s">
        <v>2920</v>
      </c>
      <c r="K3502" s="3">
        <v>27</v>
      </c>
      <c r="L3502" s="3" t="s">
        <v>7116</v>
      </c>
      <c r="M3502" s="3" t="str">
        <f>HYPERLINK("http://ictvonline.org/taxonomyHistory.asp?taxnode_id=20154356","ICTVonline=20154356")</f>
        <v>ICTVonline=20154356</v>
      </c>
    </row>
    <row r="3503" spans="1:13" x14ac:dyDescent="0.15">
      <c r="A3503" s="1" t="s">
        <v>934</v>
      </c>
      <c r="B3503" s="1" t="s">
        <v>804</v>
      </c>
      <c r="D3503" s="1" t="s">
        <v>2428</v>
      </c>
      <c r="E3503" s="1" t="s">
        <v>902</v>
      </c>
      <c r="F3503" s="3">
        <v>0</v>
      </c>
      <c r="G3503" s="24" t="s">
        <v>6422</v>
      </c>
      <c r="H3503" s="24" t="s">
        <v>6423</v>
      </c>
      <c r="I3503" s="24" t="s">
        <v>3265</v>
      </c>
      <c r="J3503" s="24" t="s">
        <v>2920</v>
      </c>
      <c r="K3503" s="3">
        <v>27</v>
      </c>
      <c r="L3503" s="3" t="s">
        <v>7116</v>
      </c>
      <c r="M3503" s="3" t="str">
        <f>HYPERLINK("http://ictvonline.org/taxonomyHistory.asp?taxnode_id=20154357","ICTVonline=20154357")</f>
        <v>ICTVonline=20154357</v>
      </c>
    </row>
    <row r="3504" spans="1:13" x14ac:dyDescent="0.15">
      <c r="A3504" s="1" t="s">
        <v>934</v>
      </c>
      <c r="B3504" s="1" t="s">
        <v>804</v>
      </c>
      <c r="D3504" s="1" t="s">
        <v>2428</v>
      </c>
      <c r="E3504" s="1" t="s">
        <v>903</v>
      </c>
      <c r="F3504" s="3">
        <v>1</v>
      </c>
      <c r="G3504" s="24" t="s">
        <v>6424</v>
      </c>
      <c r="H3504" s="24" t="s">
        <v>6425</v>
      </c>
      <c r="I3504" s="24" t="s">
        <v>3265</v>
      </c>
      <c r="J3504" s="24" t="s">
        <v>2920</v>
      </c>
      <c r="K3504" s="3">
        <v>27</v>
      </c>
      <c r="L3504" s="3" t="s">
        <v>7116</v>
      </c>
      <c r="M3504" s="3" t="str">
        <f>HYPERLINK("http://ictvonline.org/taxonomyHistory.asp?taxnode_id=20154358","ICTVonline=20154358")</f>
        <v>ICTVonline=20154358</v>
      </c>
    </row>
    <row r="3505" spans="1:13" x14ac:dyDescent="0.15">
      <c r="A3505" s="1" t="s">
        <v>934</v>
      </c>
      <c r="B3505" s="1" t="s">
        <v>804</v>
      </c>
      <c r="D3505" s="1" t="s">
        <v>805</v>
      </c>
      <c r="E3505" s="1" t="s">
        <v>806</v>
      </c>
      <c r="F3505" s="3">
        <v>0</v>
      </c>
      <c r="G3505" s="24" t="s">
        <v>6426</v>
      </c>
      <c r="H3505" s="24" t="s">
        <v>6427</v>
      </c>
      <c r="I3505" s="24" t="s">
        <v>3265</v>
      </c>
      <c r="J3505" s="24" t="s">
        <v>2919</v>
      </c>
      <c r="K3505" s="3">
        <v>23</v>
      </c>
      <c r="L3505" s="3" t="s">
        <v>2933</v>
      </c>
      <c r="M3505" s="3" t="str">
        <f>HYPERLINK("http://ictvonline.org/taxonomyHistory.asp?taxnode_id=20154360","ICTVonline=20154360")</f>
        <v>ICTVonline=20154360</v>
      </c>
    </row>
    <row r="3506" spans="1:13" x14ac:dyDescent="0.15">
      <c r="A3506" s="1" t="s">
        <v>934</v>
      </c>
      <c r="B3506" s="1" t="s">
        <v>804</v>
      </c>
      <c r="D3506" s="1" t="s">
        <v>805</v>
      </c>
      <c r="E3506" s="1" t="s">
        <v>2262</v>
      </c>
      <c r="F3506" s="3">
        <v>0</v>
      </c>
      <c r="G3506" s="24" t="s">
        <v>6428</v>
      </c>
      <c r="H3506" s="24" t="s">
        <v>6429</v>
      </c>
      <c r="I3506" s="24" t="s">
        <v>3265</v>
      </c>
      <c r="J3506" s="24" t="s">
        <v>2919</v>
      </c>
      <c r="K3506" s="3">
        <v>25</v>
      </c>
      <c r="L3506" s="3" t="s">
        <v>7117</v>
      </c>
      <c r="M3506" s="3" t="str">
        <f>HYPERLINK("http://ictvonline.org/taxonomyHistory.asp?taxnode_id=20154361","ICTVonline=20154361")</f>
        <v>ICTVonline=20154361</v>
      </c>
    </row>
    <row r="3507" spans="1:13" x14ac:dyDescent="0.15">
      <c r="A3507" s="1" t="s">
        <v>934</v>
      </c>
      <c r="B3507" s="1" t="s">
        <v>804</v>
      </c>
      <c r="D3507" s="1" t="s">
        <v>805</v>
      </c>
      <c r="E3507" s="1" t="s">
        <v>2016</v>
      </c>
      <c r="F3507" s="3">
        <v>0</v>
      </c>
      <c r="G3507" s="24" t="s">
        <v>6430</v>
      </c>
      <c r="H3507" s="24" t="s">
        <v>5478</v>
      </c>
      <c r="I3507" s="24" t="s">
        <v>3265</v>
      </c>
      <c r="J3507" s="24" t="s">
        <v>2919</v>
      </c>
      <c r="K3507" s="3">
        <v>25</v>
      </c>
      <c r="L3507" s="3" t="s">
        <v>7117</v>
      </c>
      <c r="M3507" s="3" t="str">
        <f>HYPERLINK("http://ictvonline.org/taxonomyHistory.asp?taxnode_id=20154362","ICTVonline=20154362")</f>
        <v>ICTVonline=20154362</v>
      </c>
    </row>
    <row r="3508" spans="1:13" x14ac:dyDescent="0.15">
      <c r="A3508" s="1" t="s">
        <v>934</v>
      </c>
      <c r="B3508" s="1" t="s">
        <v>804</v>
      </c>
      <c r="D3508" s="1" t="s">
        <v>805</v>
      </c>
      <c r="E3508" s="1" t="s">
        <v>807</v>
      </c>
      <c r="F3508" s="3">
        <v>1</v>
      </c>
      <c r="G3508" s="24" t="s">
        <v>6431</v>
      </c>
      <c r="H3508" s="24" t="s">
        <v>6432</v>
      </c>
      <c r="I3508" s="24" t="s">
        <v>3265</v>
      </c>
      <c r="J3508" s="24" t="s">
        <v>2921</v>
      </c>
      <c r="K3508" s="3">
        <v>17</v>
      </c>
      <c r="L3508" s="3" t="s">
        <v>2928</v>
      </c>
      <c r="M3508" s="3" t="str">
        <f>HYPERLINK("http://ictvonline.org/taxonomyHistory.asp?taxnode_id=20154363","ICTVonline=20154363")</f>
        <v>ICTVonline=20154363</v>
      </c>
    </row>
    <row r="3509" spans="1:13" x14ac:dyDescent="0.15">
      <c r="A3509" s="1" t="s">
        <v>934</v>
      </c>
      <c r="B3509" s="1" t="s">
        <v>804</v>
      </c>
      <c r="D3509" s="1" t="s">
        <v>805</v>
      </c>
      <c r="E3509" s="1" t="s">
        <v>6433</v>
      </c>
      <c r="F3509" s="3">
        <v>0</v>
      </c>
      <c r="G3509" s="24" t="s">
        <v>7754</v>
      </c>
      <c r="H3509" s="24" t="s">
        <v>6434</v>
      </c>
      <c r="I3509" s="24" t="s">
        <v>3265</v>
      </c>
      <c r="J3509" s="24" t="s">
        <v>2919</v>
      </c>
      <c r="K3509" s="3">
        <v>30</v>
      </c>
      <c r="L3509" s="3" t="s">
        <v>7118</v>
      </c>
      <c r="M3509" s="3" t="str">
        <f>HYPERLINK("http://ictvonline.org/taxonomyHistory.asp?taxnode_id=20154364","ICTVonline=20154364")</f>
        <v>ICTVonline=20154364</v>
      </c>
    </row>
    <row r="3510" spans="1:13" x14ac:dyDescent="0.15">
      <c r="A3510" s="1" t="s">
        <v>934</v>
      </c>
      <c r="B3510" s="1" t="s">
        <v>804</v>
      </c>
      <c r="D3510" s="1" t="s">
        <v>808</v>
      </c>
      <c r="E3510" s="1" t="s">
        <v>809</v>
      </c>
      <c r="F3510" s="3">
        <v>1</v>
      </c>
      <c r="G3510" s="24" t="s">
        <v>6435</v>
      </c>
      <c r="H3510" s="24" t="s">
        <v>6436</v>
      </c>
      <c r="I3510" s="24" t="s">
        <v>3265</v>
      </c>
      <c r="J3510" s="24" t="s">
        <v>2921</v>
      </c>
      <c r="K3510" s="3">
        <v>17</v>
      </c>
      <c r="L3510" s="3" t="s">
        <v>2928</v>
      </c>
      <c r="M3510" s="3" t="str">
        <f>HYPERLINK("http://ictvonline.org/taxonomyHistory.asp?taxnode_id=20154366","ICTVonline=20154366")</f>
        <v>ICTVonline=20154366</v>
      </c>
    </row>
    <row r="3511" spans="1:13" x14ac:dyDescent="0.15">
      <c r="A3511" s="1" t="s">
        <v>934</v>
      </c>
      <c r="B3511" s="1" t="s">
        <v>804</v>
      </c>
      <c r="D3511" s="1" t="s">
        <v>6437</v>
      </c>
      <c r="E3511" s="1" t="s">
        <v>813</v>
      </c>
      <c r="F3511" s="3">
        <v>0</v>
      </c>
      <c r="G3511" s="24" t="s">
        <v>6438</v>
      </c>
      <c r="H3511" s="24" t="s">
        <v>6439</v>
      </c>
      <c r="I3511" s="24" t="s">
        <v>3265</v>
      </c>
      <c r="J3511" s="24" t="s">
        <v>2920</v>
      </c>
      <c r="K3511" s="3">
        <v>30</v>
      </c>
      <c r="L3511" s="3" t="s">
        <v>7115</v>
      </c>
      <c r="M3511" s="3" t="str">
        <f>HYPERLINK("http://ictvonline.org/taxonomyHistory.asp?taxnode_id=20154376","ICTVonline=20154376")</f>
        <v>ICTVonline=20154376</v>
      </c>
    </row>
    <row r="3512" spans="1:13" x14ac:dyDescent="0.15">
      <c r="A3512" s="1" t="s">
        <v>934</v>
      </c>
      <c r="B3512" s="1" t="s">
        <v>804</v>
      </c>
      <c r="D3512" s="1" t="s">
        <v>6437</v>
      </c>
      <c r="E3512" s="1" t="s">
        <v>1460</v>
      </c>
      <c r="F3512" s="3">
        <v>0</v>
      </c>
      <c r="G3512" s="24" t="s">
        <v>6440</v>
      </c>
      <c r="H3512" s="24" t="s">
        <v>5317</v>
      </c>
      <c r="I3512" s="24" t="s">
        <v>3265</v>
      </c>
      <c r="J3512" s="24" t="s">
        <v>2920</v>
      </c>
      <c r="K3512" s="3">
        <v>30</v>
      </c>
      <c r="L3512" s="3" t="s">
        <v>7115</v>
      </c>
      <c r="M3512" s="3" t="str">
        <f>HYPERLINK("http://ictvonline.org/taxonomyHistory.asp?taxnode_id=20154380","ICTVonline=20154380")</f>
        <v>ICTVonline=20154380</v>
      </c>
    </row>
    <row r="3513" spans="1:13" x14ac:dyDescent="0.15">
      <c r="A3513" s="1" t="s">
        <v>934</v>
      </c>
      <c r="B3513" s="1" t="s">
        <v>804</v>
      </c>
      <c r="D3513" s="1" t="s">
        <v>6437</v>
      </c>
      <c r="E3513" s="1" t="s">
        <v>701</v>
      </c>
      <c r="F3513" s="3">
        <v>0</v>
      </c>
      <c r="G3513" s="24" t="s">
        <v>6441</v>
      </c>
      <c r="H3513" s="24" t="s">
        <v>6442</v>
      </c>
      <c r="I3513" s="24" t="s">
        <v>3265</v>
      </c>
      <c r="J3513" s="24" t="s">
        <v>2920</v>
      </c>
      <c r="K3513" s="3">
        <v>30</v>
      </c>
      <c r="L3513" s="3" t="s">
        <v>7115</v>
      </c>
      <c r="M3513" s="3" t="str">
        <f>HYPERLINK("http://ictvonline.org/taxonomyHistory.asp?taxnode_id=20154382","ICTVonline=20154382")</f>
        <v>ICTVonline=20154382</v>
      </c>
    </row>
    <row r="3514" spans="1:13" x14ac:dyDescent="0.15">
      <c r="A3514" s="1" t="s">
        <v>934</v>
      </c>
      <c r="B3514" s="1" t="s">
        <v>804</v>
      </c>
      <c r="D3514" s="1" t="s">
        <v>6437</v>
      </c>
      <c r="E3514" s="1" t="s">
        <v>1318</v>
      </c>
      <c r="F3514" s="3">
        <v>1</v>
      </c>
      <c r="G3514" s="24" t="s">
        <v>6443</v>
      </c>
      <c r="H3514" s="24" t="s">
        <v>6444</v>
      </c>
      <c r="I3514" s="24" t="s">
        <v>3265</v>
      </c>
      <c r="J3514" s="24" t="s">
        <v>2920</v>
      </c>
      <c r="K3514" s="3">
        <v>30</v>
      </c>
      <c r="L3514" s="3" t="s">
        <v>7115</v>
      </c>
      <c r="M3514" s="3" t="str">
        <f>HYPERLINK("http://ictvonline.org/taxonomyHistory.asp?taxnode_id=20154389","ICTVonline=20154389")</f>
        <v>ICTVonline=20154389</v>
      </c>
    </row>
    <row r="3515" spans="1:13" x14ac:dyDescent="0.15">
      <c r="A3515" s="1" t="s">
        <v>934</v>
      </c>
      <c r="B3515" s="1" t="s">
        <v>804</v>
      </c>
      <c r="D3515" s="1" t="s">
        <v>2429</v>
      </c>
      <c r="E3515" s="1" t="s">
        <v>898</v>
      </c>
      <c r="F3515" s="3">
        <v>0</v>
      </c>
      <c r="G3515" s="24" t="s">
        <v>6445</v>
      </c>
      <c r="H3515" s="24" t="s">
        <v>6446</v>
      </c>
      <c r="I3515" s="24" t="s">
        <v>3265</v>
      </c>
      <c r="J3515" s="24" t="s">
        <v>2920</v>
      </c>
      <c r="K3515" s="3">
        <v>27</v>
      </c>
      <c r="L3515" s="3" t="s">
        <v>7116</v>
      </c>
      <c r="M3515" s="3" t="str">
        <f>HYPERLINK("http://ictvonline.org/taxonomyHistory.asp?taxnode_id=20154368","ICTVonline=20154368")</f>
        <v>ICTVonline=20154368</v>
      </c>
    </row>
    <row r="3516" spans="1:13" x14ac:dyDescent="0.15">
      <c r="A3516" s="1" t="s">
        <v>934</v>
      </c>
      <c r="B3516" s="1" t="s">
        <v>804</v>
      </c>
      <c r="D3516" s="1" t="s">
        <v>2429</v>
      </c>
      <c r="E3516" s="1" t="s">
        <v>900</v>
      </c>
      <c r="F3516" s="3">
        <v>0</v>
      </c>
      <c r="G3516" s="24" t="s">
        <v>6447</v>
      </c>
      <c r="H3516" s="24" t="s">
        <v>6448</v>
      </c>
      <c r="I3516" s="24" t="s">
        <v>3265</v>
      </c>
      <c r="J3516" s="24" t="s">
        <v>2920</v>
      </c>
      <c r="K3516" s="3">
        <v>27</v>
      </c>
      <c r="L3516" s="3" t="s">
        <v>7116</v>
      </c>
      <c r="M3516" s="3" t="str">
        <f>HYPERLINK("http://ictvonline.org/taxonomyHistory.asp?taxnode_id=20154369","ICTVonline=20154369")</f>
        <v>ICTVonline=20154369</v>
      </c>
    </row>
    <row r="3517" spans="1:13" x14ac:dyDescent="0.15">
      <c r="A3517" s="1" t="s">
        <v>934</v>
      </c>
      <c r="B3517" s="1" t="s">
        <v>804</v>
      </c>
      <c r="D3517" s="1" t="s">
        <v>2429</v>
      </c>
      <c r="E3517" s="1" t="s">
        <v>2021</v>
      </c>
      <c r="F3517" s="3">
        <v>1</v>
      </c>
      <c r="G3517" s="24" t="s">
        <v>6449</v>
      </c>
      <c r="H3517" s="24" t="s">
        <v>4860</v>
      </c>
      <c r="I3517" s="24" t="s">
        <v>3265</v>
      </c>
      <c r="J3517" s="24" t="s">
        <v>2922</v>
      </c>
      <c r="K3517" s="3">
        <v>27</v>
      </c>
      <c r="L3517" s="3" t="s">
        <v>7116</v>
      </c>
      <c r="M3517" s="3" t="str">
        <f>HYPERLINK("http://ictvonline.org/taxonomyHistory.asp?taxnode_id=20154370","ICTVonline=20154370")</f>
        <v>ICTVonline=20154370</v>
      </c>
    </row>
    <row r="3518" spans="1:13" x14ac:dyDescent="0.15">
      <c r="A3518" s="1" t="s">
        <v>934</v>
      </c>
      <c r="B3518" s="1" t="s">
        <v>804</v>
      </c>
      <c r="D3518" s="1" t="s">
        <v>1320</v>
      </c>
      <c r="E3518" s="1" t="s">
        <v>1321</v>
      </c>
      <c r="F3518" s="3">
        <v>1</v>
      </c>
      <c r="G3518" s="24" t="s">
        <v>7955</v>
      </c>
      <c r="H3518" s="24" t="s">
        <v>6450</v>
      </c>
      <c r="I3518" s="24" t="s">
        <v>3265</v>
      </c>
      <c r="J3518" s="24" t="s">
        <v>2920</v>
      </c>
      <c r="K3518" s="3">
        <v>15</v>
      </c>
      <c r="L3518" s="3" t="s">
        <v>2935</v>
      </c>
      <c r="M3518" s="3" t="str">
        <f>HYPERLINK("http://ictvonline.org/taxonomyHistory.asp?taxnode_id=20154395","ICTVonline=20154395")</f>
        <v>ICTVonline=20154395</v>
      </c>
    </row>
    <row r="3519" spans="1:13" x14ac:dyDescent="0.15">
      <c r="A3519" s="1" t="s">
        <v>934</v>
      </c>
      <c r="B3519" s="1" t="s">
        <v>804</v>
      </c>
      <c r="D3519" s="1" t="s">
        <v>1320</v>
      </c>
      <c r="E3519" s="1" t="s">
        <v>1322</v>
      </c>
      <c r="F3519" s="3">
        <v>0</v>
      </c>
      <c r="G3519" s="24" t="s">
        <v>7956</v>
      </c>
      <c r="H3519" s="24" t="s">
        <v>4881</v>
      </c>
      <c r="I3519" s="24" t="s">
        <v>3265</v>
      </c>
      <c r="J3519" s="24" t="s">
        <v>2920</v>
      </c>
      <c r="K3519" s="3">
        <v>15</v>
      </c>
      <c r="L3519" s="3" t="s">
        <v>2935</v>
      </c>
      <c r="M3519" s="3" t="str">
        <f>HYPERLINK("http://ictvonline.org/taxonomyHistory.asp?taxnode_id=20154396","ICTVonline=20154396")</f>
        <v>ICTVonline=20154396</v>
      </c>
    </row>
    <row r="3520" spans="1:13" x14ac:dyDescent="0.15">
      <c r="A3520" s="1" t="s">
        <v>934</v>
      </c>
      <c r="B3520" s="1" t="s">
        <v>804</v>
      </c>
      <c r="D3520" s="1" t="s">
        <v>1320</v>
      </c>
      <c r="E3520" s="1" t="s">
        <v>1323</v>
      </c>
      <c r="F3520" s="3">
        <v>0</v>
      </c>
      <c r="G3520" s="24" t="s">
        <v>7957</v>
      </c>
      <c r="H3520" s="24" t="s">
        <v>6742</v>
      </c>
      <c r="I3520" s="24" t="s">
        <v>3265</v>
      </c>
      <c r="J3520" s="24" t="s">
        <v>2920</v>
      </c>
      <c r="K3520" s="3">
        <v>15</v>
      </c>
      <c r="L3520" s="3" t="s">
        <v>2935</v>
      </c>
      <c r="M3520" s="3" t="str">
        <f>HYPERLINK("http://ictvonline.org/taxonomyHistory.asp?taxnode_id=20154397","ICTVonline=20154397")</f>
        <v>ICTVonline=20154397</v>
      </c>
    </row>
    <row r="3521" spans="1:13" x14ac:dyDescent="0.15">
      <c r="A3521" s="1" t="s">
        <v>934</v>
      </c>
      <c r="B3521" s="1" t="s">
        <v>804</v>
      </c>
      <c r="D3521" s="1" t="s">
        <v>2430</v>
      </c>
      <c r="E3521" s="1" t="s">
        <v>1459</v>
      </c>
      <c r="F3521" s="3">
        <v>1</v>
      </c>
      <c r="G3521" s="24" t="s">
        <v>6451</v>
      </c>
      <c r="H3521" s="24" t="s">
        <v>6452</v>
      </c>
      <c r="I3521" s="24" t="s">
        <v>3265</v>
      </c>
      <c r="J3521" s="24" t="s">
        <v>2922</v>
      </c>
      <c r="K3521" s="3">
        <v>27</v>
      </c>
      <c r="L3521" s="3" t="s">
        <v>7119</v>
      </c>
      <c r="M3521" s="3" t="str">
        <f>HYPERLINK("http://ictvonline.org/taxonomyHistory.asp?taxnode_id=20154399","ICTVonline=20154399")</f>
        <v>ICTVonline=20154399</v>
      </c>
    </row>
    <row r="3522" spans="1:13" x14ac:dyDescent="0.15">
      <c r="A3522" s="1" t="s">
        <v>934</v>
      </c>
      <c r="B3522" s="1" t="s">
        <v>804</v>
      </c>
      <c r="D3522" s="1" t="s">
        <v>6453</v>
      </c>
      <c r="E3522" s="1" t="s">
        <v>1457</v>
      </c>
      <c r="F3522" s="3">
        <v>0</v>
      </c>
      <c r="G3522" s="24" t="s">
        <v>6454</v>
      </c>
      <c r="H3522" s="24" t="s">
        <v>6455</v>
      </c>
      <c r="I3522" s="24" t="s">
        <v>3265</v>
      </c>
      <c r="J3522" s="24" t="s">
        <v>2920</v>
      </c>
      <c r="K3522" s="3">
        <v>30</v>
      </c>
      <c r="L3522" s="3" t="s">
        <v>7115</v>
      </c>
      <c r="M3522" s="3" t="str">
        <f>HYPERLINK("http://ictvonline.org/taxonomyHistory.asp?taxnode_id=20154378","ICTVonline=20154378")</f>
        <v>ICTVonline=20154378</v>
      </c>
    </row>
    <row r="3523" spans="1:13" x14ac:dyDescent="0.15">
      <c r="A3523" s="1" t="s">
        <v>934</v>
      </c>
      <c r="B3523" s="1" t="s">
        <v>804</v>
      </c>
      <c r="D3523" s="1" t="s">
        <v>6453</v>
      </c>
      <c r="E3523" s="1" t="s">
        <v>702</v>
      </c>
      <c r="F3523" s="3">
        <v>1</v>
      </c>
      <c r="G3523" s="24" t="s">
        <v>6456</v>
      </c>
      <c r="H3523" s="24" t="s">
        <v>6457</v>
      </c>
      <c r="I3523" s="24" t="s">
        <v>3265</v>
      </c>
      <c r="J3523" s="24" t="s">
        <v>2920</v>
      </c>
      <c r="K3523" s="3">
        <v>30</v>
      </c>
      <c r="L3523" s="3" t="s">
        <v>7115</v>
      </c>
      <c r="M3523" s="3" t="str">
        <f>HYPERLINK("http://ictvonline.org/taxonomyHistory.asp?taxnode_id=20154383","ICTVonline=20154383")</f>
        <v>ICTVonline=20154383</v>
      </c>
    </row>
    <row r="3524" spans="1:13" x14ac:dyDescent="0.15">
      <c r="A3524" s="1" t="s">
        <v>934</v>
      </c>
      <c r="B3524" s="1" t="s">
        <v>804</v>
      </c>
      <c r="D3524" s="1" t="s">
        <v>6453</v>
      </c>
      <c r="E3524" s="1" t="s">
        <v>1315</v>
      </c>
      <c r="F3524" s="3">
        <v>0</v>
      </c>
      <c r="G3524" s="24" t="s">
        <v>6458</v>
      </c>
      <c r="H3524" s="24" t="s">
        <v>4710</v>
      </c>
      <c r="I3524" s="24" t="s">
        <v>3265</v>
      </c>
      <c r="J3524" s="24" t="s">
        <v>2920</v>
      </c>
      <c r="K3524" s="3">
        <v>30</v>
      </c>
      <c r="L3524" s="3" t="s">
        <v>7115</v>
      </c>
      <c r="M3524" s="3" t="str">
        <f>HYPERLINK("http://ictvonline.org/taxonomyHistory.asp?taxnode_id=20154385","ICTVonline=20154385")</f>
        <v>ICTVonline=20154385</v>
      </c>
    </row>
    <row r="3525" spans="1:13" x14ac:dyDescent="0.15">
      <c r="A3525" s="1" t="s">
        <v>934</v>
      </c>
      <c r="B3525" s="1" t="s">
        <v>804</v>
      </c>
      <c r="D3525" s="1" t="s">
        <v>6453</v>
      </c>
      <c r="E3525" s="1" t="s">
        <v>208</v>
      </c>
      <c r="F3525" s="3">
        <v>0</v>
      </c>
      <c r="G3525" s="24" t="s">
        <v>6459</v>
      </c>
      <c r="H3525" s="24" t="s">
        <v>6460</v>
      </c>
      <c r="I3525" s="24" t="s">
        <v>3265</v>
      </c>
      <c r="J3525" s="24" t="s">
        <v>2920</v>
      </c>
      <c r="K3525" s="3">
        <v>30</v>
      </c>
      <c r="L3525" s="3" t="s">
        <v>7115</v>
      </c>
      <c r="M3525" s="3" t="str">
        <f>HYPERLINK("http://ictvonline.org/taxonomyHistory.asp?taxnode_id=20154388","ICTVonline=20154388")</f>
        <v>ICTVonline=20154388</v>
      </c>
    </row>
    <row r="3526" spans="1:13" x14ac:dyDescent="0.15">
      <c r="A3526" s="1" t="s">
        <v>934</v>
      </c>
      <c r="B3526" s="1" t="s">
        <v>804</v>
      </c>
      <c r="D3526" s="1" t="s">
        <v>2431</v>
      </c>
      <c r="E3526" s="1" t="s">
        <v>2432</v>
      </c>
      <c r="F3526" s="3">
        <v>1</v>
      </c>
      <c r="G3526" s="24" t="s">
        <v>6461</v>
      </c>
      <c r="H3526" s="24" t="s">
        <v>6462</v>
      </c>
      <c r="I3526" s="24" t="s">
        <v>3265</v>
      </c>
      <c r="J3526" s="24" t="s">
        <v>2921</v>
      </c>
      <c r="K3526" s="3">
        <v>27</v>
      </c>
      <c r="L3526" s="3" t="s">
        <v>7120</v>
      </c>
      <c r="M3526" s="3" t="str">
        <f>HYPERLINK("http://ictvonline.org/taxonomyHistory.asp?taxnode_id=20154401","ICTVonline=20154401")</f>
        <v>ICTVonline=20154401</v>
      </c>
    </row>
    <row r="3527" spans="1:13" x14ac:dyDescent="0.15">
      <c r="A3527" s="1" t="s">
        <v>934</v>
      </c>
      <c r="B3527" s="1" t="s">
        <v>804</v>
      </c>
      <c r="D3527" s="1" t="s">
        <v>1324</v>
      </c>
      <c r="E3527" s="1" t="s">
        <v>1325</v>
      </c>
      <c r="F3527" s="3">
        <v>1</v>
      </c>
      <c r="G3527" s="24" t="s">
        <v>6463</v>
      </c>
      <c r="H3527" s="24" t="s">
        <v>6464</v>
      </c>
      <c r="I3527" s="24" t="s">
        <v>3265</v>
      </c>
      <c r="J3527" s="24" t="s">
        <v>2920</v>
      </c>
      <c r="K3527" s="3">
        <v>15</v>
      </c>
      <c r="L3527" s="3" t="s">
        <v>2935</v>
      </c>
      <c r="M3527" s="3" t="str">
        <f>HYPERLINK("http://ictvonline.org/taxonomyHistory.asp?taxnode_id=20154403","ICTVonline=20154403")</f>
        <v>ICTVonline=20154403</v>
      </c>
    </row>
    <row r="3528" spans="1:13" x14ac:dyDescent="0.15">
      <c r="A3528" s="1" t="s">
        <v>934</v>
      </c>
      <c r="B3528" s="1" t="s">
        <v>804</v>
      </c>
      <c r="D3528" s="1" t="s">
        <v>2022</v>
      </c>
      <c r="E3528" s="1" t="s">
        <v>209</v>
      </c>
      <c r="F3528" s="3">
        <v>0</v>
      </c>
      <c r="G3528" s="24" t="s">
        <v>6465</v>
      </c>
      <c r="H3528" s="24" t="s">
        <v>6466</v>
      </c>
      <c r="I3528" s="24" t="s">
        <v>3265</v>
      </c>
      <c r="J3528" s="24" t="s">
        <v>2919</v>
      </c>
      <c r="K3528" s="3">
        <v>26</v>
      </c>
      <c r="L3528" s="3" t="s">
        <v>7121</v>
      </c>
      <c r="M3528" s="3" t="str">
        <f>HYPERLINK("http://ictvonline.org/taxonomyHistory.asp?taxnode_id=20154405","ICTVonline=20154405")</f>
        <v>ICTVonline=20154405</v>
      </c>
    </row>
    <row r="3529" spans="1:13" x14ac:dyDescent="0.15">
      <c r="A3529" s="1" t="s">
        <v>934</v>
      </c>
      <c r="B3529" s="1" t="s">
        <v>804</v>
      </c>
      <c r="D3529" s="1" t="s">
        <v>2022</v>
      </c>
      <c r="E3529" s="1" t="s">
        <v>2023</v>
      </c>
      <c r="F3529" s="3">
        <v>1</v>
      </c>
      <c r="G3529" s="24" t="s">
        <v>6467</v>
      </c>
      <c r="H3529" s="24" t="s">
        <v>6468</v>
      </c>
      <c r="I3529" s="24" t="s">
        <v>3265</v>
      </c>
      <c r="J3529" s="24" t="s">
        <v>2921</v>
      </c>
      <c r="K3529" s="3">
        <v>17</v>
      </c>
      <c r="L3529" s="3" t="s">
        <v>2928</v>
      </c>
      <c r="M3529" s="3" t="str">
        <f>HYPERLINK("http://ictvonline.org/taxonomyHistory.asp?taxnode_id=20154406","ICTVonline=20154406")</f>
        <v>ICTVonline=20154406</v>
      </c>
    </row>
    <row r="3530" spans="1:13" x14ac:dyDescent="0.15">
      <c r="A3530" s="1" t="s">
        <v>934</v>
      </c>
      <c r="B3530" s="1" t="s">
        <v>804</v>
      </c>
      <c r="D3530" s="1" t="s">
        <v>2022</v>
      </c>
      <c r="E3530" s="1" t="s">
        <v>2910</v>
      </c>
      <c r="F3530" s="3">
        <v>0</v>
      </c>
      <c r="G3530" s="24" t="s">
        <v>3330</v>
      </c>
      <c r="H3530" s="24" t="s">
        <v>6469</v>
      </c>
      <c r="I3530" s="24" t="s">
        <v>3265</v>
      </c>
      <c r="J3530" s="24" t="s">
        <v>2919</v>
      </c>
      <c r="K3530" s="3">
        <v>29</v>
      </c>
      <c r="L3530" s="3" t="s">
        <v>7122</v>
      </c>
      <c r="M3530" s="3" t="str">
        <f>HYPERLINK("http://ictvonline.org/taxonomyHistory.asp?taxnode_id=20154407","ICTVonline=20154407")</f>
        <v>ICTVonline=20154407</v>
      </c>
    </row>
    <row r="3531" spans="1:13" x14ac:dyDescent="0.15">
      <c r="A3531" s="1" t="s">
        <v>934</v>
      </c>
      <c r="B3531" s="1" t="s">
        <v>804</v>
      </c>
      <c r="D3531" s="1" t="s">
        <v>6470</v>
      </c>
      <c r="E3531" s="1" t="s">
        <v>2911</v>
      </c>
      <c r="F3531" s="3">
        <v>0</v>
      </c>
      <c r="G3531" s="24" t="s">
        <v>3331</v>
      </c>
      <c r="H3531" s="24" t="s">
        <v>6471</v>
      </c>
      <c r="I3531" s="24" t="s">
        <v>3265</v>
      </c>
      <c r="J3531" s="24" t="s">
        <v>2920</v>
      </c>
      <c r="K3531" s="3">
        <v>30</v>
      </c>
      <c r="L3531" s="3" t="s">
        <v>7123</v>
      </c>
      <c r="M3531" s="3" t="str">
        <f>HYPERLINK("http://ictvonline.org/taxonomyHistory.asp?taxnode_id=20154436","ICTVonline=20154436")</f>
        <v>ICTVonline=20154436</v>
      </c>
    </row>
    <row r="3532" spans="1:13" x14ac:dyDescent="0.15">
      <c r="A3532" s="1" t="s">
        <v>934</v>
      </c>
      <c r="B3532" s="1" t="s">
        <v>804</v>
      </c>
      <c r="D3532" s="1" t="s">
        <v>6470</v>
      </c>
      <c r="E3532" s="1" t="s">
        <v>2912</v>
      </c>
      <c r="F3532" s="3">
        <v>0</v>
      </c>
      <c r="G3532" s="24" t="s">
        <v>3332</v>
      </c>
      <c r="H3532" s="24" t="s">
        <v>6472</v>
      </c>
      <c r="I3532" s="24" t="s">
        <v>3265</v>
      </c>
      <c r="J3532" s="24" t="s">
        <v>2920</v>
      </c>
      <c r="K3532" s="3">
        <v>30</v>
      </c>
      <c r="L3532" s="3" t="s">
        <v>7123</v>
      </c>
      <c r="M3532" s="3" t="str">
        <f>HYPERLINK("http://ictvonline.org/taxonomyHistory.asp?taxnode_id=20154437","ICTVonline=20154437")</f>
        <v>ICTVonline=20154437</v>
      </c>
    </row>
    <row r="3533" spans="1:13" x14ac:dyDescent="0.15">
      <c r="A3533" s="1" t="s">
        <v>934</v>
      </c>
      <c r="B3533" s="1" t="s">
        <v>804</v>
      </c>
      <c r="D3533" s="1" t="s">
        <v>6470</v>
      </c>
      <c r="E3533" s="1" t="s">
        <v>2134</v>
      </c>
      <c r="F3533" s="3">
        <v>1</v>
      </c>
      <c r="G3533" s="24" t="s">
        <v>6473</v>
      </c>
      <c r="H3533" s="24" t="s">
        <v>6474</v>
      </c>
      <c r="I3533" s="24" t="s">
        <v>3265</v>
      </c>
      <c r="J3533" s="24" t="s">
        <v>2920</v>
      </c>
      <c r="K3533" s="3">
        <v>30</v>
      </c>
      <c r="L3533" s="3" t="s">
        <v>7123</v>
      </c>
      <c r="M3533" s="3" t="str">
        <f>HYPERLINK("http://ictvonline.org/taxonomyHistory.asp?taxnode_id=20154438","ICTVonline=20154438")</f>
        <v>ICTVonline=20154438</v>
      </c>
    </row>
    <row r="3534" spans="1:13" x14ac:dyDescent="0.15">
      <c r="A3534" s="1" t="s">
        <v>934</v>
      </c>
      <c r="B3534" s="1" t="s">
        <v>804</v>
      </c>
      <c r="D3534" s="1" t="s">
        <v>6470</v>
      </c>
      <c r="E3534" s="1" t="s">
        <v>2913</v>
      </c>
      <c r="F3534" s="3">
        <v>0</v>
      </c>
      <c r="G3534" s="24" t="s">
        <v>3333</v>
      </c>
      <c r="H3534" s="24" t="s">
        <v>6475</v>
      </c>
      <c r="I3534" s="24" t="s">
        <v>3265</v>
      </c>
      <c r="J3534" s="24" t="s">
        <v>2920</v>
      </c>
      <c r="K3534" s="3">
        <v>30</v>
      </c>
      <c r="L3534" s="3" t="s">
        <v>7123</v>
      </c>
      <c r="M3534" s="3" t="str">
        <f>HYPERLINK("http://ictvonline.org/taxonomyHistory.asp?taxnode_id=20154439","ICTVonline=20154439")</f>
        <v>ICTVonline=20154439</v>
      </c>
    </row>
    <row r="3535" spans="1:13" x14ac:dyDescent="0.15">
      <c r="A3535" s="1" t="s">
        <v>934</v>
      </c>
      <c r="B3535" s="1" t="s">
        <v>804</v>
      </c>
      <c r="D3535" s="1" t="s">
        <v>6470</v>
      </c>
      <c r="E3535" s="1" t="s">
        <v>2914</v>
      </c>
      <c r="F3535" s="3">
        <v>0</v>
      </c>
      <c r="G3535" s="24" t="s">
        <v>3334</v>
      </c>
      <c r="H3535" s="24" t="s">
        <v>6476</v>
      </c>
      <c r="I3535" s="24" t="s">
        <v>3265</v>
      </c>
      <c r="J3535" s="24" t="s">
        <v>2920</v>
      </c>
      <c r="K3535" s="3">
        <v>30</v>
      </c>
      <c r="L3535" s="3" t="s">
        <v>7123</v>
      </c>
      <c r="M3535" s="3" t="str">
        <f>HYPERLINK("http://ictvonline.org/taxonomyHistory.asp?taxnode_id=20154440","ICTVonline=20154440")</f>
        <v>ICTVonline=20154440</v>
      </c>
    </row>
    <row r="3536" spans="1:13" x14ac:dyDescent="0.15">
      <c r="A3536" s="1" t="s">
        <v>934</v>
      </c>
      <c r="B3536" s="1" t="s">
        <v>804</v>
      </c>
      <c r="D3536" s="1" t="s">
        <v>2024</v>
      </c>
      <c r="E3536" s="1" t="s">
        <v>2025</v>
      </c>
      <c r="F3536" s="3">
        <v>0</v>
      </c>
      <c r="G3536" s="24" t="s">
        <v>6477</v>
      </c>
      <c r="H3536" s="24" t="s">
        <v>7755</v>
      </c>
      <c r="I3536" s="24" t="s">
        <v>3265</v>
      </c>
      <c r="J3536" s="24" t="s">
        <v>2920</v>
      </c>
      <c r="K3536" s="3">
        <v>13</v>
      </c>
      <c r="L3536" s="3" t="s">
        <v>2932</v>
      </c>
      <c r="M3536" s="3" t="str">
        <f>HYPERLINK("http://ictvonline.org/taxonomyHistory.asp?taxnode_id=20154409","ICTVonline=20154409")</f>
        <v>ICTVonline=20154409</v>
      </c>
    </row>
    <row r="3537" spans="1:13" x14ac:dyDescent="0.15">
      <c r="A3537" s="1" t="s">
        <v>934</v>
      </c>
      <c r="B3537" s="1" t="s">
        <v>804</v>
      </c>
      <c r="D3537" s="1" t="s">
        <v>2024</v>
      </c>
      <c r="E3537" s="1" t="s">
        <v>2026</v>
      </c>
      <c r="F3537" s="3">
        <v>0</v>
      </c>
      <c r="G3537" s="24" t="s">
        <v>6478</v>
      </c>
      <c r="H3537" s="24" t="s">
        <v>6479</v>
      </c>
      <c r="I3537" s="24" t="s">
        <v>3265</v>
      </c>
      <c r="J3537" s="24" t="s">
        <v>2920</v>
      </c>
      <c r="K3537" s="3">
        <v>13</v>
      </c>
      <c r="L3537" s="3" t="s">
        <v>2932</v>
      </c>
      <c r="M3537" s="3" t="str">
        <f>HYPERLINK("http://ictvonline.org/taxonomyHistory.asp?taxnode_id=20154410","ICTVonline=20154410")</f>
        <v>ICTVonline=20154410</v>
      </c>
    </row>
    <row r="3538" spans="1:13" x14ac:dyDescent="0.15">
      <c r="A3538" s="1" t="s">
        <v>934</v>
      </c>
      <c r="B3538" s="1" t="s">
        <v>804</v>
      </c>
      <c r="D3538" s="1" t="s">
        <v>2024</v>
      </c>
      <c r="E3538" s="1" t="s">
        <v>2027</v>
      </c>
      <c r="F3538" s="3">
        <v>0</v>
      </c>
      <c r="G3538" s="24" t="s">
        <v>6480</v>
      </c>
      <c r="H3538" s="24" t="s">
        <v>6215</v>
      </c>
      <c r="I3538" s="24" t="s">
        <v>3265</v>
      </c>
      <c r="J3538" s="24" t="s">
        <v>2919</v>
      </c>
      <c r="K3538" s="3">
        <v>22</v>
      </c>
      <c r="L3538" s="3" t="s">
        <v>7124</v>
      </c>
      <c r="M3538" s="3" t="str">
        <f>HYPERLINK("http://ictvonline.org/taxonomyHistory.asp?taxnode_id=20154411","ICTVonline=20154411")</f>
        <v>ICTVonline=20154411</v>
      </c>
    </row>
    <row r="3539" spans="1:13" x14ac:dyDescent="0.15">
      <c r="A3539" s="1" t="s">
        <v>934</v>
      </c>
      <c r="B3539" s="1" t="s">
        <v>804</v>
      </c>
      <c r="D3539" s="1" t="s">
        <v>2024</v>
      </c>
      <c r="E3539" s="1" t="s">
        <v>2028</v>
      </c>
      <c r="F3539" s="3">
        <v>0</v>
      </c>
      <c r="G3539" s="24" t="s">
        <v>6481</v>
      </c>
      <c r="H3539" s="24" t="s">
        <v>6482</v>
      </c>
      <c r="I3539" s="24" t="s">
        <v>3265</v>
      </c>
      <c r="J3539" s="24" t="s">
        <v>2920</v>
      </c>
      <c r="K3539" s="3">
        <v>13</v>
      </c>
      <c r="L3539" s="3" t="s">
        <v>2932</v>
      </c>
      <c r="M3539" s="3" t="str">
        <f>HYPERLINK("http://ictvonline.org/taxonomyHistory.asp?taxnode_id=20154412","ICTVonline=20154412")</f>
        <v>ICTVonline=20154412</v>
      </c>
    </row>
    <row r="3540" spans="1:13" x14ac:dyDescent="0.15">
      <c r="A3540" s="1" t="s">
        <v>934</v>
      </c>
      <c r="B3540" s="1" t="s">
        <v>804</v>
      </c>
      <c r="D3540" s="1" t="s">
        <v>2024</v>
      </c>
      <c r="E3540" s="1" t="s">
        <v>2029</v>
      </c>
      <c r="F3540" s="3">
        <v>0</v>
      </c>
      <c r="G3540" s="24" t="s">
        <v>6483</v>
      </c>
      <c r="H3540" s="24" t="s">
        <v>5119</v>
      </c>
      <c r="I3540" s="24" t="s">
        <v>3265</v>
      </c>
      <c r="J3540" s="24" t="s">
        <v>2920</v>
      </c>
      <c r="K3540" s="3">
        <v>13</v>
      </c>
      <c r="L3540" s="3" t="s">
        <v>2932</v>
      </c>
      <c r="M3540" s="3" t="str">
        <f>HYPERLINK("http://ictvonline.org/taxonomyHistory.asp?taxnode_id=20154413","ICTVonline=20154413")</f>
        <v>ICTVonline=20154413</v>
      </c>
    </row>
    <row r="3541" spans="1:13" x14ac:dyDescent="0.15">
      <c r="A3541" s="1" t="s">
        <v>934</v>
      </c>
      <c r="B3541" s="1" t="s">
        <v>804</v>
      </c>
      <c r="D3541" s="1" t="s">
        <v>2024</v>
      </c>
      <c r="E3541" s="1" t="s">
        <v>2030</v>
      </c>
      <c r="F3541" s="3">
        <v>0</v>
      </c>
      <c r="G3541" s="24" t="s">
        <v>6484</v>
      </c>
      <c r="H3541" s="24" t="s">
        <v>6485</v>
      </c>
      <c r="I3541" s="24" t="s">
        <v>3265</v>
      </c>
      <c r="J3541" s="24" t="s">
        <v>2931</v>
      </c>
      <c r="K3541" s="3">
        <v>24</v>
      </c>
      <c r="L3541" s="3" t="s">
        <v>7125</v>
      </c>
      <c r="M3541" s="3" t="str">
        <f>HYPERLINK("http://ictvonline.org/taxonomyHistory.asp?taxnode_id=20154414","ICTVonline=20154414")</f>
        <v>ICTVonline=20154414</v>
      </c>
    </row>
    <row r="3542" spans="1:13" x14ac:dyDescent="0.15">
      <c r="A3542" s="1" t="s">
        <v>934</v>
      </c>
      <c r="B3542" s="1" t="s">
        <v>804</v>
      </c>
      <c r="D3542" s="1" t="s">
        <v>2024</v>
      </c>
      <c r="E3542" s="1" t="s">
        <v>2059</v>
      </c>
      <c r="F3542" s="3">
        <v>0</v>
      </c>
      <c r="G3542" s="24" t="s">
        <v>6486</v>
      </c>
      <c r="H3542" s="24" t="s">
        <v>6487</v>
      </c>
      <c r="I3542" s="24" t="s">
        <v>3265</v>
      </c>
      <c r="J3542" s="24" t="s">
        <v>2920</v>
      </c>
      <c r="K3542" s="3">
        <v>13</v>
      </c>
      <c r="L3542" s="3" t="s">
        <v>2932</v>
      </c>
      <c r="M3542" s="3" t="str">
        <f>HYPERLINK("http://ictvonline.org/taxonomyHistory.asp?taxnode_id=20154415","ICTVonline=20154415")</f>
        <v>ICTVonline=20154415</v>
      </c>
    </row>
    <row r="3543" spans="1:13" x14ac:dyDescent="0.15">
      <c r="A3543" s="1" t="s">
        <v>934</v>
      </c>
      <c r="B3543" s="1" t="s">
        <v>804</v>
      </c>
      <c r="D3543" s="1" t="s">
        <v>2024</v>
      </c>
      <c r="E3543" s="1" t="s">
        <v>2060</v>
      </c>
      <c r="F3543" s="3">
        <v>0</v>
      </c>
      <c r="I3543" s="24" t="s">
        <v>3265</v>
      </c>
      <c r="J3543" s="24" t="s">
        <v>2919</v>
      </c>
      <c r="K3543" s="3">
        <v>24</v>
      </c>
      <c r="L3543" s="3" t="s">
        <v>7126</v>
      </c>
      <c r="M3543" s="3" t="str">
        <f>HYPERLINK("http://ictvonline.org/taxonomyHistory.asp?taxnode_id=20154416","ICTVonline=20154416")</f>
        <v>ICTVonline=20154416</v>
      </c>
    </row>
    <row r="3544" spans="1:13" x14ac:dyDescent="0.15">
      <c r="A3544" s="1" t="s">
        <v>934</v>
      </c>
      <c r="B3544" s="1" t="s">
        <v>804</v>
      </c>
      <c r="D3544" s="1" t="s">
        <v>2024</v>
      </c>
      <c r="E3544" s="1" t="s">
        <v>2061</v>
      </c>
      <c r="F3544" s="3">
        <v>0</v>
      </c>
      <c r="I3544" s="24" t="s">
        <v>3265</v>
      </c>
      <c r="J3544" s="24" t="s">
        <v>2920</v>
      </c>
      <c r="K3544" s="3">
        <v>13</v>
      </c>
      <c r="L3544" s="3" t="s">
        <v>2932</v>
      </c>
      <c r="M3544" s="3" t="str">
        <f>HYPERLINK("http://ictvonline.org/taxonomyHistory.asp?taxnode_id=20154417","ICTVonline=20154417")</f>
        <v>ICTVonline=20154417</v>
      </c>
    </row>
    <row r="3545" spans="1:13" x14ac:dyDescent="0.15">
      <c r="A3545" s="1" t="s">
        <v>934</v>
      </c>
      <c r="B3545" s="1" t="s">
        <v>804</v>
      </c>
      <c r="D3545" s="1" t="s">
        <v>2024</v>
      </c>
      <c r="E3545" s="1" t="s">
        <v>2062</v>
      </c>
      <c r="F3545" s="3">
        <v>0</v>
      </c>
      <c r="I3545" s="24" t="s">
        <v>3265</v>
      </c>
      <c r="J3545" s="24" t="s">
        <v>2919</v>
      </c>
      <c r="K3545" s="3">
        <v>24</v>
      </c>
      <c r="L3545" s="3" t="s">
        <v>7127</v>
      </c>
      <c r="M3545" s="3" t="str">
        <f>HYPERLINK("http://ictvonline.org/taxonomyHistory.asp?taxnode_id=20154418","ICTVonline=20154418")</f>
        <v>ICTVonline=20154418</v>
      </c>
    </row>
    <row r="3546" spans="1:13" x14ac:dyDescent="0.15">
      <c r="A3546" s="1" t="s">
        <v>934</v>
      </c>
      <c r="B3546" s="1" t="s">
        <v>804</v>
      </c>
      <c r="D3546" s="1" t="s">
        <v>2024</v>
      </c>
      <c r="E3546" s="1" t="s">
        <v>2063</v>
      </c>
      <c r="F3546" s="3">
        <v>0</v>
      </c>
      <c r="G3546" s="24" t="s">
        <v>6488</v>
      </c>
      <c r="H3546" s="24" t="s">
        <v>6489</v>
      </c>
      <c r="I3546" s="24" t="s">
        <v>3265</v>
      </c>
      <c r="J3546" s="24" t="s">
        <v>2920</v>
      </c>
      <c r="K3546" s="3">
        <v>13</v>
      </c>
      <c r="L3546" s="3" t="s">
        <v>2932</v>
      </c>
      <c r="M3546" s="3" t="str">
        <f>HYPERLINK("http://ictvonline.org/taxonomyHistory.asp?taxnode_id=20154419","ICTVonline=20154419")</f>
        <v>ICTVonline=20154419</v>
      </c>
    </row>
    <row r="3547" spans="1:13" x14ac:dyDescent="0.15">
      <c r="A3547" s="1" t="s">
        <v>934</v>
      </c>
      <c r="B3547" s="1" t="s">
        <v>804</v>
      </c>
      <c r="D3547" s="1" t="s">
        <v>2024</v>
      </c>
      <c r="E3547" s="1" t="s">
        <v>2064</v>
      </c>
      <c r="F3547" s="3">
        <v>0</v>
      </c>
      <c r="I3547" s="24" t="s">
        <v>3265</v>
      </c>
      <c r="J3547" s="24" t="s">
        <v>2920</v>
      </c>
      <c r="K3547" s="3">
        <v>13</v>
      </c>
      <c r="L3547" s="3" t="s">
        <v>2932</v>
      </c>
      <c r="M3547" s="3" t="str">
        <f>HYPERLINK("http://ictvonline.org/taxonomyHistory.asp?taxnode_id=20154420","ICTVonline=20154420")</f>
        <v>ICTVonline=20154420</v>
      </c>
    </row>
    <row r="3548" spans="1:13" x14ac:dyDescent="0.15">
      <c r="A3548" s="1" t="s">
        <v>934</v>
      </c>
      <c r="B3548" s="1" t="s">
        <v>804</v>
      </c>
      <c r="D3548" s="1" t="s">
        <v>2024</v>
      </c>
      <c r="E3548" s="1" t="s">
        <v>2065</v>
      </c>
      <c r="F3548" s="3">
        <v>0</v>
      </c>
      <c r="I3548" s="24" t="s">
        <v>3265</v>
      </c>
      <c r="J3548" s="24" t="s">
        <v>2920</v>
      </c>
      <c r="K3548" s="3">
        <v>13</v>
      </c>
      <c r="L3548" s="3" t="s">
        <v>2932</v>
      </c>
      <c r="M3548" s="3" t="str">
        <f>HYPERLINK("http://ictvonline.org/taxonomyHistory.asp?taxnode_id=20154421","ICTVonline=20154421")</f>
        <v>ICTVonline=20154421</v>
      </c>
    </row>
    <row r="3549" spans="1:13" x14ac:dyDescent="0.15">
      <c r="A3549" s="1" t="s">
        <v>934</v>
      </c>
      <c r="B3549" s="1" t="s">
        <v>804</v>
      </c>
      <c r="D3549" s="1" t="s">
        <v>2024</v>
      </c>
      <c r="E3549" s="1" t="s">
        <v>2066</v>
      </c>
      <c r="F3549" s="3">
        <v>0</v>
      </c>
      <c r="G3549" s="24" t="s">
        <v>6490</v>
      </c>
      <c r="H3549" s="24" t="s">
        <v>6491</v>
      </c>
      <c r="I3549" s="24" t="s">
        <v>3265</v>
      </c>
      <c r="J3549" s="24" t="s">
        <v>2919</v>
      </c>
      <c r="K3549" s="3">
        <v>24</v>
      </c>
      <c r="L3549" s="3" t="s">
        <v>7127</v>
      </c>
      <c r="M3549" s="3" t="str">
        <f>HYPERLINK("http://ictvonline.org/taxonomyHistory.asp?taxnode_id=20154422","ICTVonline=20154422")</f>
        <v>ICTVonline=20154422</v>
      </c>
    </row>
    <row r="3550" spans="1:13" x14ac:dyDescent="0.15">
      <c r="A3550" s="1" t="s">
        <v>934</v>
      </c>
      <c r="B3550" s="1" t="s">
        <v>804</v>
      </c>
      <c r="D3550" s="1" t="s">
        <v>2024</v>
      </c>
      <c r="E3550" s="1" t="s">
        <v>912</v>
      </c>
      <c r="F3550" s="3">
        <v>0</v>
      </c>
      <c r="I3550" s="24" t="s">
        <v>3265</v>
      </c>
      <c r="J3550" s="24" t="s">
        <v>2920</v>
      </c>
      <c r="K3550" s="3">
        <v>13</v>
      </c>
      <c r="L3550" s="3" t="s">
        <v>2932</v>
      </c>
      <c r="M3550" s="3" t="str">
        <f>HYPERLINK("http://ictvonline.org/taxonomyHistory.asp?taxnode_id=20154423","ICTVonline=20154423")</f>
        <v>ICTVonline=20154423</v>
      </c>
    </row>
    <row r="3551" spans="1:13" x14ac:dyDescent="0.15">
      <c r="A3551" s="1" t="s">
        <v>934</v>
      </c>
      <c r="B3551" s="1" t="s">
        <v>804</v>
      </c>
      <c r="D3551" s="1" t="s">
        <v>2024</v>
      </c>
      <c r="E3551" s="1" t="s">
        <v>2031</v>
      </c>
      <c r="F3551" s="3">
        <v>0</v>
      </c>
      <c r="I3551" s="24" t="s">
        <v>3265</v>
      </c>
      <c r="J3551" s="24" t="s">
        <v>2924</v>
      </c>
      <c r="K3551" s="3">
        <v>18</v>
      </c>
      <c r="L3551" s="3" t="s">
        <v>2929</v>
      </c>
      <c r="M3551" s="3" t="str">
        <f>HYPERLINK("http://ictvonline.org/taxonomyHistory.asp?taxnode_id=20154424","ICTVonline=20154424")</f>
        <v>ICTVonline=20154424</v>
      </c>
    </row>
    <row r="3552" spans="1:13" x14ac:dyDescent="0.15">
      <c r="A3552" s="1" t="s">
        <v>934</v>
      </c>
      <c r="B3552" s="1" t="s">
        <v>804</v>
      </c>
      <c r="D3552" s="1" t="s">
        <v>2024</v>
      </c>
      <c r="E3552" s="1" t="s">
        <v>2037</v>
      </c>
      <c r="F3552" s="3">
        <v>1</v>
      </c>
      <c r="G3552" s="24" t="s">
        <v>6492</v>
      </c>
      <c r="H3552" s="24" t="s">
        <v>4738</v>
      </c>
      <c r="I3552" s="24" t="s">
        <v>3265</v>
      </c>
      <c r="J3552" s="24" t="s">
        <v>2920</v>
      </c>
      <c r="K3552" s="3">
        <v>13</v>
      </c>
      <c r="L3552" s="3" t="s">
        <v>2932</v>
      </c>
      <c r="M3552" s="3" t="str">
        <f>HYPERLINK("http://ictvonline.org/taxonomyHistory.asp?taxnode_id=20154425","ICTVonline=20154425")</f>
        <v>ICTVonline=20154425</v>
      </c>
    </row>
    <row r="3553" spans="1:13" x14ac:dyDescent="0.15">
      <c r="A3553" s="1" t="s">
        <v>934</v>
      </c>
      <c r="B3553" s="1" t="s">
        <v>804</v>
      </c>
      <c r="D3553" s="1" t="s">
        <v>1827</v>
      </c>
      <c r="E3553" s="1" t="s">
        <v>1828</v>
      </c>
      <c r="F3553" s="3">
        <v>0</v>
      </c>
      <c r="G3553" s="24" t="s">
        <v>6493</v>
      </c>
      <c r="H3553" s="24" t="s">
        <v>4881</v>
      </c>
      <c r="I3553" s="24" t="s">
        <v>3265</v>
      </c>
      <c r="J3553" s="24" t="s">
        <v>2920</v>
      </c>
      <c r="K3553" s="3">
        <v>29</v>
      </c>
      <c r="L3553" s="3" t="s">
        <v>7128</v>
      </c>
      <c r="M3553" s="3" t="str">
        <f>HYPERLINK("http://ictvonline.org/taxonomyHistory.asp?taxnode_id=20154427","ICTVonline=20154427")</f>
        <v>ICTVonline=20154427</v>
      </c>
    </row>
    <row r="3554" spans="1:13" x14ac:dyDescent="0.15">
      <c r="A3554" s="1" t="s">
        <v>934</v>
      </c>
      <c r="B3554" s="1" t="s">
        <v>804</v>
      </c>
      <c r="D3554" s="1" t="s">
        <v>1827</v>
      </c>
      <c r="E3554" s="1" t="s">
        <v>1163</v>
      </c>
      <c r="F3554" s="3">
        <v>1</v>
      </c>
      <c r="G3554" s="24" t="s">
        <v>6494</v>
      </c>
      <c r="H3554" s="24" t="s">
        <v>6495</v>
      </c>
      <c r="I3554" s="24" t="s">
        <v>3265</v>
      </c>
      <c r="J3554" s="24" t="s">
        <v>2920</v>
      </c>
      <c r="K3554" s="3">
        <v>29</v>
      </c>
      <c r="L3554" s="3" t="s">
        <v>7128</v>
      </c>
      <c r="M3554" s="3" t="str">
        <f>HYPERLINK("http://ictvonline.org/taxonomyHistory.asp?taxnode_id=20154428","ICTVonline=20154428")</f>
        <v>ICTVonline=20154428</v>
      </c>
    </row>
    <row r="3555" spans="1:13" x14ac:dyDescent="0.15">
      <c r="A3555" s="1" t="s">
        <v>934</v>
      </c>
      <c r="B3555" s="1" t="s">
        <v>804</v>
      </c>
      <c r="D3555" s="1" t="s">
        <v>1827</v>
      </c>
      <c r="E3555" s="1" t="s">
        <v>1164</v>
      </c>
      <c r="F3555" s="3">
        <v>0</v>
      </c>
      <c r="G3555" s="24" t="s">
        <v>6496</v>
      </c>
      <c r="H3555" s="24" t="s">
        <v>6497</v>
      </c>
      <c r="I3555" s="24" t="s">
        <v>3265</v>
      </c>
      <c r="J3555" s="24" t="s">
        <v>2920</v>
      </c>
      <c r="K3555" s="3">
        <v>29</v>
      </c>
      <c r="L3555" s="3" t="s">
        <v>7128</v>
      </c>
      <c r="M3555" s="3" t="str">
        <f>HYPERLINK("http://ictvonline.org/taxonomyHistory.asp?taxnode_id=20154429","ICTVonline=20154429")</f>
        <v>ICTVonline=20154429</v>
      </c>
    </row>
    <row r="3556" spans="1:13" x14ac:dyDescent="0.15">
      <c r="A3556" s="1" t="s">
        <v>934</v>
      </c>
      <c r="B3556" s="1" t="s">
        <v>804</v>
      </c>
      <c r="D3556" s="1" t="s">
        <v>1827</v>
      </c>
      <c r="E3556" s="1" t="s">
        <v>1740</v>
      </c>
      <c r="F3556" s="3">
        <v>0</v>
      </c>
      <c r="I3556" s="24" t="s">
        <v>3265</v>
      </c>
      <c r="J3556" s="24" t="s">
        <v>2920</v>
      </c>
      <c r="K3556" s="3">
        <v>29</v>
      </c>
      <c r="L3556" s="3" t="s">
        <v>7128</v>
      </c>
      <c r="M3556" s="3" t="str">
        <f>HYPERLINK("http://ictvonline.org/taxonomyHistory.asp?taxnode_id=20154430","ICTVonline=20154430")</f>
        <v>ICTVonline=20154430</v>
      </c>
    </row>
    <row r="3557" spans="1:13" x14ac:dyDescent="0.15">
      <c r="A3557" s="1" t="s">
        <v>934</v>
      </c>
      <c r="B3557" s="1" t="s">
        <v>804</v>
      </c>
      <c r="D3557" s="1" t="s">
        <v>1827</v>
      </c>
      <c r="E3557" s="1" t="s">
        <v>2790</v>
      </c>
      <c r="F3557" s="3">
        <v>0</v>
      </c>
      <c r="G3557" s="24" t="s">
        <v>7883</v>
      </c>
      <c r="H3557" s="24" t="s">
        <v>8002</v>
      </c>
      <c r="I3557" s="24" t="s">
        <v>3265</v>
      </c>
      <c r="J3557" s="24" t="s">
        <v>2920</v>
      </c>
      <c r="K3557" s="3">
        <v>29</v>
      </c>
      <c r="L3557" s="3" t="s">
        <v>7128</v>
      </c>
      <c r="M3557" s="3" t="str">
        <f>HYPERLINK("http://ictvonline.org/taxonomyHistory.asp?taxnode_id=20154431","ICTVonline=20154431")</f>
        <v>ICTVonline=20154431</v>
      </c>
    </row>
    <row r="3558" spans="1:13" x14ac:dyDescent="0.15">
      <c r="A3558" s="1" t="s">
        <v>934</v>
      </c>
      <c r="B3558" s="1" t="s">
        <v>804</v>
      </c>
      <c r="D3558" s="1" t="s">
        <v>1827</v>
      </c>
      <c r="E3558" s="1" t="s">
        <v>1166</v>
      </c>
      <c r="F3558" s="3">
        <v>0</v>
      </c>
      <c r="G3558" s="24" t="s">
        <v>6498</v>
      </c>
      <c r="H3558" s="24" t="s">
        <v>6499</v>
      </c>
      <c r="I3558" s="24" t="s">
        <v>3265</v>
      </c>
      <c r="J3558" s="24" t="s">
        <v>2920</v>
      </c>
      <c r="K3558" s="3">
        <v>29</v>
      </c>
      <c r="L3558" s="3" t="s">
        <v>7128</v>
      </c>
      <c r="M3558" s="3" t="str">
        <f>HYPERLINK("http://ictvonline.org/taxonomyHistory.asp?taxnode_id=20154432","ICTVonline=20154432")</f>
        <v>ICTVonline=20154432</v>
      </c>
    </row>
    <row r="3559" spans="1:13" x14ac:dyDescent="0.15">
      <c r="A3559" s="1" t="s">
        <v>934</v>
      </c>
      <c r="B3559" s="1" t="s">
        <v>804</v>
      </c>
      <c r="D3559" s="1" t="s">
        <v>1827</v>
      </c>
      <c r="E3559" s="1" t="s">
        <v>1081</v>
      </c>
      <c r="F3559" s="3">
        <v>0</v>
      </c>
      <c r="I3559" s="24" t="s">
        <v>3265</v>
      </c>
      <c r="J3559" s="24" t="s">
        <v>2920</v>
      </c>
      <c r="K3559" s="3">
        <v>29</v>
      </c>
      <c r="L3559" s="3" t="s">
        <v>7128</v>
      </c>
      <c r="M3559" s="3" t="str">
        <f>HYPERLINK("http://ictvonline.org/taxonomyHistory.asp?taxnode_id=20154433","ICTVonline=20154433")</f>
        <v>ICTVonline=20154433</v>
      </c>
    </row>
    <row r="3560" spans="1:13" x14ac:dyDescent="0.15">
      <c r="A3560" s="1" t="s">
        <v>934</v>
      </c>
      <c r="B3560" s="1" t="s">
        <v>804</v>
      </c>
      <c r="D3560" s="1" t="s">
        <v>934</v>
      </c>
      <c r="E3560" s="1" t="s">
        <v>810</v>
      </c>
      <c r="F3560" s="3">
        <v>0</v>
      </c>
      <c r="I3560" s="24" t="s">
        <v>3265</v>
      </c>
      <c r="J3560" s="24" t="s">
        <v>2920</v>
      </c>
      <c r="K3560" s="3">
        <v>30</v>
      </c>
      <c r="L3560" s="3" t="s">
        <v>7115</v>
      </c>
      <c r="M3560" s="3" t="str">
        <f>HYPERLINK("http://ictvonline.org/taxonomyHistory.asp?taxnode_id=20154372","ICTVonline=20154372")</f>
        <v>ICTVonline=20154372</v>
      </c>
    </row>
    <row r="3561" spans="1:13" x14ac:dyDescent="0.15">
      <c r="A3561" s="1" t="s">
        <v>934</v>
      </c>
      <c r="B3561" s="1" t="s">
        <v>804</v>
      </c>
      <c r="D3561" s="1" t="s">
        <v>934</v>
      </c>
      <c r="E3561" s="1" t="s">
        <v>812</v>
      </c>
      <c r="F3561" s="3">
        <v>0</v>
      </c>
      <c r="I3561" s="24" t="s">
        <v>3265</v>
      </c>
      <c r="J3561" s="24" t="s">
        <v>2920</v>
      </c>
      <c r="K3561" s="3">
        <v>30</v>
      </c>
      <c r="L3561" s="3" t="s">
        <v>7115</v>
      </c>
      <c r="M3561" s="3" t="str">
        <f>HYPERLINK("http://ictvonline.org/taxonomyHistory.asp?taxnode_id=20154374","ICTVonline=20154374")</f>
        <v>ICTVonline=20154374</v>
      </c>
    </row>
    <row r="3562" spans="1:13" x14ac:dyDescent="0.15">
      <c r="A3562" s="1" t="s">
        <v>934</v>
      </c>
      <c r="B3562" s="1" t="s">
        <v>804</v>
      </c>
      <c r="D3562" s="1" t="s">
        <v>934</v>
      </c>
      <c r="E3562" s="1" t="s">
        <v>899</v>
      </c>
      <c r="F3562" s="3">
        <v>0</v>
      </c>
      <c r="I3562" s="24" t="s">
        <v>3265</v>
      </c>
      <c r="J3562" s="24" t="s">
        <v>2920</v>
      </c>
      <c r="K3562" s="3">
        <v>27</v>
      </c>
      <c r="L3562" s="3" t="s">
        <v>7116</v>
      </c>
      <c r="M3562" s="3" t="str">
        <f>HYPERLINK("http://ictvonline.org/taxonomyHistory.asp?taxnode_id=20154435","ICTVonline=20154435")</f>
        <v>ICTVonline=20154435</v>
      </c>
    </row>
    <row r="3563" spans="1:13" x14ac:dyDescent="0.15">
      <c r="A3563" s="1" t="s">
        <v>934</v>
      </c>
      <c r="B3563" s="1" t="s">
        <v>804</v>
      </c>
      <c r="D3563" s="1" t="s">
        <v>934</v>
      </c>
      <c r="E3563" s="1" t="s">
        <v>1458</v>
      </c>
      <c r="F3563" s="3">
        <v>0</v>
      </c>
      <c r="I3563" s="24" t="s">
        <v>3265</v>
      </c>
      <c r="J3563" s="24" t="s">
        <v>2920</v>
      </c>
      <c r="K3563" s="3">
        <v>30</v>
      </c>
      <c r="L3563" s="3" t="s">
        <v>7115</v>
      </c>
      <c r="M3563" s="3" t="str">
        <f>HYPERLINK("http://ictvonline.org/taxonomyHistory.asp?taxnode_id=20154379","ICTVonline=20154379")</f>
        <v>ICTVonline=20154379</v>
      </c>
    </row>
    <row r="3564" spans="1:13" x14ac:dyDescent="0.15">
      <c r="A3564" s="1" t="s">
        <v>934</v>
      </c>
      <c r="B3564" s="1" t="s">
        <v>804</v>
      </c>
      <c r="D3564" s="1" t="s">
        <v>934</v>
      </c>
      <c r="E3564" s="1" t="s">
        <v>2915</v>
      </c>
      <c r="F3564" s="3">
        <v>0</v>
      </c>
      <c r="G3564" s="24" t="s">
        <v>3335</v>
      </c>
      <c r="H3564" s="24" t="s">
        <v>3336</v>
      </c>
      <c r="I3564" s="24" t="s">
        <v>3265</v>
      </c>
      <c r="J3564" s="24" t="s">
        <v>2919</v>
      </c>
      <c r="K3564" s="3">
        <v>29</v>
      </c>
      <c r="L3564" s="3" t="s">
        <v>7129</v>
      </c>
      <c r="M3564" s="3" t="str">
        <f>HYPERLINK("http://ictvonline.org/taxonomyHistory.asp?taxnode_id=20154441","ICTVonline=20154441")</f>
        <v>ICTVonline=20154441</v>
      </c>
    </row>
    <row r="3565" spans="1:13" x14ac:dyDescent="0.15">
      <c r="A3565" s="1" t="s">
        <v>934</v>
      </c>
      <c r="B3565" s="1" t="s">
        <v>804</v>
      </c>
      <c r="D3565" s="1" t="s">
        <v>934</v>
      </c>
      <c r="E3565" s="1" t="s">
        <v>1319</v>
      </c>
      <c r="F3565" s="3">
        <v>0</v>
      </c>
      <c r="I3565" s="24" t="s">
        <v>3265</v>
      </c>
      <c r="J3565" s="24" t="s">
        <v>2920</v>
      </c>
      <c r="K3565" s="3">
        <v>30</v>
      </c>
      <c r="L3565" s="3" t="s">
        <v>7115</v>
      </c>
      <c r="M3565" s="3" t="str">
        <f>HYPERLINK("http://ictvonline.org/taxonomyHistory.asp?taxnode_id=20154390","ICTVonline=20154390")</f>
        <v>ICTVonline=20154390</v>
      </c>
    </row>
    <row r="3566" spans="1:13" x14ac:dyDescent="0.15">
      <c r="A3566" s="1" t="s">
        <v>934</v>
      </c>
      <c r="B3566" s="1" t="s">
        <v>804</v>
      </c>
      <c r="D3566" s="1" t="s">
        <v>2433</v>
      </c>
      <c r="E3566" s="1" t="s">
        <v>2133</v>
      </c>
      <c r="F3566" s="3">
        <v>1</v>
      </c>
      <c r="G3566" s="24" t="s">
        <v>6500</v>
      </c>
      <c r="H3566" s="24" t="s">
        <v>6501</v>
      </c>
      <c r="I3566" s="24" t="s">
        <v>3265</v>
      </c>
      <c r="J3566" s="24" t="s">
        <v>2922</v>
      </c>
      <c r="K3566" s="3">
        <v>27</v>
      </c>
      <c r="L3566" s="3" t="s">
        <v>7130</v>
      </c>
      <c r="M3566" s="3" t="str">
        <f>HYPERLINK("http://ictvonline.org/taxonomyHistory.asp?taxnode_id=20154443","ICTVonline=20154443")</f>
        <v>ICTVonline=20154443</v>
      </c>
    </row>
    <row r="3567" spans="1:13" x14ac:dyDescent="0.15">
      <c r="A3567" s="1" t="s">
        <v>934</v>
      </c>
      <c r="B3567" s="1" t="s">
        <v>2038</v>
      </c>
      <c r="D3567" s="1" t="s">
        <v>2039</v>
      </c>
      <c r="E3567" s="1" t="s">
        <v>1703</v>
      </c>
      <c r="F3567" s="3">
        <v>1</v>
      </c>
      <c r="G3567" s="24" t="s">
        <v>6502</v>
      </c>
      <c r="H3567" s="24" t="s">
        <v>6503</v>
      </c>
      <c r="I3567" s="24" t="s">
        <v>3286</v>
      </c>
      <c r="J3567" s="24" t="s">
        <v>2920</v>
      </c>
      <c r="K3567" s="3">
        <v>13</v>
      </c>
      <c r="L3567" s="3" t="s">
        <v>2932</v>
      </c>
      <c r="M3567" s="3" t="str">
        <f>HYPERLINK("http://ictvonline.org/taxonomyHistory.asp?taxnode_id=20154448","ICTVonline=20154448")</f>
        <v>ICTVonline=20154448</v>
      </c>
    </row>
    <row r="3568" spans="1:13" x14ac:dyDescent="0.15">
      <c r="A3568" s="1" t="s">
        <v>934</v>
      </c>
      <c r="B3568" s="1" t="s">
        <v>2038</v>
      </c>
      <c r="D3568" s="1" t="s">
        <v>1704</v>
      </c>
      <c r="E3568" s="1" t="s">
        <v>2771</v>
      </c>
      <c r="F3568" s="3">
        <v>1</v>
      </c>
      <c r="G3568" s="24" t="s">
        <v>6504</v>
      </c>
      <c r="H3568" s="24" t="s">
        <v>7958</v>
      </c>
      <c r="I3568" s="24" t="s">
        <v>3286</v>
      </c>
      <c r="J3568" s="24" t="s">
        <v>2924</v>
      </c>
      <c r="K3568" s="3">
        <v>28</v>
      </c>
      <c r="L3568" s="3" t="s">
        <v>7131</v>
      </c>
      <c r="M3568" s="3" t="str">
        <f>HYPERLINK("http://ictvonline.org/taxonomyHistory.asp?taxnode_id=20154450","ICTVonline=20154450")</f>
        <v>ICTVonline=20154450</v>
      </c>
    </row>
    <row r="3569" spans="1:13" x14ac:dyDescent="0.15">
      <c r="A3569" s="1" t="s">
        <v>934</v>
      </c>
      <c r="B3569" s="1" t="s">
        <v>2038</v>
      </c>
      <c r="D3569" s="1" t="s">
        <v>1704</v>
      </c>
      <c r="E3569" s="1" t="s">
        <v>2772</v>
      </c>
      <c r="F3569" s="3">
        <v>0</v>
      </c>
      <c r="G3569" s="24" t="s">
        <v>6505</v>
      </c>
      <c r="H3569" s="24" t="s">
        <v>7959</v>
      </c>
      <c r="I3569" s="24" t="s">
        <v>3286</v>
      </c>
      <c r="J3569" s="24" t="s">
        <v>2924</v>
      </c>
      <c r="K3569" s="3">
        <v>28</v>
      </c>
      <c r="L3569" s="3" t="s">
        <v>7131</v>
      </c>
      <c r="M3569" s="3" t="str">
        <f>HYPERLINK("http://ictvonline.org/taxonomyHistory.asp?taxnode_id=20154451","ICTVonline=20154451")</f>
        <v>ICTVonline=20154451</v>
      </c>
    </row>
    <row r="3570" spans="1:13" x14ac:dyDescent="0.15">
      <c r="A3570" s="1" t="s">
        <v>934</v>
      </c>
      <c r="B3570" s="1" t="s">
        <v>2038</v>
      </c>
      <c r="D3570" s="1" t="s">
        <v>1395</v>
      </c>
      <c r="E3570" s="1" t="s">
        <v>1396</v>
      </c>
      <c r="F3570" s="3">
        <v>1</v>
      </c>
      <c r="G3570" s="24" t="s">
        <v>6506</v>
      </c>
      <c r="H3570" s="24" t="s">
        <v>6507</v>
      </c>
      <c r="I3570" s="24" t="s">
        <v>3286</v>
      </c>
      <c r="J3570" s="24" t="s">
        <v>2924</v>
      </c>
      <c r="K3570" s="3">
        <v>12</v>
      </c>
      <c r="L3570" s="3" t="s">
        <v>2927</v>
      </c>
      <c r="M3570" s="3" t="str">
        <f>HYPERLINK("http://ictvonline.org/taxonomyHistory.asp?taxnode_id=20154453","ICTVonline=20154453")</f>
        <v>ICTVonline=20154453</v>
      </c>
    </row>
    <row r="3571" spans="1:13" x14ac:dyDescent="0.15">
      <c r="A3571" s="1" t="s">
        <v>934</v>
      </c>
      <c r="B3571" s="1" t="s">
        <v>2038</v>
      </c>
      <c r="D3571" s="1" t="s">
        <v>1395</v>
      </c>
      <c r="E3571" s="1" t="s">
        <v>1397</v>
      </c>
      <c r="F3571" s="3">
        <v>0</v>
      </c>
      <c r="G3571" s="24" t="s">
        <v>6508</v>
      </c>
      <c r="H3571" s="24" t="s">
        <v>6509</v>
      </c>
      <c r="I3571" s="24" t="s">
        <v>3286</v>
      </c>
      <c r="J3571" s="24" t="s">
        <v>2924</v>
      </c>
      <c r="K3571" s="3">
        <v>23</v>
      </c>
      <c r="L3571" s="3" t="s">
        <v>2933</v>
      </c>
      <c r="M3571" s="3" t="str">
        <f>HYPERLINK("http://ictvonline.org/taxonomyHistory.asp?taxnode_id=20154454","ICTVonline=20154454")</f>
        <v>ICTVonline=20154454</v>
      </c>
    </row>
    <row r="3572" spans="1:13" x14ac:dyDescent="0.15">
      <c r="A3572" s="1" t="s">
        <v>934</v>
      </c>
      <c r="B3572" s="1" t="s">
        <v>2038</v>
      </c>
      <c r="D3572" s="1" t="s">
        <v>1395</v>
      </c>
      <c r="E3572" s="1" t="s">
        <v>2773</v>
      </c>
      <c r="F3572" s="3">
        <v>0</v>
      </c>
      <c r="G3572" s="24" t="s">
        <v>6510</v>
      </c>
      <c r="H3572" s="24" t="s">
        <v>6511</v>
      </c>
      <c r="I3572" s="24" t="s">
        <v>3286</v>
      </c>
      <c r="J3572" s="24" t="s">
        <v>2919</v>
      </c>
      <c r="K3572" s="3">
        <v>28</v>
      </c>
      <c r="L3572" s="3" t="s">
        <v>7132</v>
      </c>
      <c r="M3572" s="3" t="str">
        <f>HYPERLINK("http://ictvonline.org/taxonomyHistory.asp?taxnode_id=20154455","ICTVonline=20154455")</f>
        <v>ICTVonline=20154455</v>
      </c>
    </row>
    <row r="3573" spans="1:13" x14ac:dyDescent="0.15">
      <c r="A3573" s="1" t="s">
        <v>934</v>
      </c>
      <c r="B3573" s="1" t="s">
        <v>2038</v>
      </c>
      <c r="D3573" s="1" t="s">
        <v>1395</v>
      </c>
      <c r="E3573" s="1" t="s">
        <v>2774</v>
      </c>
      <c r="F3573" s="3">
        <v>0</v>
      </c>
      <c r="G3573" s="24" t="s">
        <v>6512</v>
      </c>
      <c r="H3573" s="24" t="s">
        <v>6513</v>
      </c>
      <c r="I3573" s="24" t="s">
        <v>3286</v>
      </c>
      <c r="J3573" s="24" t="s">
        <v>2919</v>
      </c>
      <c r="K3573" s="3">
        <v>28</v>
      </c>
      <c r="L3573" s="3" t="s">
        <v>7132</v>
      </c>
      <c r="M3573" s="3" t="str">
        <f>HYPERLINK("http://ictvonline.org/taxonomyHistory.asp?taxnode_id=20154456","ICTVonline=20154456")</f>
        <v>ICTVonline=20154456</v>
      </c>
    </row>
    <row r="3574" spans="1:13" x14ac:dyDescent="0.15">
      <c r="A3574" s="1" t="s">
        <v>934</v>
      </c>
      <c r="B3574" s="1" t="s">
        <v>2038</v>
      </c>
      <c r="D3574" s="1" t="s">
        <v>1395</v>
      </c>
      <c r="E3574" s="1" t="s">
        <v>1398</v>
      </c>
      <c r="F3574" s="3">
        <v>0</v>
      </c>
      <c r="G3574" s="24" t="s">
        <v>6514</v>
      </c>
      <c r="H3574" s="24" t="s">
        <v>6515</v>
      </c>
      <c r="I3574" s="24" t="s">
        <v>3286</v>
      </c>
      <c r="J3574" s="24" t="s">
        <v>2924</v>
      </c>
      <c r="K3574" s="3">
        <v>18</v>
      </c>
      <c r="L3574" s="3" t="s">
        <v>2929</v>
      </c>
      <c r="M3574" s="3" t="str">
        <f>HYPERLINK("http://ictvonline.org/taxonomyHistory.asp?taxnode_id=20154457","ICTVonline=20154457")</f>
        <v>ICTVonline=20154457</v>
      </c>
    </row>
    <row r="3575" spans="1:13" x14ac:dyDescent="0.15">
      <c r="A3575" s="1" t="s">
        <v>934</v>
      </c>
      <c r="B3575" s="1" t="s">
        <v>2038</v>
      </c>
      <c r="D3575" s="1" t="s">
        <v>1395</v>
      </c>
      <c r="E3575" s="1" t="s">
        <v>2775</v>
      </c>
      <c r="F3575" s="3">
        <v>0</v>
      </c>
      <c r="G3575" s="24" t="s">
        <v>6516</v>
      </c>
      <c r="H3575" s="24" t="s">
        <v>6517</v>
      </c>
      <c r="I3575" s="24" t="s">
        <v>3286</v>
      </c>
      <c r="J3575" s="24" t="s">
        <v>2919</v>
      </c>
      <c r="K3575" s="3">
        <v>28</v>
      </c>
      <c r="L3575" s="3" t="s">
        <v>7132</v>
      </c>
      <c r="M3575" s="3" t="str">
        <f>HYPERLINK("http://ictvonline.org/taxonomyHistory.asp?taxnode_id=20154458","ICTVonline=20154458")</f>
        <v>ICTVonline=20154458</v>
      </c>
    </row>
    <row r="3576" spans="1:13" x14ac:dyDescent="0.15">
      <c r="A3576" s="1" t="s">
        <v>934</v>
      </c>
      <c r="B3576" s="1" t="s">
        <v>2038</v>
      </c>
      <c r="D3576" s="1" t="s">
        <v>1395</v>
      </c>
      <c r="E3576" s="1" t="s">
        <v>2776</v>
      </c>
      <c r="F3576" s="3">
        <v>0</v>
      </c>
      <c r="G3576" s="24" t="s">
        <v>6518</v>
      </c>
      <c r="H3576" s="24" t="s">
        <v>6517</v>
      </c>
      <c r="I3576" s="24" t="s">
        <v>3286</v>
      </c>
      <c r="J3576" s="24" t="s">
        <v>2919</v>
      </c>
      <c r="K3576" s="3">
        <v>28</v>
      </c>
      <c r="L3576" s="3" t="s">
        <v>7132</v>
      </c>
      <c r="M3576" s="3" t="str">
        <f>HYPERLINK("http://ictvonline.org/taxonomyHistory.asp?taxnode_id=20154459","ICTVonline=20154459")</f>
        <v>ICTVonline=20154459</v>
      </c>
    </row>
    <row r="3577" spans="1:13" x14ac:dyDescent="0.15">
      <c r="A3577" s="1" t="s">
        <v>934</v>
      </c>
      <c r="B3577" s="1" t="s">
        <v>2038</v>
      </c>
      <c r="D3577" s="1" t="s">
        <v>210</v>
      </c>
      <c r="E3577" s="1" t="s">
        <v>211</v>
      </c>
      <c r="F3577" s="3">
        <v>1</v>
      </c>
      <c r="G3577" s="24" t="s">
        <v>6519</v>
      </c>
      <c r="H3577" s="24" t="s">
        <v>3928</v>
      </c>
      <c r="I3577" s="24" t="s">
        <v>3286</v>
      </c>
      <c r="J3577" s="24" t="s">
        <v>2921</v>
      </c>
      <c r="K3577" s="3">
        <v>26</v>
      </c>
      <c r="L3577" s="3" t="s">
        <v>7133</v>
      </c>
      <c r="M3577" s="3" t="str">
        <f>HYPERLINK("http://ictvonline.org/taxonomyHistory.asp?taxnode_id=20154461","ICTVonline=20154461")</f>
        <v>ICTVonline=20154461</v>
      </c>
    </row>
    <row r="3578" spans="1:13" x14ac:dyDescent="0.15">
      <c r="A3578" s="1" t="s">
        <v>934</v>
      </c>
      <c r="B3578" s="1" t="s">
        <v>2038</v>
      </c>
      <c r="D3578" s="1" t="s">
        <v>210</v>
      </c>
      <c r="E3578" s="1" t="s">
        <v>212</v>
      </c>
      <c r="F3578" s="3">
        <v>0</v>
      </c>
      <c r="G3578" s="24" t="s">
        <v>6520</v>
      </c>
      <c r="H3578" s="24" t="s">
        <v>6521</v>
      </c>
      <c r="I3578" s="24" t="s">
        <v>3286</v>
      </c>
      <c r="J3578" s="24" t="s">
        <v>2919</v>
      </c>
      <c r="K3578" s="3">
        <v>26</v>
      </c>
      <c r="L3578" s="3" t="s">
        <v>7133</v>
      </c>
      <c r="M3578" s="3" t="str">
        <f>HYPERLINK("http://ictvonline.org/taxonomyHistory.asp?taxnode_id=20154462","ICTVonline=20154462")</f>
        <v>ICTVonline=20154462</v>
      </c>
    </row>
    <row r="3579" spans="1:13" x14ac:dyDescent="0.15">
      <c r="A3579" s="1" t="s">
        <v>934</v>
      </c>
      <c r="B3579" s="1" t="s">
        <v>2038</v>
      </c>
      <c r="D3579" s="1" t="s">
        <v>210</v>
      </c>
      <c r="E3579" s="1" t="s">
        <v>213</v>
      </c>
      <c r="F3579" s="3">
        <v>0</v>
      </c>
      <c r="G3579" s="24" t="s">
        <v>6522</v>
      </c>
      <c r="H3579" s="24" t="s">
        <v>6521</v>
      </c>
      <c r="I3579" s="24" t="s">
        <v>3286</v>
      </c>
      <c r="J3579" s="24" t="s">
        <v>2919</v>
      </c>
      <c r="K3579" s="3">
        <v>26</v>
      </c>
      <c r="L3579" s="3" t="s">
        <v>7133</v>
      </c>
      <c r="M3579" s="3" t="str">
        <f>HYPERLINK("http://ictvonline.org/taxonomyHistory.asp?taxnode_id=20154463","ICTVonline=20154463")</f>
        <v>ICTVonline=20154463</v>
      </c>
    </row>
    <row r="3580" spans="1:13" x14ac:dyDescent="0.15">
      <c r="A3580" s="1" t="s">
        <v>934</v>
      </c>
      <c r="B3580" s="1" t="s">
        <v>2038</v>
      </c>
      <c r="D3580" s="1" t="s">
        <v>210</v>
      </c>
      <c r="E3580" s="1" t="s">
        <v>2777</v>
      </c>
      <c r="F3580" s="3">
        <v>0</v>
      </c>
      <c r="G3580" s="24" t="s">
        <v>6523</v>
      </c>
      <c r="H3580" s="24" t="s">
        <v>6524</v>
      </c>
      <c r="I3580" s="24" t="s">
        <v>3286</v>
      </c>
      <c r="J3580" s="24" t="s">
        <v>2919</v>
      </c>
      <c r="K3580" s="3">
        <v>28</v>
      </c>
      <c r="L3580" s="3" t="s">
        <v>7132</v>
      </c>
      <c r="M3580" s="3" t="str">
        <f>HYPERLINK("http://ictvonline.org/taxonomyHistory.asp?taxnode_id=20154464","ICTVonline=20154464")</f>
        <v>ICTVonline=20154464</v>
      </c>
    </row>
    <row r="3581" spans="1:13" x14ac:dyDescent="0.15">
      <c r="A3581" s="1" t="s">
        <v>934</v>
      </c>
      <c r="B3581" s="1" t="s">
        <v>2038</v>
      </c>
      <c r="D3581" s="1" t="s">
        <v>795</v>
      </c>
      <c r="E3581" s="1" t="s">
        <v>2778</v>
      </c>
      <c r="F3581" s="3">
        <v>0</v>
      </c>
      <c r="G3581" s="24" t="s">
        <v>6525</v>
      </c>
      <c r="H3581" s="24" t="s">
        <v>6526</v>
      </c>
      <c r="I3581" s="24" t="s">
        <v>3286</v>
      </c>
      <c r="J3581" s="24" t="s">
        <v>2919</v>
      </c>
      <c r="K3581" s="3">
        <v>28</v>
      </c>
      <c r="L3581" s="3" t="s">
        <v>7132</v>
      </c>
      <c r="M3581" s="3" t="str">
        <f>HYPERLINK("http://ictvonline.org/taxonomyHistory.asp?taxnode_id=20154466","ICTVonline=20154466")</f>
        <v>ICTVonline=20154466</v>
      </c>
    </row>
    <row r="3582" spans="1:13" x14ac:dyDescent="0.15">
      <c r="A3582" s="1" t="s">
        <v>934</v>
      </c>
      <c r="B3582" s="1" t="s">
        <v>2038</v>
      </c>
      <c r="D3582" s="1" t="s">
        <v>795</v>
      </c>
      <c r="E3582" s="1" t="s">
        <v>2779</v>
      </c>
      <c r="F3582" s="3">
        <v>0</v>
      </c>
      <c r="G3582" s="24" t="s">
        <v>6527</v>
      </c>
      <c r="H3582" s="24" t="s">
        <v>6528</v>
      </c>
      <c r="I3582" s="24" t="s">
        <v>3286</v>
      </c>
      <c r="J3582" s="24" t="s">
        <v>2919</v>
      </c>
      <c r="K3582" s="3">
        <v>28</v>
      </c>
      <c r="L3582" s="3" t="s">
        <v>7132</v>
      </c>
      <c r="M3582" s="3" t="str">
        <f>HYPERLINK("http://ictvonline.org/taxonomyHistory.asp?taxnode_id=20154467","ICTVonline=20154467")</f>
        <v>ICTVonline=20154467</v>
      </c>
    </row>
    <row r="3583" spans="1:13" x14ac:dyDescent="0.15">
      <c r="A3583" s="1" t="s">
        <v>934</v>
      </c>
      <c r="B3583" s="1" t="s">
        <v>2038</v>
      </c>
      <c r="D3583" s="1" t="s">
        <v>795</v>
      </c>
      <c r="E3583" s="1" t="s">
        <v>1284</v>
      </c>
      <c r="F3583" s="3">
        <v>0</v>
      </c>
      <c r="G3583" s="24" t="s">
        <v>6529</v>
      </c>
      <c r="H3583" s="24" t="s">
        <v>6530</v>
      </c>
      <c r="I3583" s="24" t="s">
        <v>3286</v>
      </c>
      <c r="J3583" s="24" t="s">
        <v>2919</v>
      </c>
      <c r="K3583" s="3">
        <v>25</v>
      </c>
      <c r="L3583" s="3" t="s">
        <v>7134</v>
      </c>
      <c r="M3583" s="3" t="str">
        <f>HYPERLINK("http://ictvonline.org/taxonomyHistory.asp?taxnode_id=20154468","ICTVonline=20154468")</f>
        <v>ICTVonline=20154468</v>
      </c>
    </row>
    <row r="3584" spans="1:13" x14ac:dyDescent="0.15">
      <c r="A3584" s="1" t="s">
        <v>934</v>
      </c>
      <c r="B3584" s="1" t="s">
        <v>2038</v>
      </c>
      <c r="D3584" s="1" t="s">
        <v>795</v>
      </c>
      <c r="E3584" s="1" t="s">
        <v>1285</v>
      </c>
      <c r="F3584" s="3">
        <v>0</v>
      </c>
      <c r="G3584" s="24" t="s">
        <v>6531</v>
      </c>
      <c r="H3584" s="24" t="s">
        <v>6532</v>
      </c>
      <c r="I3584" s="24" t="s">
        <v>3286</v>
      </c>
      <c r="J3584" s="24" t="s">
        <v>2919</v>
      </c>
      <c r="K3584" s="3">
        <v>25</v>
      </c>
      <c r="L3584" s="3" t="s">
        <v>7134</v>
      </c>
      <c r="M3584" s="3" t="str">
        <f>HYPERLINK("http://ictvonline.org/taxonomyHistory.asp?taxnode_id=20154469","ICTVonline=20154469")</f>
        <v>ICTVonline=20154469</v>
      </c>
    </row>
    <row r="3585" spans="1:13" x14ac:dyDescent="0.15">
      <c r="A3585" s="1" t="s">
        <v>934</v>
      </c>
      <c r="B3585" s="1" t="s">
        <v>2038</v>
      </c>
      <c r="D3585" s="1" t="s">
        <v>795</v>
      </c>
      <c r="E3585" s="1" t="s">
        <v>1286</v>
      </c>
      <c r="F3585" s="3">
        <v>0</v>
      </c>
      <c r="G3585" s="24" t="s">
        <v>6533</v>
      </c>
      <c r="H3585" s="24" t="s">
        <v>6534</v>
      </c>
      <c r="I3585" s="24" t="s">
        <v>3286</v>
      </c>
      <c r="J3585" s="24" t="s">
        <v>2919</v>
      </c>
      <c r="K3585" s="3">
        <v>25</v>
      </c>
      <c r="L3585" s="3" t="s">
        <v>7134</v>
      </c>
      <c r="M3585" s="3" t="str">
        <f>HYPERLINK("http://ictvonline.org/taxonomyHistory.asp?taxnode_id=20154470","ICTVonline=20154470")</f>
        <v>ICTVonline=20154470</v>
      </c>
    </row>
    <row r="3586" spans="1:13" x14ac:dyDescent="0.15">
      <c r="A3586" s="1" t="s">
        <v>934</v>
      </c>
      <c r="B3586" s="1" t="s">
        <v>2038</v>
      </c>
      <c r="D3586" s="1" t="s">
        <v>795</v>
      </c>
      <c r="E3586" s="1" t="s">
        <v>1287</v>
      </c>
      <c r="F3586" s="3">
        <v>0</v>
      </c>
      <c r="G3586" s="24" t="s">
        <v>6535</v>
      </c>
      <c r="H3586" s="24" t="s">
        <v>6536</v>
      </c>
      <c r="I3586" s="24" t="s">
        <v>3286</v>
      </c>
      <c r="J3586" s="24" t="s">
        <v>2919</v>
      </c>
      <c r="K3586" s="3">
        <v>25</v>
      </c>
      <c r="L3586" s="3" t="s">
        <v>7134</v>
      </c>
      <c r="M3586" s="3" t="str">
        <f>HYPERLINK("http://ictvonline.org/taxonomyHistory.asp?taxnode_id=20154471","ICTVonline=20154471")</f>
        <v>ICTVonline=20154471</v>
      </c>
    </row>
    <row r="3587" spans="1:13" x14ac:dyDescent="0.15">
      <c r="A3587" s="1" t="s">
        <v>934</v>
      </c>
      <c r="B3587" s="1" t="s">
        <v>2038</v>
      </c>
      <c r="D3587" s="1" t="s">
        <v>795</v>
      </c>
      <c r="E3587" s="1" t="s">
        <v>799</v>
      </c>
      <c r="F3587" s="3">
        <v>0</v>
      </c>
      <c r="G3587" s="24" t="s">
        <v>6537</v>
      </c>
      <c r="H3587" s="24" t="s">
        <v>5857</v>
      </c>
      <c r="I3587" s="24" t="s">
        <v>3286</v>
      </c>
      <c r="J3587" s="24" t="s">
        <v>2919</v>
      </c>
      <c r="K3587" s="3">
        <v>25</v>
      </c>
      <c r="L3587" s="3" t="s">
        <v>7134</v>
      </c>
      <c r="M3587" s="3" t="str">
        <f>HYPERLINK("http://ictvonline.org/taxonomyHistory.asp?taxnode_id=20154472","ICTVonline=20154472")</f>
        <v>ICTVonline=20154472</v>
      </c>
    </row>
    <row r="3588" spans="1:13" x14ac:dyDescent="0.15">
      <c r="A3588" s="1" t="s">
        <v>934</v>
      </c>
      <c r="B3588" s="1" t="s">
        <v>2038</v>
      </c>
      <c r="D3588" s="1" t="s">
        <v>795</v>
      </c>
      <c r="E3588" s="1" t="s">
        <v>1614</v>
      </c>
      <c r="F3588" s="3">
        <v>1</v>
      </c>
      <c r="G3588" s="24" t="s">
        <v>6538</v>
      </c>
      <c r="H3588" s="24" t="s">
        <v>5317</v>
      </c>
      <c r="I3588" s="24" t="s">
        <v>3286</v>
      </c>
      <c r="J3588" s="24" t="s">
        <v>2922</v>
      </c>
      <c r="K3588" s="3">
        <v>25</v>
      </c>
      <c r="L3588" s="3" t="s">
        <v>7134</v>
      </c>
      <c r="M3588" s="3" t="str">
        <f>HYPERLINK("http://ictvonline.org/taxonomyHistory.asp?taxnode_id=20154473","ICTVonline=20154473")</f>
        <v>ICTVonline=20154473</v>
      </c>
    </row>
    <row r="3589" spans="1:13" x14ac:dyDescent="0.15">
      <c r="A3589" s="1" t="s">
        <v>934</v>
      </c>
      <c r="B3589" s="1" t="s">
        <v>2038</v>
      </c>
      <c r="D3589" s="1" t="s">
        <v>795</v>
      </c>
      <c r="E3589" s="1" t="s">
        <v>800</v>
      </c>
      <c r="F3589" s="3">
        <v>0</v>
      </c>
      <c r="G3589" s="24" t="s">
        <v>6539</v>
      </c>
      <c r="H3589" s="24" t="s">
        <v>6540</v>
      </c>
      <c r="I3589" s="24" t="s">
        <v>3286</v>
      </c>
      <c r="J3589" s="24" t="s">
        <v>2919</v>
      </c>
      <c r="K3589" s="3">
        <v>25</v>
      </c>
      <c r="L3589" s="3" t="s">
        <v>7134</v>
      </c>
      <c r="M3589" s="3" t="str">
        <f>HYPERLINK("http://ictvonline.org/taxonomyHistory.asp?taxnode_id=20154474","ICTVonline=20154474")</f>
        <v>ICTVonline=20154474</v>
      </c>
    </row>
    <row r="3590" spans="1:13" x14ac:dyDescent="0.15">
      <c r="A3590" s="1" t="s">
        <v>934</v>
      </c>
      <c r="B3590" s="1" t="s">
        <v>2038</v>
      </c>
      <c r="D3590" s="1" t="s">
        <v>795</v>
      </c>
      <c r="E3590" s="1" t="s">
        <v>2780</v>
      </c>
      <c r="F3590" s="3">
        <v>0</v>
      </c>
      <c r="G3590" s="24" t="s">
        <v>6541</v>
      </c>
      <c r="H3590" s="24" t="s">
        <v>6542</v>
      </c>
      <c r="I3590" s="24" t="s">
        <v>3286</v>
      </c>
      <c r="J3590" s="24" t="s">
        <v>2919</v>
      </c>
      <c r="K3590" s="3">
        <v>28</v>
      </c>
      <c r="L3590" s="3" t="s">
        <v>7132</v>
      </c>
      <c r="M3590" s="3" t="str">
        <f>HYPERLINK("http://ictvonline.org/taxonomyHistory.asp?taxnode_id=20154475","ICTVonline=20154475")</f>
        <v>ICTVonline=20154475</v>
      </c>
    </row>
    <row r="3591" spans="1:13" x14ac:dyDescent="0.15">
      <c r="A3591" s="1" t="s">
        <v>934</v>
      </c>
      <c r="B3591" s="1" t="s">
        <v>2038</v>
      </c>
      <c r="D3591" s="1" t="s">
        <v>795</v>
      </c>
      <c r="E3591" s="1" t="s">
        <v>2781</v>
      </c>
      <c r="F3591" s="3">
        <v>0</v>
      </c>
      <c r="G3591" s="24" t="s">
        <v>6543</v>
      </c>
      <c r="H3591" s="24" t="s">
        <v>6544</v>
      </c>
      <c r="I3591" s="24" t="s">
        <v>3286</v>
      </c>
      <c r="J3591" s="24" t="s">
        <v>2919</v>
      </c>
      <c r="K3591" s="3">
        <v>28</v>
      </c>
      <c r="L3591" s="3" t="s">
        <v>7132</v>
      </c>
      <c r="M3591" s="3" t="str">
        <f>HYPERLINK("http://ictvonline.org/taxonomyHistory.asp?taxnode_id=20154476","ICTVonline=20154476")</f>
        <v>ICTVonline=20154476</v>
      </c>
    </row>
    <row r="3592" spans="1:13" x14ac:dyDescent="0.15">
      <c r="A3592" s="1" t="s">
        <v>934</v>
      </c>
      <c r="B3592" s="1" t="s">
        <v>2038</v>
      </c>
      <c r="D3592" s="1" t="s">
        <v>795</v>
      </c>
      <c r="E3592" s="1" t="s">
        <v>801</v>
      </c>
      <c r="F3592" s="3">
        <v>0</v>
      </c>
      <c r="G3592" s="24" t="s">
        <v>6545</v>
      </c>
      <c r="H3592" s="24" t="s">
        <v>6546</v>
      </c>
      <c r="I3592" s="24" t="s">
        <v>3286</v>
      </c>
      <c r="J3592" s="24" t="s">
        <v>2919</v>
      </c>
      <c r="K3592" s="3">
        <v>25</v>
      </c>
      <c r="L3592" s="3" t="s">
        <v>7134</v>
      </c>
      <c r="M3592" s="3" t="str">
        <f>HYPERLINK("http://ictvonline.org/taxonomyHistory.asp?taxnode_id=20154477","ICTVonline=20154477")</f>
        <v>ICTVonline=20154477</v>
      </c>
    </row>
    <row r="3593" spans="1:13" x14ac:dyDescent="0.15">
      <c r="A3593" s="1" t="s">
        <v>934</v>
      </c>
      <c r="B3593" s="1" t="s">
        <v>2038</v>
      </c>
      <c r="D3593" s="1" t="s">
        <v>795</v>
      </c>
      <c r="E3593" s="1" t="s">
        <v>802</v>
      </c>
      <c r="F3593" s="3">
        <v>0</v>
      </c>
      <c r="G3593" s="24" t="s">
        <v>6547</v>
      </c>
      <c r="H3593" s="24" t="s">
        <v>6546</v>
      </c>
      <c r="I3593" s="24" t="s">
        <v>3286</v>
      </c>
      <c r="J3593" s="24" t="s">
        <v>2919</v>
      </c>
      <c r="K3593" s="3">
        <v>25</v>
      </c>
      <c r="L3593" s="3" t="s">
        <v>7134</v>
      </c>
      <c r="M3593" s="3" t="str">
        <f>HYPERLINK("http://ictvonline.org/taxonomyHistory.asp?taxnode_id=20154478","ICTVonline=20154478")</f>
        <v>ICTVonline=20154478</v>
      </c>
    </row>
    <row r="3594" spans="1:13" x14ac:dyDescent="0.15">
      <c r="A3594" s="1" t="s">
        <v>934</v>
      </c>
      <c r="B3594" s="1" t="s">
        <v>2038</v>
      </c>
      <c r="D3594" s="1" t="s">
        <v>795</v>
      </c>
      <c r="E3594" s="1" t="s">
        <v>2782</v>
      </c>
      <c r="F3594" s="3">
        <v>0</v>
      </c>
      <c r="G3594" s="24" t="s">
        <v>6548</v>
      </c>
      <c r="H3594" s="24" t="s">
        <v>6549</v>
      </c>
      <c r="I3594" s="24" t="s">
        <v>3286</v>
      </c>
      <c r="J3594" s="24" t="s">
        <v>2919</v>
      </c>
      <c r="K3594" s="3">
        <v>28</v>
      </c>
      <c r="L3594" s="3" t="s">
        <v>7132</v>
      </c>
      <c r="M3594" s="3" t="str">
        <f>HYPERLINK("http://ictvonline.org/taxonomyHistory.asp?taxnode_id=20154479","ICTVonline=20154479")</f>
        <v>ICTVonline=20154479</v>
      </c>
    </row>
    <row r="3595" spans="1:13" x14ac:dyDescent="0.15">
      <c r="A3595" s="1" t="s">
        <v>934</v>
      </c>
      <c r="B3595" s="1" t="s">
        <v>2783</v>
      </c>
      <c r="D3595" s="1" t="s">
        <v>2784</v>
      </c>
      <c r="E3595" s="1" t="s">
        <v>2785</v>
      </c>
      <c r="F3595" s="3">
        <v>1</v>
      </c>
      <c r="G3595" s="24" t="s">
        <v>6550</v>
      </c>
      <c r="I3595" s="24" t="s">
        <v>2965</v>
      </c>
      <c r="J3595" s="24" t="s">
        <v>2919</v>
      </c>
      <c r="K3595" s="3">
        <v>28</v>
      </c>
      <c r="L3595" s="3" t="s">
        <v>7135</v>
      </c>
      <c r="M3595" s="3" t="str">
        <f>HYPERLINK("http://ictvonline.org/taxonomyHistory.asp?taxnode_id=20154483","ICTVonline=20154483")</f>
        <v>ICTVonline=20154483</v>
      </c>
    </row>
    <row r="3596" spans="1:13" x14ac:dyDescent="0.15">
      <c r="A3596" s="1" t="s">
        <v>934</v>
      </c>
      <c r="B3596" s="1" t="s">
        <v>2783</v>
      </c>
      <c r="D3596" s="1" t="s">
        <v>2784</v>
      </c>
      <c r="E3596" s="1" t="s">
        <v>2786</v>
      </c>
      <c r="F3596" s="3">
        <v>0</v>
      </c>
      <c r="G3596" s="24" t="s">
        <v>6551</v>
      </c>
      <c r="I3596" s="24" t="s">
        <v>2965</v>
      </c>
      <c r="J3596" s="24" t="s">
        <v>2919</v>
      </c>
      <c r="K3596" s="3">
        <v>28</v>
      </c>
      <c r="L3596" s="3" t="s">
        <v>7135</v>
      </c>
      <c r="M3596" s="3" t="str">
        <f>HYPERLINK("http://ictvonline.org/taxonomyHistory.asp?taxnode_id=20154484","ICTVonline=20154484")</f>
        <v>ICTVonline=20154484</v>
      </c>
    </row>
    <row r="3597" spans="1:13" x14ac:dyDescent="0.15">
      <c r="A3597" s="1" t="s">
        <v>934</v>
      </c>
      <c r="B3597" s="1" t="s">
        <v>934</v>
      </c>
      <c r="D3597" s="1" t="s">
        <v>6552</v>
      </c>
      <c r="E3597" s="1" t="s">
        <v>6553</v>
      </c>
      <c r="F3597" s="3">
        <v>1</v>
      </c>
      <c r="G3597" s="24" t="s">
        <v>6554</v>
      </c>
      <c r="H3597" s="24" t="s">
        <v>6555</v>
      </c>
      <c r="I3597" s="24" t="s">
        <v>3265</v>
      </c>
      <c r="J3597" s="24" t="s">
        <v>2919</v>
      </c>
      <c r="K3597" s="3">
        <v>30</v>
      </c>
      <c r="L3597" s="3" t="s">
        <v>7136</v>
      </c>
      <c r="M3597" s="3" t="str">
        <f>HYPERLINK("http://ictvonline.org/taxonomyHistory.asp?taxnode_id=20154642","ICTVonline=20154642")</f>
        <v>ICTVonline=20154642</v>
      </c>
    </row>
    <row r="3598" spans="1:13" x14ac:dyDescent="0.15">
      <c r="A3598" s="1" t="s">
        <v>934</v>
      </c>
      <c r="B3598" s="1" t="s">
        <v>934</v>
      </c>
      <c r="D3598" s="1" t="s">
        <v>6552</v>
      </c>
      <c r="E3598" s="1" t="s">
        <v>6556</v>
      </c>
      <c r="F3598" s="3">
        <v>0</v>
      </c>
      <c r="G3598" s="24" t="s">
        <v>6557</v>
      </c>
      <c r="H3598" s="24" t="s">
        <v>6558</v>
      </c>
      <c r="I3598" s="24" t="s">
        <v>3265</v>
      </c>
      <c r="J3598" s="24" t="s">
        <v>2919</v>
      </c>
      <c r="K3598" s="3">
        <v>30</v>
      </c>
      <c r="L3598" s="3" t="s">
        <v>7136</v>
      </c>
      <c r="M3598" s="3" t="str">
        <f>HYPERLINK("http://ictvonline.org/taxonomyHistory.asp?taxnode_id=20154643","ICTVonline=20154643")</f>
        <v>ICTVonline=20154643</v>
      </c>
    </row>
    <row r="3599" spans="1:13" x14ac:dyDescent="0.15">
      <c r="A3599" s="1" t="s">
        <v>934</v>
      </c>
      <c r="B3599" s="1" t="s">
        <v>934</v>
      </c>
      <c r="D3599" s="1" t="s">
        <v>6552</v>
      </c>
      <c r="E3599" s="1" t="s">
        <v>6559</v>
      </c>
      <c r="F3599" s="3">
        <v>0</v>
      </c>
      <c r="G3599" s="24" t="s">
        <v>6560</v>
      </c>
      <c r="H3599" s="24" t="s">
        <v>6561</v>
      </c>
      <c r="I3599" s="24" t="s">
        <v>3265</v>
      </c>
      <c r="J3599" s="24" t="s">
        <v>2919</v>
      </c>
      <c r="K3599" s="3">
        <v>30</v>
      </c>
      <c r="L3599" s="3" t="s">
        <v>7136</v>
      </c>
      <c r="M3599" s="3" t="str">
        <f>HYPERLINK("http://ictvonline.org/taxonomyHistory.asp?taxnode_id=20154644","ICTVonline=20154644")</f>
        <v>ICTVonline=20154644</v>
      </c>
    </row>
    <row r="3600" spans="1:13" x14ac:dyDescent="0.15">
      <c r="A3600" s="1" t="s">
        <v>934</v>
      </c>
      <c r="B3600" s="1" t="s">
        <v>934</v>
      </c>
      <c r="D3600" s="1" t="s">
        <v>6562</v>
      </c>
      <c r="E3600" s="1" t="s">
        <v>6563</v>
      </c>
      <c r="F3600" s="3">
        <v>1</v>
      </c>
      <c r="G3600" s="24" t="s">
        <v>6564</v>
      </c>
      <c r="H3600" s="24" t="s">
        <v>6565</v>
      </c>
      <c r="I3600" s="24" t="s">
        <v>3265</v>
      </c>
      <c r="J3600" s="24" t="s">
        <v>2919</v>
      </c>
      <c r="K3600" s="3">
        <v>30</v>
      </c>
      <c r="L3600" s="3" t="s">
        <v>7136</v>
      </c>
      <c r="M3600" s="3" t="str">
        <f>HYPERLINK("http://ictvonline.org/taxonomyHistory.asp?taxnode_id=20154646","ICTVonline=20154646")</f>
        <v>ICTVonline=20154646</v>
      </c>
    </row>
    <row r="3601" spans="1:13" x14ac:dyDescent="0.15">
      <c r="A3601" s="1" t="s">
        <v>934</v>
      </c>
      <c r="B3601" s="1" t="s">
        <v>934</v>
      </c>
      <c r="D3601" s="1" t="s">
        <v>214</v>
      </c>
      <c r="E3601" s="1" t="s">
        <v>215</v>
      </c>
      <c r="F3601" s="3">
        <v>1</v>
      </c>
      <c r="I3601" s="24" t="s">
        <v>3274</v>
      </c>
      <c r="J3601" s="24" t="s">
        <v>2921</v>
      </c>
      <c r="K3601" s="3">
        <v>26</v>
      </c>
      <c r="L3601" s="3" t="s">
        <v>7137</v>
      </c>
      <c r="M3601" s="3" t="str">
        <f>HYPERLINK("http://ictvonline.org/taxonomyHistory.asp?taxnode_id=20154488","ICTVonline=20154488")</f>
        <v>ICTVonline=20154488</v>
      </c>
    </row>
    <row r="3602" spans="1:13" x14ac:dyDescent="0.15">
      <c r="A3602" s="1" t="s">
        <v>934</v>
      </c>
      <c r="B3602" s="1" t="s">
        <v>934</v>
      </c>
      <c r="D3602" s="1" t="s">
        <v>6566</v>
      </c>
      <c r="E3602" s="1" t="s">
        <v>6567</v>
      </c>
      <c r="F3602" s="3">
        <v>1</v>
      </c>
      <c r="G3602" s="24" t="s">
        <v>6568</v>
      </c>
      <c r="H3602" s="24" t="s">
        <v>6569</v>
      </c>
      <c r="I3602" s="24" t="s">
        <v>3286</v>
      </c>
      <c r="J3602" s="24" t="s">
        <v>2919</v>
      </c>
      <c r="K3602" s="3">
        <v>30</v>
      </c>
      <c r="L3602" s="3" t="s">
        <v>7138</v>
      </c>
      <c r="M3602" s="3" t="str">
        <f>HYPERLINK("http://ictvonline.org/taxonomyHistory.asp?taxnode_id=20154547","ICTVonline=20154547")</f>
        <v>ICTVonline=20154547</v>
      </c>
    </row>
    <row r="3603" spans="1:13" x14ac:dyDescent="0.15">
      <c r="A3603" s="1" t="s">
        <v>934</v>
      </c>
      <c r="B3603" s="1" t="s">
        <v>934</v>
      </c>
      <c r="D3603" s="1" t="s">
        <v>2126</v>
      </c>
      <c r="E3603" s="1" t="s">
        <v>2127</v>
      </c>
      <c r="F3603" s="3">
        <v>1</v>
      </c>
      <c r="G3603" s="24" t="s">
        <v>7960</v>
      </c>
      <c r="H3603" s="24" t="s">
        <v>6570</v>
      </c>
      <c r="I3603" s="24" t="s">
        <v>3265</v>
      </c>
      <c r="J3603" s="24" t="s">
        <v>2921</v>
      </c>
      <c r="K3603" s="3">
        <v>25</v>
      </c>
      <c r="L3603" s="3" t="s">
        <v>7139</v>
      </c>
      <c r="M3603" s="3" t="str">
        <f>HYPERLINK("http://ictvonline.org/taxonomyHistory.asp?taxnode_id=20154490","ICTVonline=20154490")</f>
        <v>ICTVonline=20154490</v>
      </c>
    </row>
    <row r="3604" spans="1:13" x14ac:dyDescent="0.15">
      <c r="A3604" s="1" t="s">
        <v>934</v>
      </c>
      <c r="B3604" s="1" t="s">
        <v>934</v>
      </c>
      <c r="D3604" s="1" t="s">
        <v>1305</v>
      </c>
      <c r="E3604" s="1" t="s">
        <v>1306</v>
      </c>
      <c r="F3604" s="3">
        <v>1</v>
      </c>
      <c r="I3604" s="24" t="s">
        <v>3254</v>
      </c>
      <c r="J3604" s="24" t="s">
        <v>2921</v>
      </c>
      <c r="K3604" s="3">
        <v>13</v>
      </c>
      <c r="L3604" s="3" t="s">
        <v>2932</v>
      </c>
      <c r="M3604" s="3" t="str">
        <f>HYPERLINK("http://ictvonline.org/taxonomyHistory.asp?taxnode_id=20154492","ICTVonline=20154492")</f>
        <v>ICTVonline=20154492</v>
      </c>
    </row>
    <row r="3605" spans="1:13" x14ac:dyDescent="0.15">
      <c r="A3605" s="1" t="s">
        <v>934</v>
      </c>
      <c r="B3605" s="1" t="s">
        <v>934</v>
      </c>
      <c r="D3605" s="1" t="s">
        <v>216</v>
      </c>
      <c r="E3605" s="1" t="s">
        <v>217</v>
      </c>
      <c r="F3605" s="3">
        <v>1</v>
      </c>
      <c r="I3605" s="24" t="s">
        <v>2965</v>
      </c>
      <c r="J3605" s="24" t="s">
        <v>2921</v>
      </c>
      <c r="K3605" s="3">
        <v>26</v>
      </c>
      <c r="L3605" s="3" t="s">
        <v>7140</v>
      </c>
      <c r="M3605" s="3" t="str">
        <f>HYPERLINK("http://ictvonline.org/taxonomyHistory.asp?taxnode_id=20154494","ICTVonline=20154494")</f>
        <v>ICTVonline=20154494</v>
      </c>
    </row>
    <row r="3606" spans="1:13" x14ac:dyDescent="0.15">
      <c r="A3606" s="1" t="s">
        <v>934</v>
      </c>
      <c r="B3606" s="1" t="s">
        <v>934</v>
      </c>
      <c r="D3606" s="1" t="s">
        <v>569</v>
      </c>
      <c r="E3606" s="1" t="s">
        <v>1615</v>
      </c>
      <c r="F3606" s="3">
        <v>1</v>
      </c>
      <c r="G3606" s="24" t="s">
        <v>7961</v>
      </c>
      <c r="H3606" s="24" t="s">
        <v>6571</v>
      </c>
      <c r="I3606" s="24" t="s">
        <v>3254</v>
      </c>
      <c r="J3606" s="24" t="s">
        <v>2921</v>
      </c>
      <c r="K3606" s="3">
        <v>25</v>
      </c>
      <c r="L3606" s="3" t="s">
        <v>7141</v>
      </c>
      <c r="M3606" s="3" t="str">
        <f>HYPERLINK("http://ictvonline.org/taxonomyHistory.asp?taxnode_id=20154496","ICTVonline=20154496")</f>
        <v>ICTVonline=20154496</v>
      </c>
    </row>
    <row r="3607" spans="1:13" x14ac:dyDescent="0.15">
      <c r="A3607" s="1" t="s">
        <v>934</v>
      </c>
      <c r="B3607" s="1" t="s">
        <v>934</v>
      </c>
      <c r="D3607" s="1" t="s">
        <v>569</v>
      </c>
      <c r="E3607" s="1" t="s">
        <v>218</v>
      </c>
      <c r="F3607" s="3">
        <v>0</v>
      </c>
      <c r="G3607" s="24" t="s">
        <v>7962</v>
      </c>
      <c r="H3607" s="24" t="s">
        <v>6572</v>
      </c>
      <c r="I3607" s="24" t="s">
        <v>3254</v>
      </c>
      <c r="J3607" s="24" t="s">
        <v>2919</v>
      </c>
      <c r="K3607" s="3">
        <v>26</v>
      </c>
      <c r="L3607" s="3" t="s">
        <v>7142</v>
      </c>
      <c r="M3607" s="3" t="str">
        <f>HYPERLINK("http://ictvonline.org/taxonomyHistory.asp?taxnode_id=20154497","ICTVonline=20154497")</f>
        <v>ICTVonline=20154497</v>
      </c>
    </row>
    <row r="3608" spans="1:13" x14ac:dyDescent="0.15">
      <c r="A3608" s="1" t="s">
        <v>934</v>
      </c>
      <c r="B3608" s="1" t="s">
        <v>934</v>
      </c>
      <c r="D3608" s="1" t="s">
        <v>569</v>
      </c>
      <c r="E3608" s="1" t="s">
        <v>6573</v>
      </c>
      <c r="F3608" s="3">
        <v>0</v>
      </c>
      <c r="G3608" s="24" t="s">
        <v>7756</v>
      </c>
      <c r="H3608" s="24" t="s">
        <v>6574</v>
      </c>
      <c r="I3608" s="24" t="s">
        <v>3254</v>
      </c>
      <c r="J3608" s="24" t="s">
        <v>2919</v>
      </c>
      <c r="K3608" s="3">
        <v>30</v>
      </c>
      <c r="L3608" s="3" t="s">
        <v>7143</v>
      </c>
      <c r="M3608" s="3" t="str">
        <f>HYPERLINK("http://ictvonline.org/taxonomyHistory.asp?taxnode_id=20154501","ICTVonline=20154501")</f>
        <v>ICTVonline=20154501</v>
      </c>
    </row>
    <row r="3609" spans="1:13" x14ac:dyDescent="0.15">
      <c r="A3609" s="1" t="s">
        <v>934</v>
      </c>
      <c r="B3609" s="1" t="s">
        <v>934</v>
      </c>
      <c r="D3609" s="1" t="s">
        <v>569</v>
      </c>
      <c r="E3609" s="1" t="s">
        <v>2916</v>
      </c>
      <c r="F3609" s="3">
        <v>0</v>
      </c>
      <c r="G3609" s="24" t="s">
        <v>7963</v>
      </c>
      <c r="H3609" s="24" t="s">
        <v>6575</v>
      </c>
      <c r="I3609" s="24" t="s">
        <v>3254</v>
      </c>
      <c r="J3609" s="24" t="s">
        <v>2919</v>
      </c>
      <c r="K3609" s="3">
        <v>29</v>
      </c>
      <c r="L3609" s="3" t="s">
        <v>7144</v>
      </c>
      <c r="M3609" s="3" t="str">
        <f>HYPERLINK("http://ictvonline.org/taxonomyHistory.asp?taxnode_id=20154498","ICTVonline=20154498")</f>
        <v>ICTVonline=20154498</v>
      </c>
    </row>
    <row r="3610" spans="1:13" x14ac:dyDescent="0.15">
      <c r="A3610" s="1" t="s">
        <v>934</v>
      </c>
      <c r="B3610" s="1" t="s">
        <v>934</v>
      </c>
      <c r="D3610" s="1" t="s">
        <v>569</v>
      </c>
      <c r="E3610" s="1" t="s">
        <v>2787</v>
      </c>
      <c r="F3610" s="3">
        <v>0</v>
      </c>
      <c r="G3610" s="24" t="s">
        <v>7964</v>
      </c>
      <c r="H3610" s="24" t="s">
        <v>6576</v>
      </c>
      <c r="I3610" s="24" t="s">
        <v>3254</v>
      </c>
      <c r="J3610" s="24" t="s">
        <v>2919</v>
      </c>
      <c r="K3610" s="3">
        <v>28</v>
      </c>
      <c r="L3610" s="3" t="s">
        <v>7145</v>
      </c>
      <c r="M3610" s="3" t="str">
        <f>HYPERLINK("http://ictvonline.org/taxonomyHistory.asp?taxnode_id=20154499","ICTVonline=20154499")</f>
        <v>ICTVonline=20154499</v>
      </c>
    </row>
    <row r="3611" spans="1:13" x14ac:dyDescent="0.15">
      <c r="A3611" s="1" t="s">
        <v>934</v>
      </c>
      <c r="B3611" s="1" t="s">
        <v>934</v>
      </c>
      <c r="D3611" s="1" t="s">
        <v>569</v>
      </c>
      <c r="E3611" s="1" t="s">
        <v>2435</v>
      </c>
      <c r="F3611" s="3">
        <v>0</v>
      </c>
      <c r="G3611" s="24" t="s">
        <v>7965</v>
      </c>
      <c r="H3611" s="24" t="s">
        <v>6577</v>
      </c>
      <c r="I3611" s="24" t="s">
        <v>3254</v>
      </c>
      <c r="J3611" s="24" t="s">
        <v>2919</v>
      </c>
      <c r="K3611" s="3">
        <v>27</v>
      </c>
      <c r="L3611" s="3" t="s">
        <v>7146</v>
      </c>
      <c r="M3611" s="3" t="str">
        <f>HYPERLINK("http://ictvonline.org/taxonomyHistory.asp?taxnode_id=20154500","ICTVonline=20154500")</f>
        <v>ICTVonline=20154500</v>
      </c>
    </row>
    <row r="3612" spans="1:13" x14ac:dyDescent="0.15">
      <c r="A3612" s="1" t="s">
        <v>934</v>
      </c>
      <c r="B3612" s="1" t="s">
        <v>934</v>
      </c>
      <c r="D3612" s="1" t="s">
        <v>2788</v>
      </c>
      <c r="E3612" s="1" t="s">
        <v>2789</v>
      </c>
      <c r="F3612" s="3">
        <v>1</v>
      </c>
      <c r="G3612" s="24" t="s">
        <v>7966</v>
      </c>
      <c r="H3612" s="24" t="s">
        <v>6578</v>
      </c>
      <c r="I3612" s="24" t="s">
        <v>3265</v>
      </c>
      <c r="J3612" s="24" t="s">
        <v>2919</v>
      </c>
      <c r="K3612" s="3">
        <v>28</v>
      </c>
      <c r="L3612" s="3" t="s">
        <v>7147</v>
      </c>
      <c r="M3612" s="3" t="str">
        <f>HYPERLINK("http://ictvonline.org/taxonomyHistory.asp?taxnode_id=20154503","ICTVonline=20154503")</f>
        <v>ICTVonline=20154503</v>
      </c>
    </row>
    <row r="3613" spans="1:13" x14ac:dyDescent="0.15">
      <c r="A3613" s="1" t="s">
        <v>934</v>
      </c>
      <c r="B3613" s="1" t="s">
        <v>934</v>
      </c>
      <c r="D3613" s="1" t="s">
        <v>269</v>
      </c>
      <c r="E3613" s="1" t="s">
        <v>270</v>
      </c>
      <c r="F3613" s="3">
        <v>1</v>
      </c>
      <c r="G3613" s="24" t="s">
        <v>7967</v>
      </c>
      <c r="H3613" s="24" t="s">
        <v>6579</v>
      </c>
      <c r="I3613" s="24" t="s">
        <v>3265</v>
      </c>
      <c r="J3613" s="24" t="s">
        <v>2921</v>
      </c>
      <c r="K3613" s="3">
        <v>13</v>
      </c>
      <c r="L3613" s="3" t="s">
        <v>2932</v>
      </c>
      <c r="M3613" s="3" t="str">
        <f>HYPERLINK("http://ictvonline.org/taxonomyHistory.asp?taxnode_id=20154505","ICTVonline=20154505")</f>
        <v>ICTVonline=20154505</v>
      </c>
    </row>
    <row r="3614" spans="1:13" x14ac:dyDescent="0.15">
      <c r="A3614" s="1" t="s">
        <v>934</v>
      </c>
      <c r="B3614" s="1" t="s">
        <v>934</v>
      </c>
      <c r="D3614" s="1" t="s">
        <v>271</v>
      </c>
      <c r="E3614" s="1" t="s">
        <v>272</v>
      </c>
      <c r="F3614" s="3">
        <v>0</v>
      </c>
      <c r="G3614" s="24" t="s">
        <v>7968</v>
      </c>
      <c r="H3614" s="24" t="s">
        <v>6580</v>
      </c>
      <c r="I3614" s="24" t="s">
        <v>3265</v>
      </c>
      <c r="J3614" s="24" t="s">
        <v>2919</v>
      </c>
      <c r="K3614" s="3">
        <v>18</v>
      </c>
      <c r="L3614" s="3" t="s">
        <v>2929</v>
      </c>
      <c r="M3614" s="3" t="str">
        <f>HYPERLINK("http://ictvonline.org/taxonomyHistory.asp?taxnode_id=20154507","ICTVonline=20154507")</f>
        <v>ICTVonline=20154507</v>
      </c>
    </row>
    <row r="3615" spans="1:13" x14ac:dyDescent="0.15">
      <c r="A3615" s="1" t="s">
        <v>934</v>
      </c>
      <c r="B3615" s="1" t="s">
        <v>934</v>
      </c>
      <c r="D3615" s="1" t="s">
        <v>271</v>
      </c>
      <c r="E3615" s="1" t="s">
        <v>273</v>
      </c>
      <c r="F3615" s="3">
        <v>0</v>
      </c>
      <c r="G3615" s="24" t="s">
        <v>7969</v>
      </c>
      <c r="H3615" s="24" t="s">
        <v>6581</v>
      </c>
      <c r="I3615" s="24" t="s">
        <v>3265</v>
      </c>
      <c r="J3615" s="24" t="s">
        <v>2919</v>
      </c>
      <c r="K3615" s="3">
        <v>18</v>
      </c>
      <c r="L3615" s="3" t="s">
        <v>2929</v>
      </c>
      <c r="M3615" s="3" t="str">
        <f>HYPERLINK("http://ictvonline.org/taxonomyHistory.asp?taxnode_id=20154508","ICTVonline=20154508")</f>
        <v>ICTVonline=20154508</v>
      </c>
    </row>
    <row r="3616" spans="1:13" x14ac:dyDescent="0.15">
      <c r="A3616" s="1" t="s">
        <v>934</v>
      </c>
      <c r="B3616" s="1" t="s">
        <v>934</v>
      </c>
      <c r="D3616" s="1" t="s">
        <v>271</v>
      </c>
      <c r="E3616" s="1" t="s">
        <v>274</v>
      </c>
      <c r="F3616" s="3">
        <v>1</v>
      </c>
      <c r="G3616" s="24" t="s">
        <v>7970</v>
      </c>
      <c r="H3616" s="24" t="s">
        <v>6582</v>
      </c>
      <c r="I3616" s="24" t="s">
        <v>3265</v>
      </c>
      <c r="J3616" s="24" t="s">
        <v>2921</v>
      </c>
      <c r="K3616" s="3">
        <v>17</v>
      </c>
      <c r="L3616" s="3" t="s">
        <v>2928</v>
      </c>
      <c r="M3616" s="3" t="str">
        <f>HYPERLINK("http://ictvonline.org/taxonomyHistory.asp?taxnode_id=20154509","ICTVonline=20154509")</f>
        <v>ICTVonline=20154509</v>
      </c>
    </row>
    <row r="3617" spans="1:13" x14ac:dyDescent="0.15">
      <c r="A3617" s="1" t="s">
        <v>934</v>
      </c>
      <c r="B3617" s="1" t="s">
        <v>934</v>
      </c>
      <c r="D3617" s="1" t="s">
        <v>6583</v>
      </c>
      <c r="E3617" s="1" t="s">
        <v>6584</v>
      </c>
      <c r="F3617" s="3">
        <v>1</v>
      </c>
      <c r="G3617" s="24" t="s">
        <v>6585</v>
      </c>
      <c r="H3617" s="24" t="s">
        <v>6586</v>
      </c>
      <c r="I3617" s="24" t="s">
        <v>3265</v>
      </c>
      <c r="J3617" s="24" t="s">
        <v>2919</v>
      </c>
      <c r="K3617" s="3">
        <v>30</v>
      </c>
      <c r="L3617" s="3" t="s">
        <v>7136</v>
      </c>
      <c r="M3617" s="3" t="str">
        <f>HYPERLINK("http://ictvonline.org/taxonomyHistory.asp?taxnode_id=20154648","ICTVonline=20154648")</f>
        <v>ICTVonline=20154648</v>
      </c>
    </row>
    <row r="3618" spans="1:13" x14ac:dyDescent="0.15">
      <c r="A3618" s="1" t="s">
        <v>934</v>
      </c>
      <c r="B3618" s="1" t="s">
        <v>934</v>
      </c>
      <c r="D3618" s="1" t="s">
        <v>408</v>
      </c>
      <c r="E3618" s="1" t="s">
        <v>409</v>
      </c>
      <c r="F3618" s="3">
        <v>1</v>
      </c>
      <c r="G3618" s="24" t="s">
        <v>6587</v>
      </c>
      <c r="H3618" s="24" t="s">
        <v>4950</v>
      </c>
      <c r="I3618" s="24" t="s">
        <v>3265</v>
      </c>
      <c r="J3618" s="24" t="s">
        <v>2921</v>
      </c>
      <c r="K3618" s="3">
        <v>24</v>
      </c>
      <c r="L3618" s="3" t="s">
        <v>7148</v>
      </c>
      <c r="M3618" s="3" t="str">
        <f>HYPERLINK("http://ictvonline.org/taxonomyHistory.asp?taxnode_id=20154511","ICTVonline=20154511")</f>
        <v>ICTVonline=20154511</v>
      </c>
    </row>
    <row r="3619" spans="1:13" x14ac:dyDescent="0.15">
      <c r="A3619" s="1" t="s">
        <v>934</v>
      </c>
      <c r="B3619" s="1" t="s">
        <v>934</v>
      </c>
      <c r="D3619" s="1" t="s">
        <v>415</v>
      </c>
      <c r="E3619" s="1" t="s">
        <v>416</v>
      </c>
      <c r="F3619" s="3">
        <v>1</v>
      </c>
      <c r="I3619" s="24" t="s">
        <v>2965</v>
      </c>
      <c r="J3619" s="24" t="s">
        <v>2921</v>
      </c>
      <c r="K3619" s="3">
        <v>10</v>
      </c>
      <c r="L3619" s="3" t="s">
        <v>2937</v>
      </c>
      <c r="M3619" s="3" t="str">
        <f>HYPERLINK("http://ictvonline.org/taxonomyHistory.asp?taxnode_id=20154513","ICTVonline=20154513")</f>
        <v>ICTVonline=20154513</v>
      </c>
    </row>
    <row r="3620" spans="1:13" x14ac:dyDescent="0.15">
      <c r="A3620" s="1" t="s">
        <v>934</v>
      </c>
      <c r="B3620" s="1" t="s">
        <v>934</v>
      </c>
      <c r="D3620" s="1" t="s">
        <v>1037</v>
      </c>
      <c r="E3620" s="1" t="s">
        <v>1038</v>
      </c>
      <c r="F3620" s="3">
        <v>1</v>
      </c>
      <c r="G3620" s="24" t="s">
        <v>6588</v>
      </c>
      <c r="I3620" s="24" t="s">
        <v>2965</v>
      </c>
      <c r="J3620" s="24" t="s">
        <v>2921</v>
      </c>
      <c r="K3620" s="3">
        <v>22</v>
      </c>
      <c r="L3620" s="3" t="s">
        <v>7149</v>
      </c>
      <c r="M3620" s="3" t="str">
        <f>HYPERLINK("http://ictvonline.org/taxonomyHistory.asp?taxnode_id=20154515","ICTVonline=20154515")</f>
        <v>ICTVonline=20154515</v>
      </c>
    </row>
    <row r="3621" spans="1:13" x14ac:dyDescent="0.15">
      <c r="A3621" s="1" t="s">
        <v>934</v>
      </c>
      <c r="B3621" s="1" t="s">
        <v>934</v>
      </c>
      <c r="D3621" s="1" t="s">
        <v>6589</v>
      </c>
      <c r="E3621" s="1" t="s">
        <v>6590</v>
      </c>
      <c r="F3621" s="3">
        <v>0</v>
      </c>
      <c r="G3621" s="24" t="s">
        <v>6591</v>
      </c>
      <c r="H3621" s="24" t="s">
        <v>6590</v>
      </c>
      <c r="I3621" s="24" t="s">
        <v>3265</v>
      </c>
      <c r="J3621" s="24" t="s">
        <v>2919</v>
      </c>
      <c r="K3621" s="3">
        <v>30</v>
      </c>
      <c r="L3621" s="3" t="s">
        <v>7150</v>
      </c>
      <c r="M3621" s="3" t="str">
        <f>HYPERLINK("http://ictvonline.org/taxonomyHistory.asp?taxnode_id=20154614","ICTVonline=20154614")</f>
        <v>ICTVonline=20154614</v>
      </c>
    </row>
    <row r="3622" spans="1:13" x14ac:dyDescent="0.15">
      <c r="A3622" s="1" t="s">
        <v>934</v>
      </c>
      <c r="B3622" s="1" t="s">
        <v>934</v>
      </c>
      <c r="D3622" s="1" t="s">
        <v>6589</v>
      </c>
      <c r="E3622" s="1" t="s">
        <v>6592</v>
      </c>
      <c r="F3622" s="3">
        <v>1</v>
      </c>
      <c r="G3622" s="24" t="s">
        <v>6593</v>
      </c>
      <c r="H3622" s="24" t="s">
        <v>6592</v>
      </c>
      <c r="I3622" s="24" t="s">
        <v>3265</v>
      </c>
      <c r="J3622" s="24" t="s">
        <v>2919</v>
      </c>
      <c r="K3622" s="3">
        <v>30</v>
      </c>
      <c r="L3622" s="3" t="s">
        <v>7150</v>
      </c>
      <c r="M3622" s="3" t="str">
        <f>HYPERLINK("http://ictvonline.org/taxonomyHistory.asp?taxnode_id=20154615","ICTVonline=20154615")</f>
        <v>ICTVonline=20154615</v>
      </c>
    </row>
    <row r="3623" spans="1:13" x14ac:dyDescent="0.15">
      <c r="A3623" s="1" t="s">
        <v>934</v>
      </c>
      <c r="B3623" s="1" t="s">
        <v>934</v>
      </c>
      <c r="D3623" s="1" t="s">
        <v>1039</v>
      </c>
      <c r="E3623" s="1" t="s">
        <v>6594</v>
      </c>
      <c r="F3623" s="3">
        <v>0</v>
      </c>
      <c r="G3623" s="24" t="s">
        <v>7757</v>
      </c>
      <c r="H3623" s="24" t="s">
        <v>6595</v>
      </c>
      <c r="I3623" s="24" t="s">
        <v>3265</v>
      </c>
      <c r="J3623" s="24" t="s">
        <v>2919</v>
      </c>
      <c r="K3623" s="3">
        <v>30</v>
      </c>
      <c r="L3623" s="3" t="s">
        <v>7151</v>
      </c>
      <c r="M3623" s="3" t="str">
        <f>HYPERLINK("http://ictvonline.org/taxonomyHistory.asp?taxnode_id=20154531","ICTVonline=20154531")</f>
        <v>ICTVonline=20154531</v>
      </c>
    </row>
    <row r="3624" spans="1:13" x14ac:dyDescent="0.15">
      <c r="A3624" s="1" t="s">
        <v>934</v>
      </c>
      <c r="B3624" s="1" t="s">
        <v>934</v>
      </c>
      <c r="D3624" s="1" t="s">
        <v>1039</v>
      </c>
      <c r="E3624" s="1" t="s">
        <v>1040</v>
      </c>
      <c r="F3624" s="3">
        <v>0</v>
      </c>
      <c r="I3624" s="24" t="s">
        <v>3265</v>
      </c>
      <c r="J3624" s="24" t="s">
        <v>2920</v>
      </c>
      <c r="K3624" s="3">
        <v>13</v>
      </c>
      <c r="L3624" s="3" t="s">
        <v>2932</v>
      </c>
      <c r="M3624" s="3" t="str">
        <f>HYPERLINK("http://ictvonline.org/taxonomyHistory.asp?taxnode_id=20154517","ICTVonline=20154517")</f>
        <v>ICTVonline=20154517</v>
      </c>
    </row>
    <row r="3625" spans="1:13" x14ac:dyDescent="0.15">
      <c r="A3625" s="1" t="s">
        <v>934</v>
      </c>
      <c r="B3625" s="1" t="s">
        <v>934</v>
      </c>
      <c r="D3625" s="1" t="s">
        <v>1039</v>
      </c>
      <c r="E3625" s="1" t="s">
        <v>1041</v>
      </c>
      <c r="F3625" s="3">
        <v>0</v>
      </c>
      <c r="G3625" s="24" t="s">
        <v>6596</v>
      </c>
      <c r="H3625" s="24" t="s">
        <v>6597</v>
      </c>
      <c r="I3625" s="24" t="s">
        <v>3265</v>
      </c>
      <c r="J3625" s="24" t="s">
        <v>2920</v>
      </c>
      <c r="K3625" s="3">
        <v>13</v>
      </c>
      <c r="L3625" s="3" t="s">
        <v>2932</v>
      </c>
      <c r="M3625" s="3" t="str">
        <f>HYPERLINK("http://ictvonline.org/taxonomyHistory.asp?taxnode_id=20154518","ICTVonline=20154518")</f>
        <v>ICTVonline=20154518</v>
      </c>
    </row>
    <row r="3626" spans="1:13" x14ac:dyDescent="0.15">
      <c r="A3626" s="1" t="s">
        <v>934</v>
      </c>
      <c r="B3626" s="1" t="s">
        <v>934</v>
      </c>
      <c r="D3626" s="1" t="s">
        <v>1039</v>
      </c>
      <c r="E3626" s="1" t="s">
        <v>6598</v>
      </c>
      <c r="F3626" s="3">
        <v>0</v>
      </c>
      <c r="G3626" s="24" t="s">
        <v>7758</v>
      </c>
      <c r="H3626" s="24" t="s">
        <v>6599</v>
      </c>
      <c r="I3626" s="24" t="s">
        <v>3265</v>
      </c>
      <c r="J3626" s="24" t="s">
        <v>2919</v>
      </c>
      <c r="K3626" s="3">
        <v>30</v>
      </c>
      <c r="L3626" s="3" t="s">
        <v>7151</v>
      </c>
      <c r="M3626" s="3" t="str">
        <f>HYPERLINK("http://ictvonline.org/taxonomyHistory.asp?taxnode_id=20154532","ICTVonline=20154532")</f>
        <v>ICTVonline=20154532</v>
      </c>
    </row>
    <row r="3627" spans="1:13" x14ac:dyDescent="0.15">
      <c r="A3627" s="1" t="s">
        <v>934</v>
      </c>
      <c r="B3627" s="1" t="s">
        <v>934</v>
      </c>
      <c r="D3627" s="1" t="s">
        <v>1039</v>
      </c>
      <c r="E3627" s="1" t="s">
        <v>219</v>
      </c>
      <c r="F3627" s="3">
        <v>0</v>
      </c>
      <c r="G3627" s="24" t="s">
        <v>6600</v>
      </c>
      <c r="H3627" s="24" t="s">
        <v>6601</v>
      </c>
      <c r="I3627" s="24" t="s">
        <v>3265</v>
      </c>
      <c r="J3627" s="24" t="s">
        <v>2919</v>
      </c>
      <c r="K3627" s="3">
        <v>26</v>
      </c>
      <c r="L3627" s="3" t="s">
        <v>7152</v>
      </c>
      <c r="M3627" s="3" t="str">
        <f>HYPERLINK("http://ictvonline.org/taxonomyHistory.asp?taxnode_id=20154519","ICTVonline=20154519")</f>
        <v>ICTVonline=20154519</v>
      </c>
    </row>
    <row r="3628" spans="1:13" x14ac:dyDescent="0.15">
      <c r="A3628" s="1" t="s">
        <v>934</v>
      </c>
      <c r="B3628" s="1" t="s">
        <v>934</v>
      </c>
      <c r="D3628" s="1" t="s">
        <v>1039</v>
      </c>
      <c r="E3628" s="1" t="s">
        <v>1042</v>
      </c>
      <c r="F3628" s="3">
        <v>0</v>
      </c>
      <c r="G3628" s="24" t="s">
        <v>6602</v>
      </c>
      <c r="H3628" s="24" t="s">
        <v>6603</v>
      </c>
      <c r="I3628" s="24" t="s">
        <v>3265</v>
      </c>
      <c r="J3628" s="24" t="s">
        <v>2920</v>
      </c>
      <c r="K3628" s="3">
        <v>13</v>
      </c>
      <c r="L3628" s="3" t="s">
        <v>2932</v>
      </c>
      <c r="M3628" s="3" t="str">
        <f>HYPERLINK("http://ictvonline.org/taxonomyHistory.asp?taxnode_id=20154520","ICTVonline=20154520")</f>
        <v>ICTVonline=20154520</v>
      </c>
    </row>
    <row r="3629" spans="1:13" x14ac:dyDescent="0.15">
      <c r="A3629" s="1" t="s">
        <v>934</v>
      </c>
      <c r="B3629" s="1" t="s">
        <v>934</v>
      </c>
      <c r="D3629" s="1" t="s">
        <v>1039</v>
      </c>
      <c r="E3629" s="1" t="s">
        <v>6604</v>
      </c>
      <c r="F3629" s="3">
        <v>0</v>
      </c>
      <c r="G3629" s="24" t="s">
        <v>7759</v>
      </c>
      <c r="H3629" s="24" t="s">
        <v>6743</v>
      </c>
      <c r="I3629" s="24" t="s">
        <v>3265</v>
      </c>
      <c r="J3629" s="24" t="s">
        <v>2919</v>
      </c>
      <c r="K3629" s="3">
        <v>30</v>
      </c>
      <c r="L3629" s="3" t="s">
        <v>7151</v>
      </c>
      <c r="M3629" s="3" t="str">
        <f>HYPERLINK("http://ictvonline.org/taxonomyHistory.asp?taxnode_id=20154533","ICTVonline=20154533")</f>
        <v>ICTVonline=20154533</v>
      </c>
    </row>
    <row r="3630" spans="1:13" x14ac:dyDescent="0.15">
      <c r="A3630" s="1" t="s">
        <v>934</v>
      </c>
      <c r="B3630" s="1" t="s">
        <v>934</v>
      </c>
      <c r="D3630" s="1" t="s">
        <v>1039</v>
      </c>
      <c r="E3630" s="1" t="s">
        <v>1043</v>
      </c>
      <c r="F3630" s="3">
        <v>0</v>
      </c>
      <c r="G3630" s="24" t="s">
        <v>6605</v>
      </c>
      <c r="H3630" s="24" t="s">
        <v>6300</v>
      </c>
      <c r="I3630" s="24" t="s">
        <v>3265</v>
      </c>
      <c r="J3630" s="24" t="s">
        <v>2920</v>
      </c>
      <c r="K3630" s="3">
        <v>13</v>
      </c>
      <c r="L3630" s="3" t="s">
        <v>2932</v>
      </c>
      <c r="M3630" s="3" t="str">
        <f>HYPERLINK("http://ictvonline.org/taxonomyHistory.asp?taxnode_id=20154521","ICTVonline=20154521")</f>
        <v>ICTVonline=20154521</v>
      </c>
    </row>
    <row r="3631" spans="1:13" x14ac:dyDescent="0.15">
      <c r="A3631" s="1" t="s">
        <v>934</v>
      </c>
      <c r="B3631" s="1" t="s">
        <v>934</v>
      </c>
      <c r="D3631" s="1" t="s">
        <v>1039</v>
      </c>
      <c r="E3631" s="1" t="s">
        <v>6606</v>
      </c>
      <c r="F3631" s="3">
        <v>0</v>
      </c>
      <c r="G3631" s="24" t="s">
        <v>7760</v>
      </c>
      <c r="H3631" s="24" t="s">
        <v>6607</v>
      </c>
      <c r="I3631" s="24" t="s">
        <v>3265</v>
      </c>
      <c r="J3631" s="24" t="s">
        <v>2919</v>
      </c>
      <c r="K3631" s="3">
        <v>30</v>
      </c>
      <c r="L3631" s="3" t="s">
        <v>7151</v>
      </c>
      <c r="M3631" s="3" t="str">
        <f>HYPERLINK("http://ictvonline.org/taxonomyHistory.asp?taxnode_id=20154534","ICTVonline=20154534")</f>
        <v>ICTVonline=20154534</v>
      </c>
    </row>
    <row r="3632" spans="1:13" x14ac:dyDescent="0.15">
      <c r="A3632" s="1" t="s">
        <v>934</v>
      </c>
      <c r="B3632" s="1" t="s">
        <v>934</v>
      </c>
      <c r="D3632" s="1" t="s">
        <v>1039</v>
      </c>
      <c r="E3632" s="1" t="s">
        <v>1044</v>
      </c>
      <c r="F3632" s="3">
        <v>0</v>
      </c>
      <c r="G3632" s="24" t="s">
        <v>6608</v>
      </c>
      <c r="H3632" s="24" t="s">
        <v>4710</v>
      </c>
      <c r="I3632" s="24" t="s">
        <v>3265</v>
      </c>
      <c r="J3632" s="24" t="s">
        <v>2919</v>
      </c>
      <c r="K3632" s="3">
        <v>23</v>
      </c>
      <c r="L3632" s="3" t="s">
        <v>2933</v>
      </c>
      <c r="M3632" s="3" t="str">
        <f>HYPERLINK("http://ictvonline.org/taxonomyHistory.asp?taxnode_id=20154522","ICTVonline=20154522")</f>
        <v>ICTVonline=20154522</v>
      </c>
    </row>
    <row r="3633" spans="1:13" x14ac:dyDescent="0.15">
      <c r="A3633" s="1" t="s">
        <v>934</v>
      </c>
      <c r="B3633" s="1" t="s">
        <v>934</v>
      </c>
      <c r="D3633" s="1" t="s">
        <v>1039</v>
      </c>
      <c r="E3633" s="1" t="s">
        <v>1489</v>
      </c>
      <c r="F3633" s="3">
        <v>0</v>
      </c>
      <c r="G3633" s="24" t="s">
        <v>6609</v>
      </c>
      <c r="H3633" s="24" t="s">
        <v>6610</v>
      </c>
      <c r="I3633" s="24" t="s">
        <v>3265</v>
      </c>
      <c r="J3633" s="24" t="s">
        <v>2919</v>
      </c>
      <c r="K3633" s="3">
        <v>23</v>
      </c>
      <c r="L3633" s="3" t="s">
        <v>2933</v>
      </c>
      <c r="M3633" s="3" t="str">
        <f>HYPERLINK("http://ictvonline.org/taxonomyHistory.asp?taxnode_id=20154523","ICTVonline=20154523")</f>
        <v>ICTVonline=20154523</v>
      </c>
    </row>
    <row r="3634" spans="1:13" x14ac:dyDescent="0.15">
      <c r="A3634" s="1" t="s">
        <v>934</v>
      </c>
      <c r="B3634" s="1" t="s">
        <v>934</v>
      </c>
      <c r="D3634" s="1" t="s">
        <v>1039</v>
      </c>
      <c r="E3634" s="1" t="s">
        <v>1490</v>
      </c>
      <c r="F3634" s="3">
        <v>0</v>
      </c>
      <c r="I3634" s="24" t="s">
        <v>3265</v>
      </c>
      <c r="J3634" s="24" t="s">
        <v>2920</v>
      </c>
      <c r="K3634" s="3">
        <v>13</v>
      </c>
      <c r="L3634" s="3" t="s">
        <v>2932</v>
      </c>
      <c r="M3634" s="3" t="str">
        <f>HYPERLINK("http://ictvonline.org/taxonomyHistory.asp?taxnode_id=20154524","ICTVonline=20154524")</f>
        <v>ICTVonline=20154524</v>
      </c>
    </row>
    <row r="3635" spans="1:13" x14ac:dyDescent="0.15">
      <c r="A3635" s="1" t="s">
        <v>934</v>
      </c>
      <c r="B3635" s="1" t="s">
        <v>934</v>
      </c>
      <c r="D3635" s="1" t="s">
        <v>1039</v>
      </c>
      <c r="E3635" s="1" t="s">
        <v>1491</v>
      </c>
      <c r="F3635" s="3">
        <v>1</v>
      </c>
      <c r="G3635" s="24" t="s">
        <v>6611</v>
      </c>
      <c r="H3635" s="24" t="s">
        <v>6612</v>
      </c>
      <c r="I3635" s="24" t="s">
        <v>3265</v>
      </c>
      <c r="J3635" s="24" t="s">
        <v>2920</v>
      </c>
      <c r="K3635" s="3">
        <v>13</v>
      </c>
      <c r="L3635" s="3" t="s">
        <v>2932</v>
      </c>
      <c r="M3635" s="3" t="str">
        <f>HYPERLINK("http://ictvonline.org/taxonomyHistory.asp?taxnode_id=20154525","ICTVonline=20154525")</f>
        <v>ICTVonline=20154525</v>
      </c>
    </row>
    <row r="3636" spans="1:13" x14ac:dyDescent="0.15">
      <c r="A3636" s="1" t="s">
        <v>934</v>
      </c>
      <c r="B3636" s="1" t="s">
        <v>934</v>
      </c>
      <c r="D3636" s="1" t="s">
        <v>1039</v>
      </c>
      <c r="E3636" s="1" t="s">
        <v>1492</v>
      </c>
      <c r="F3636" s="3">
        <v>0</v>
      </c>
      <c r="G3636" s="24" t="s">
        <v>6613</v>
      </c>
      <c r="H3636" s="24" t="s">
        <v>6614</v>
      </c>
      <c r="I3636" s="24" t="s">
        <v>3265</v>
      </c>
      <c r="J3636" s="24" t="s">
        <v>2919</v>
      </c>
      <c r="K3636" s="3">
        <v>17</v>
      </c>
      <c r="L3636" s="3" t="s">
        <v>2928</v>
      </c>
      <c r="M3636" s="3" t="str">
        <f>HYPERLINK("http://ictvonline.org/taxonomyHistory.asp?taxnode_id=20154526","ICTVonline=20154526")</f>
        <v>ICTVonline=20154526</v>
      </c>
    </row>
    <row r="3637" spans="1:13" x14ac:dyDescent="0.15">
      <c r="A3637" s="1" t="s">
        <v>934</v>
      </c>
      <c r="B3637" s="1" t="s">
        <v>934</v>
      </c>
      <c r="D3637" s="1" t="s">
        <v>1039</v>
      </c>
      <c r="E3637" s="1" t="s">
        <v>1120</v>
      </c>
      <c r="F3637" s="3">
        <v>0</v>
      </c>
      <c r="G3637" s="24" t="s">
        <v>6615</v>
      </c>
      <c r="H3637" s="24" t="s">
        <v>6616</v>
      </c>
      <c r="I3637" s="24" t="s">
        <v>3265</v>
      </c>
      <c r="J3637" s="24" t="s">
        <v>2920</v>
      </c>
      <c r="K3637" s="3">
        <v>13</v>
      </c>
      <c r="L3637" s="3" t="s">
        <v>2932</v>
      </c>
      <c r="M3637" s="3" t="str">
        <f>HYPERLINK("http://ictvonline.org/taxonomyHistory.asp?taxnode_id=20154527","ICTVonline=20154527")</f>
        <v>ICTVonline=20154527</v>
      </c>
    </row>
    <row r="3638" spans="1:13" x14ac:dyDescent="0.15">
      <c r="A3638" s="1" t="s">
        <v>934</v>
      </c>
      <c r="B3638" s="1" t="s">
        <v>934</v>
      </c>
      <c r="D3638" s="1" t="s">
        <v>1039</v>
      </c>
      <c r="E3638" s="1" t="s">
        <v>6617</v>
      </c>
      <c r="F3638" s="3">
        <v>0</v>
      </c>
      <c r="G3638" s="24" t="s">
        <v>7761</v>
      </c>
      <c r="H3638" s="24" t="s">
        <v>4886</v>
      </c>
      <c r="I3638" s="24" t="s">
        <v>3265</v>
      </c>
      <c r="J3638" s="24" t="s">
        <v>2919</v>
      </c>
      <c r="K3638" s="3">
        <v>30</v>
      </c>
      <c r="L3638" s="3" t="s">
        <v>7151</v>
      </c>
      <c r="M3638" s="3" t="str">
        <f>HYPERLINK("http://ictvonline.org/taxonomyHistory.asp?taxnode_id=20154535","ICTVonline=20154535")</f>
        <v>ICTVonline=20154535</v>
      </c>
    </row>
    <row r="3639" spans="1:13" x14ac:dyDescent="0.15">
      <c r="A3639" s="1" t="s">
        <v>934</v>
      </c>
      <c r="B3639" s="1" t="s">
        <v>934</v>
      </c>
      <c r="D3639" s="1" t="s">
        <v>1039</v>
      </c>
      <c r="E3639" s="1" t="s">
        <v>1121</v>
      </c>
      <c r="F3639" s="3">
        <v>0</v>
      </c>
      <c r="G3639" s="24" t="s">
        <v>6618</v>
      </c>
      <c r="H3639" s="24" t="s">
        <v>6619</v>
      </c>
      <c r="I3639" s="24" t="s">
        <v>3265</v>
      </c>
      <c r="J3639" s="24" t="s">
        <v>2920</v>
      </c>
      <c r="K3639" s="3">
        <v>13</v>
      </c>
      <c r="L3639" s="3" t="s">
        <v>2932</v>
      </c>
      <c r="M3639" s="3" t="str">
        <f>HYPERLINK("http://ictvonline.org/taxonomyHistory.asp?taxnode_id=20154528","ICTVonline=20154528")</f>
        <v>ICTVonline=20154528</v>
      </c>
    </row>
    <row r="3640" spans="1:13" x14ac:dyDescent="0.15">
      <c r="A3640" s="1" t="s">
        <v>934</v>
      </c>
      <c r="B3640" s="1" t="s">
        <v>934</v>
      </c>
      <c r="D3640" s="1" t="s">
        <v>1039</v>
      </c>
      <c r="E3640" s="1" t="s">
        <v>1122</v>
      </c>
      <c r="F3640" s="3">
        <v>0</v>
      </c>
      <c r="G3640" s="24" t="s">
        <v>6620</v>
      </c>
      <c r="H3640" s="24" t="s">
        <v>6621</v>
      </c>
      <c r="I3640" s="24" t="s">
        <v>3265</v>
      </c>
      <c r="J3640" s="24" t="s">
        <v>2920</v>
      </c>
      <c r="K3640" s="3">
        <v>13</v>
      </c>
      <c r="L3640" s="3" t="s">
        <v>2932</v>
      </c>
      <c r="M3640" s="3" t="str">
        <f>HYPERLINK("http://ictvonline.org/taxonomyHistory.asp?taxnode_id=20154529","ICTVonline=20154529")</f>
        <v>ICTVonline=20154529</v>
      </c>
    </row>
    <row r="3641" spans="1:13" x14ac:dyDescent="0.15">
      <c r="A3641" s="1" t="s">
        <v>934</v>
      </c>
      <c r="B3641" s="1" t="s">
        <v>934</v>
      </c>
      <c r="D3641" s="1" t="s">
        <v>1039</v>
      </c>
      <c r="E3641" s="1" t="s">
        <v>1123</v>
      </c>
      <c r="F3641" s="3">
        <v>0</v>
      </c>
      <c r="G3641" s="24" t="s">
        <v>6622</v>
      </c>
      <c r="H3641" s="24" t="s">
        <v>6623</v>
      </c>
      <c r="I3641" s="24" t="s">
        <v>3265</v>
      </c>
      <c r="J3641" s="24" t="s">
        <v>2920</v>
      </c>
      <c r="K3641" s="3">
        <v>13</v>
      </c>
      <c r="L3641" s="3" t="s">
        <v>2932</v>
      </c>
      <c r="M3641" s="3" t="str">
        <f>HYPERLINK("http://ictvonline.org/taxonomyHistory.asp?taxnode_id=20154530","ICTVonline=20154530")</f>
        <v>ICTVonline=20154530</v>
      </c>
    </row>
    <row r="3642" spans="1:13" x14ac:dyDescent="0.15">
      <c r="A3642" s="1" t="s">
        <v>934</v>
      </c>
      <c r="B3642" s="1" t="s">
        <v>934</v>
      </c>
      <c r="D3642" s="1" t="s">
        <v>1124</v>
      </c>
      <c r="E3642" s="1" t="s">
        <v>1045</v>
      </c>
      <c r="F3642" s="3">
        <v>0</v>
      </c>
      <c r="G3642" s="24" t="s">
        <v>7971</v>
      </c>
      <c r="H3642" s="24" t="s">
        <v>6624</v>
      </c>
      <c r="I3642" s="24" t="s">
        <v>3254</v>
      </c>
      <c r="J3642" s="24" t="s">
        <v>2919</v>
      </c>
      <c r="K3642" s="3">
        <v>17</v>
      </c>
      <c r="L3642" s="3" t="s">
        <v>2928</v>
      </c>
      <c r="M3642" s="3" t="str">
        <f>HYPERLINK("http://ictvonline.org/taxonomyHistory.asp?taxnode_id=20154537","ICTVonline=20154537")</f>
        <v>ICTVonline=20154537</v>
      </c>
    </row>
    <row r="3643" spans="1:13" x14ac:dyDescent="0.15">
      <c r="A3643" s="1" t="s">
        <v>934</v>
      </c>
      <c r="B3643" s="1" t="s">
        <v>934</v>
      </c>
      <c r="D3643" s="1" t="s">
        <v>1124</v>
      </c>
      <c r="E3643" s="1" t="s">
        <v>2436</v>
      </c>
      <c r="F3643" s="3">
        <v>0</v>
      </c>
      <c r="G3643" s="24" t="s">
        <v>7972</v>
      </c>
      <c r="H3643" s="24" t="s">
        <v>6625</v>
      </c>
      <c r="I3643" s="24" t="s">
        <v>3254</v>
      </c>
      <c r="J3643" s="24" t="s">
        <v>2919</v>
      </c>
      <c r="K3643" s="3">
        <v>27</v>
      </c>
      <c r="L3643" s="3" t="s">
        <v>7153</v>
      </c>
      <c r="M3643" s="3" t="str">
        <f>HYPERLINK("http://ictvonline.org/taxonomyHistory.asp?taxnode_id=20154538","ICTVonline=20154538")</f>
        <v>ICTVonline=20154538</v>
      </c>
    </row>
    <row r="3644" spans="1:13" x14ac:dyDescent="0.15">
      <c r="A3644" s="1" t="s">
        <v>934</v>
      </c>
      <c r="B3644" s="1" t="s">
        <v>934</v>
      </c>
      <c r="D3644" s="1" t="s">
        <v>1124</v>
      </c>
      <c r="E3644" s="1" t="s">
        <v>1500</v>
      </c>
      <c r="F3644" s="3">
        <v>0</v>
      </c>
      <c r="G3644" s="24" t="s">
        <v>7973</v>
      </c>
      <c r="H3644" s="24" t="s">
        <v>6626</v>
      </c>
      <c r="I3644" s="24" t="s">
        <v>3254</v>
      </c>
      <c r="J3644" s="24" t="s">
        <v>2920</v>
      </c>
      <c r="K3644" s="3">
        <v>13</v>
      </c>
      <c r="L3644" s="3" t="s">
        <v>2932</v>
      </c>
      <c r="M3644" s="3" t="str">
        <f>HYPERLINK("http://ictvonline.org/taxonomyHistory.asp?taxnode_id=20154539","ICTVonline=20154539")</f>
        <v>ICTVonline=20154539</v>
      </c>
    </row>
    <row r="3645" spans="1:13" x14ac:dyDescent="0.15">
      <c r="A3645" s="1" t="s">
        <v>934</v>
      </c>
      <c r="B3645" s="1" t="s">
        <v>934</v>
      </c>
      <c r="D3645" s="1" t="s">
        <v>1124</v>
      </c>
      <c r="E3645" s="1" t="s">
        <v>1501</v>
      </c>
      <c r="F3645" s="3">
        <v>0</v>
      </c>
      <c r="G3645" s="24" t="s">
        <v>7974</v>
      </c>
      <c r="H3645" s="24" t="s">
        <v>6627</v>
      </c>
      <c r="I3645" s="24" t="s">
        <v>3254</v>
      </c>
      <c r="J3645" s="24" t="s">
        <v>2920</v>
      </c>
      <c r="K3645" s="3">
        <v>13</v>
      </c>
      <c r="L3645" s="3" t="s">
        <v>2932</v>
      </c>
      <c r="M3645" s="3" t="str">
        <f>HYPERLINK("http://ictvonline.org/taxonomyHistory.asp?taxnode_id=20154540","ICTVonline=20154540")</f>
        <v>ICTVonline=20154540</v>
      </c>
    </row>
    <row r="3646" spans="1:13" x14ac:dyDescent="0.15">
      <c r="A3646" s="1" t="s">
        <v>934</v>
      </c>
      <c r="B3646" s="1" t="s">
        <v>934</v>
      </c>
      <c r="D3646" s="1" t="s">
        <v>1124</v>
      </c>
      <c r="E3646" s="1" t="s">
        <v>1502</v>
      </c>
      <c r="F3646" s="3">
        <v>0</v>
      </c>
      <c r="G3646" s="24" t="s">
        <v>7975</v>
      </c>
      <c r="H3646" s="24" t="s">
        <v>4999</v>
      </c>
      <c r="I3646" s="24" t="s">
        <v>3254</v>
      </c>
      <c r="J3646" s="24" t="s">
        <v>2919</v>
      </c>
      <c r="K3646" s="3">
        <v>14</v>
      </c>
      <c r="L3646" s="3" t="s">
        <v>2930</v>
      </c>
      <c r="M3646" s="3" t="str">
        <f>HYPERLINK("http://ictvonline.org/taxonomyHistory.asp?taxnode_id=20154541","ICTVonline=20154541")</f>
        <v>ICTVonline=20154541</v>
      </c>
    </row>
    <row r="3647" spans="1:13" x14ac:dyDescent="0.15">
      <c r="A3647" s="1" t="s">
        <v>934</v>
      </c>
      <c r="B3647" s="1" t="s">
        <v>934</v>
      </c>
      <c r="D3647" s="1" t="s">
        <v>1124</v>
      </c>
      <c r="E3647" s="1" t="s">
        <v>453</v>
      </c>
      <c r="F3647" s="3">
        <v>1</v>
      </c>
      <c r="G3647" s="24" t="s">
        <v>7976</v>
      </c>
      <c r="H3647" s="24" t="s">
        <v>6628</v>
      </c>
      <c r="I3647" s="24" t="s">
        <v>3254</v>
      </c>
      <c r="J3647" s="24" t="s">
        <v>2920</v>
      </c>
      <c r="K3647" s="3">
        <v>13</v>
      </c>
      <c r="L3647" s="3" t="s">
        <v>2932</v>
      </c>
      <c r="M3647" s="3" t="str">
        <f>HYPERLINK("http://ictvonline.org/taxonomyHistory.asp?taxnode_id=20154542","ICTVonline=20154542")</f>
        <v>ICTVonline=20154542</v>
      </c>
    </row>
    <row r="3648" spans="1:13" x14ac:dyDescent="0.15">
      <c r="A3648" s="1" t="s">
        <v>934</v>
      </c>
      <c r="B3648" s="1" t="s">
        <v>934</v>
      </c>
      <c r="D3648" s="1" t="s">
        <v>1124</v>
      </c>
      <c r="E3648" s="1" t="s">
        <v>454</v>
      </c>
      <c r="F3648" s="3">
        <v>0</v>
      </c>
      <c r="G3648" s="24" t="s">
        <v>7977</v>
      </c>
      <c r="H3648" s="24" t="s">
        <v>4999</v>
      </c>
      <c r="I3648" s="24" t="s">
        <v>3254</v>
      </c>
      <c r="J3648" s="24" t="s">
        <v>2919</v>
      </c>
      <c r="K3648" s="3">
        <v>18</v>
      </c>
      <c r="L3648" s="3" t="s">
        <v>2929</v>
      </c>
      <c r="M3648" s="3" t="str">
        <f>HYPERLINK("http://ictvonline.org/taxonomyHistory.asp?taxnode_id=20154543","ICTVonline=20154543")</f>
        <v>ICTVonline=20154543</v>
      </c>
    </row>
    <row r="3649" spans="1:13" x14ac:dyDescent="0.15">
      <c r="A3649" s="1" t="s">
        <v>934</v>
      </c>
      <c r="B3649" s="1" t="s">
        <v>934</v>
      </c>
      <c r="D3649" s="1" t="s">
        <v>6629</v>
      </c>
      <c r="E3649" s="1" t="s">
        <v>6630</v>
      </c>
      <c r="F3649" s="3">
        <v>1</v>
      </c>
      <c r="G3649" s="24" t="s">
        <v>6631</v>
      </c>
      <c r="H3649" s="24" t="s">
        <v>6632</v>
      </c>
      <c r="I3649" s="24" t="s">
        <v>3265</v>
      </c>
      <c r="J3649" s="24" t="s">
        <v>2919</v>
      </c>
      <c r="K3649" s="3">
        <v>30</v>
      </c>
      <c r="L3649" s="3" t="s">
        <v>7136</v>
      </c>
      <c r="M3649" s="3" t="str">
        <f>HYPERLINK("http://ictvonline.org/taxonomyHistory.asp?taxnode_id=20154650","ICTVonline=20154650")</f>
        <v>ICTVonline=20154650</v>
      </c>
    </row>
    <row r="3650" spans="1:13" x14ac:dyDescent="0.15">
      <c r="A3650" s="1" t="s">
        <v>934</v>
      </c>
      <c r="B3650" s="1" t="s">
        <v>2128</v>
      </c>
      <c r="D3650" s="1" t="s">
        <v>1307</v>
      </c>
      <c r="E3650" s="1" t="s">
        <v>1308</v>
      </c>
      <c r="F3650" s="3">
        <v>0</v>
      </c>
      <c r="G3650" s="24" t="s">
        <v>7978</v>
      </c>
      <c r="H3650" s="24" t="s">
        <v>6633</v>
      </c>
      <c r="I3650" s="24" t="s">
        <v>3265</v>
      </c>
      <c r="J3650" s="24" t="s">
        <v>2920</v>
      </c>
      <c r="K3650" s="3">
        <v>25</v>
      </c>
      <c r="L3650" s="3" t="s">
        <v>7154</v>
      </c>
      <c r="M3650" s="3" t="str">
        <f>HYPERLINK("http://ictvonline.org/taxonomyHistory.asp?taxnode_id=20154551","ICTVonline=20154551")</f>
        <v>ICTVonline=20154551</v>
      </c>
    </row>
    <row r="3651" spans="1:13" x14ac:dyDescent="0.15">
      <c r="A3651" s="1" t="s">
        <v>934</v>
      </c>
      <c r="B3651" s="1" t="s">
        <v>2128</v>
      </c>
      <c r="D3651" s="1" t="s">
        <v>1307</v>
      </c>
      <c r="E3651" s="1" t="s">
        <v>220</v>
      </c>
      <c r="F3651" s="3">
        <v>0</v>
      </c>
      <c r="G3651" s="24" t="s">
        <v>7979</v>
      </c>
      <c r="H3651" s="24" t="s">
        <v>6634</v>
      </c>
      <c r="I3651" s="24" t="s">
        <v>3265</v>
      </c>
      <c r="J3651" s="24" t="s">
        <v>2919</v>
      </c>
      <c r="K3651" s="3">
        <v>26</v>
      </c>
      <c r="L3651" s="3" t="s">
        <v>7155</v>
      </c>
      <c r="M3651" s="3" t="str">
        <f>HYPERLINK("http://ictvonline.org/taxonomyHistory.asp?taxnode_id=20154552","ICTVonline=20154552")</f>
        <v>ICTVonline=20154552</v>
      </c>
    </row>
    <row r="3652" spans="1:13" x14ac:dyDescent="0.15">
      <c r="A3652" s="1" t="s">
        <v>934</v>
      </c>
      <c r="B3652" s="1" t="s">
        <v>2128</v>
      </c>
      <c r="D3652" s="1" t="s">
        <v>1307</v>
      </c>
      <c r="E3652" s="1" t="s">
        <v>1309</v>
      </c>
      <c r="F3652" s="3">
        <v>0</v>
      </c>
      <c r="G3652" s="24" t="s">
        <v>7980</v>
      </c>
      <c r="H3652" s="24" t="s">
        <v>6635</v>
      </c>
      <c r="I3652" s="24" t="s">
        <v>3265</v>
      </c>
      <c r="J3652" s="24" t="s">
        <v>2920</v>
      </c>
      <c r="K3652" s="3">
        <v>25</v>
      </c>
      <c r="L3652" s="3" t="s">
        <v>7154</v>
      </c>
      <c r="M3652" s="3" t="str">
        <f>HYPERLINK("http://ictvonline.org/taxonomyHistory.asp?taxnode_id=20154553","ICTVonline=20154553")</f>
        <v>ICTVonline=20154553</v>
      </c>
    </row>
    <row r="3653" spans="1:13" x14ac:dyDescent="0.15">
      <c r="A3653" s="1" t="s">
        <v>934</v>
      </c>
      <c r="B3653" s="1" t="s">
        <v>2128</v>
      </c>
      <c r="D3653" s="1" t="s">
        <v>1307</v>
      </c>
      <c r="E3653" s="1" t="s">
        <v>1310</v>
      </c>
      <c r="F3653" s="3">
        <v>0</v>
      </c>
      <c r="G3653" s="24" t="s">
        <v>7981</v>
      </c>
      <c r="H3653" s="24" t="s">
        <v>6636</v>
      </c>
      <c r="I3653" s="24" t="s">
        <v>3265</v>
      </c>
      <c r="J3653" s="24" t="s">
        <v>2920</v>
      </c>
      <c r="K3653" s="3">
        <v>25</v>
      </c>
      <c r="L3653" s="3" t="s">
        <v>7154</v>
      </c>
      <c r="M3653" s="3" t="str">
        <f>HYPERLINK("http://ictvonline.org/taxonomyHistory.asp?taxnode_id=20154554","ICTVonline=20154554")</f>
        <v>ICTVonline=20154554</v>
      </c>
    </row>
    <row r="3654" spans="1:13" x14ac:dyDescent="0.15">
      <c r="A3654" s="1" t="s">
        <v>934</v>
      </c>
      <c r="B3654" s="1" t="s">
        <v>2128</v>
      </c>
      <c r="D3654" s="1" t="s">
        <v>1307</v>
      </c>
      <c r="E3654" s="1" t="s">
        <v>1311</v>
      </c>
      <c r="F3654" s="3">
        <v>1</v>
      </c>
      <c r="G3654" s="24" t="s">
        <v>7982</v>
      </c>
      <c r="H3654" s="24" t="s">
        <v>6637</v>
      </c>
      <c r="I3654" s="24" t="s">
        <v>3265</v>
      </c>
      <c r="J3654" s="24" t="s">
        <v>2920</v>
      </c>
      <c r="K3654" s="3">
        <v>25</v>
      </c>
      <c r="L3654" s="3" t="s">
        <v>7154</v>
      </c>
      <c r="M3654" s="3" t="str">
        <f>HYPERLINK("http://ictvonline.org/taxonomyHistory.asp?taxnode_id=20154555","ICTVonline=20154555")</f>
        <v>ICTVonline=20154555</v>
      </c>
    </row>
    <row r="3655" spans="1:13" x14ac:dyDescent="0.15">
      <c r="A3655" s="1" t="s">
        <v>934</v>
      </c>
      <c r="B3655" s="1" t="s">
        <v>2128</v>
      </c>
      <c r="D3655" s="1" t="s">
        <v>1307</v>
      </c>
      <c r="E3655" s="1" t="s">
        <v>278</v>
      </c>
      <c r="F3655" s="3">
        <v>0</v>
      </c>
      <c r="G3655" s="24" t="s">
        <v>7983</v>
      </c>
      <c r="H3655" s="24" t="s">
        <v>6638</v>
      </c>
      <c r="I3655" s="24" t="s">
        <v>3265</v>
      </c>
      <c r="J3655" s="24" t="s">
        <v>2920</v>
      </c>
      <c r="K3655" s="3">
        <v>25</v>
      </c>
      <c r="L3655" s="3" t="s">
        <v>7154</v>
      </c>
      <c r="M3655" s="3" t="str">
        <f>HYPERLINK("http://ictvonline.org/taxonomyHistory.asp?taxnode_id=20154556","ICTVonline=20154556")</f>
        <v>ICTVonline=20154556</v>
      </c>
    </row>
    <row r="3656" spans="1:13" x14ac:dyDescent="0.15">
      <c r="A3656" s="1" t="s">
        <v>934</v>
      </c>
      <c r="B3656" s="1" t="s">
        <v>2128</v>
      </c>
      <c r="D3656" s="1" t="s">
        <v>6639</v>
      </c>
      <c r="E3656" s="1" t="s">
        <v>6640</v>
      </c>
      <c r="F3656" s="3">
        <v>0</v>
      </c>
      <c r="G3656" s="24" t="s">
        <v>7762</v>
      </c>
      <c r="H3656" s="24" t="s">
        <v>6641</v>
      </c>
      <c r="I3656" s="24" t="s">
        <v>3265</v>
      </c>
      <c r="J3656" s="24" t="s">
        <v>2919</v>
      </c>
      <c r="K3656" s="3">
        <v>30</v>
      </c>
      <c r="L3656" s="3" t="s">
        <v>7156</v>
      </c>
      <c r="M3656" s="3" t="str">
        <f>HYPERLINK("http://ictvonline.org/taxonomyHistory.asp?taxnode_id=20154612","ICTVonline=20154612")</f>
        <v>ICTVonline=20154612</v>
      </c>
    </row>
    <row r="3657" spans="1:13" x14ac:dyDescent="0.15">
      <c r="A3657" s="1" t="s">
        <v>934</v>
      </c>
      <c r="B3657" s="1" t="s">
        <v>2128</v>
      </c>
      <c r="D3657" s="1" t="s">
        <v>6639</v>
      </c>
      <c r="E3657" s="1" t="s">
        <v>6642</v>
      </c>
      <c r="F3657" s="3">
        <v>1</v>
      </c>
      <c r="G3657" s="24" t="s">
        <v>7763</v>
      </c>
      <c r="H3657" s="24" t="s">
        <v>5093</v>
      </c>
      <c r="I3657" s="24" t="s">
        <v>3265</v>
      </c>
      <c r="J3657" s="24" t="s">
        <v>2919</v>
      </c>
      <c r="K3657" s="3">
        <v>30</v>
      </c>
      <c r="L3657" s="3" t="s">
        <v>7156</v>
      </c>
      <c r="M3657" s="3" t="str">
        <f>HYPERLINK("http://ictvonline.org/taxonomyHistory.asp?taxnode_id=20154611","ICTVonline=20154611")</f>
        <v>ICTVonline=20154611</v>
      </c>
    </row>
    <row r="3658" spans="1:13" x14ac:dyDescent="0.15">
      <c r="A3658" s="1" t="s">
        <v>934</v>
      </c>
      <c r="B3658" s="1" t="s">
        <v>2128</v>
      </c>
      <c r="D3658" s="1" t="s">
        <v>264</v>
      </c>
      <c r="E3658" s="1" t="s">
        <v>265</v>
      </c>
      <c r="F3658" s="3">
        <v>0</v>
      </c>
      <c r="I3658" s="24" t="s">
        <v>3265</v>
      </c>
      <c r="J3658" s="24" t="s">
        <v>2920</v>
      </c>
      <c r="K3658" s="3">
        <v>25</v>
      </c>
      <c r="L3658" s="3" t="s">
        <v>7154</v>
      </c>
      <c r="M3658" s="3" t="str">
        <f>HYPERLINK("http://ictvonline.org/taxonomyHistory.asp?taxnode_id=20154558","ICTVonline=20154558")</f>
        <v>ICTVonline=20154558</v>
      </c>
    </row>
    <row r="3659" spans="1:13" x14ac:dyDescent="0.15">
      <c r="A3659" s="1" t="s">
        <v>934</v>
      </c>
      <c r="B3659" s="1" t="s">
        <v>2128</v>
      </c>
      <c r="D3659" s="1" t="s">
        <v>264</v>
      </c>
      <c r="E3659" s="1" t="s">
        <v>266</v>
      </c>
      <c r="F3659" s="3">
        <v>1</v>
      </c>
      <c r="G3659" s="24" t="s">
        <v>7984</v>
      </c>
      <c r="H3659" s="24" t="s">
        <v>6643</v>
      </c>
      <c r="I3659" s="24" t="s">
        <v>3265</v>
      </c>
      <c r="J3659" s="24" t="s">
        <v>2920</v>
      </c>
      <c r="K3659" s="3">
        <v>25</v>
      </c>
      <c r="L3659" s="3" t="s">
        <v>7154</v>
      </c>
      <c r="M3659" s="3" t="str">
        <f>HYPERLINK("http://ictvonline.org/taxonomyHistory.asp?taxnode_id=20154559","ICTVonline=20154559")</f>
        <v>ICTVonline=20154559</v>
      </c>
    </row>
    <row r="3660" spans="1:13" x14ac:dyDescent="0.15">
      <c r="A3660" s="1" t="s">
        <v>934</v>
      </c>
      <c r="B3660" s="1" t="s">
        <v>2128</v>
      </c>
      <c r="D3660" s="1" t="s">
        <v>264</v>
      </c>
      <c r="E3660" s="1" t="s">
        <v>267</v>
      </c>
      <c r="F3660" s="3">
        <v>0</v>
      </c>
      <c r="G3660" s="24" t="s">
        <v>6644</v>
      </c>
      <c r="H3660" s="24" t="s">
        <v>4836</v>
      </c>
      <c r="I3660" s="24" t="s">
        <v>3265</v>
      </c>
      <c r="J3660" s="24" t="s">
        <v>2920</v>
      </c>
      <c r="K3660" s="3">
        <v>25</v>
      </c>
      <c r="L3660" s="3" t="s">
        <v>7154</v>
      </c>
      <c r="M3660" s="3" t="str">
        <f>HYPERLINK("http://ictvonline.org/taxonomyHistory.asp?taxnode_id=20154560","ICTVonline=20154560")</f>
        <v>ICTVonline=20154560</v>
      </c>
    </row>
    <row r="3661" spans="1:13" x14ac:dyDescent="0.15">
      <c r="A3661" s="1" t="s">
        <v>934</v>
      </c>
      <c r="B3661" s="1" t="s">
        <v>2128</v>
      </c>
      <c r="D3661" s="1" t="s">
        <v>264</v>
      </c>
      <c r="E3661" s="1" t="s">
        <v>268</v>
      </c>
      <c r="F3661" s="3">
        <v>0</v>
      </c>
      <c r="G3661" s="24" t="s">
        <v>6645</v>
      </c>
      <c r="H3661" s="24" t="s">
        <v>6646</v>
      </c>
      <c r="I3661" s="24" t="s">
        <v>3265</v>
      </c>
      <c r="J3661" s="24" t="s">
        <v>2920</v>
      </c>
      <c r="K3661" s="3">
        <v>25</v>
      </c>
      <c r="L3661" s="3" t="s">
        <v>7154</v>
      </c>
      <c r="M3661" s="3" t="str">
        <f>HYPERLINK("http://ictvonline.org/taxonomyHistory.asp?taxnode_id=20154561","ICTVonline=20154561")</f>
        <v>ICTVonline=20154561</v>
      </c>
    </row>
    <row r="3662" spans="1:13" x14ac:dyDescent="0.15">
      <c r="A3662" s="1" t="s">
        <v>934</v>
      </c>
      <c r="B3662" s="1" t="s">
        <v>2128</v>
      </c>
      <c r="D3662" s="1" t="s">
        <v>275</v>
      </c>
      <c r="E3662" s="1" t="s">
        <v>276</v>
      </c>
      <c r="F3662" s="3">
        <v>0</v>
      </c>
      <c r="G3662" s="24" t="s">
        <v>7985</v>
      </c>
      <c r="H3662" s="24" t="s">
        <v>6647</v>
      </c>
      <c r="I3662" s="24" t="s">
        <v>3265</v>
      </c>
      <c r="J3662" s="24" t="s">
        <v>2920</v>
      </c>
      <c r="K3662" s="3">
        <v>25</v>
      </c>
      <c r="L3662" s="3" t="s">
        <v>7154</v>
      </c>
      <c r="M3662" s="3" t="str">
        <f>HYPERLINK("http://ictvonline.org/taxonomyHistory.asp?taxnode_id=20154563","ICTVonline=20154563")</f>
        <v>ICTVonline=20154563</v>
      </c>
    </row>
    <row r="3663" spans="1:13" x14ac:dyDescent="0.15">
      <c r="A3663" s="1" t="s">
        <v>934</v>
      </c>
      <c r="B3663" s="1" t="s">
        <v>2128</v>
      </c>
      <c r="D3663" s="1" t="s">
        <v>275</v>
      </c>
      <c r="E3663" s="1" t="s">
        <v>277</v>
      </c>
      <c r="F3663" s="3">
        <v>1</v>
      </c>
      <c r="G3663" s="24" t="s">
        <v>7986</v>
      </c>
      <c r="H3663" s="24" t="s">
        <v>6648</v>
      </c>
      <c r="I3663" s="24" t="s">
        <v>3265</v>
      </c>
      <c r="J3663" s="24" t="s">
        <v>2920</v>
      </c>
      <c r="K3663" s="3">
        <v>25</v>
      </c>
      <c r="L3663" s="3" t="s">
        <v>7154</v>
      </c>
      <c r="M3663" s="3" t="str">
        <f>HYPERLINK("http://ictvonline.org/taxonomyHistory.asp?taxnode_id=20154564","ICTVonline=20154564")</f>
        <v>ICTVonline=20154564</v>
      </c>
    </row>
    <row r="3664" spans="1:13" x14ac:dyDescent="0.15">
      <c r="A3664" s="1" t="s">
        <v>934</v>
      </c>
      <c r="B3664" s="1" t="s">
        <v>2128</v>
      </c>
      <c r="D3664" s="1" t="s">
        <v>410</v>
      </c>
      <c r="E3664" s="1" t="s">
        <v>411</v>
      </c>
      <c r="F3664" s="3">
        <v>0</v>
      </c>
      <c r="G3664" s="24" t="s">
        <v>7987</v>
      </c>
      <c r="H3664" s="24" t="s">
        <v>6649</v>
      </c>
      <c r="I3664" s="24" t="s">
        <v>3265</v>
      </c>
      <c r="J3664" s="24" t="s">
        <v>2920</v>
      </c>
      <c r="K3664" s="3">
        <v>25</v>
      </c>
      <c r="L3664" s="3" t="s">
        <v>7154</v>
      </c>
      <c r="M3664" s="3" t="str">
        <f>HYPERLINK("http://ictvonline.org/taxonomyHistory.asp?taxnode_id=20154566","ICTVonline=20154566")</f>
        <v>ICTVonline=20154566</v>
      </c>
    </row>
    <row r="3665" spans="1:13" x14ac:dyDescent="0.15">
      <c r="A3665" s="1" t="s">
        <v>934</v>
      </c>
      <c r="B3665" s="1" t="s">
        <v>2128</v>
      </c>
      <c r="D3665" s="1" t="s">
        <v>410</v>
      </c>
      <c r="E3665" s="1" t="s">
        <v>412</v>
      </c>
      <c r="F3665" s="3">
        <v>0</v>
      </c>
      <c r="G3665" s="24" t="s">
        <v>7988</v>
      </c>
      <c r="H3665" s="24" t="s">
        <v>5005</v>
      </c>
      <c r="I3665" s="24" t="s">
        <v>3265</v>
      </c>
      <c r="J3665" s="24" t="s">
        <v>2920</v>
      </c>
      <c r="K3665" s="3">
        <v>25</v>
      </c>
      <c r="L3665" s="3" t="s">
        <v>7154</v>
      </c>
      <c r="M3665" s="3" t="str">
        <f>HYPERLINK("http://ictvonline.org/taxonomyHistory.asp?taxnode_id=20154567","ICTVonline=20154567")</f>
        <v>ICTVonline=20154567</v>
      </c>
    </row>
    <row r="3666" spans="1:13" x14ac:dyDescent="0.15">
      <c r="A3666" s="1" t="s">
        <v>934</v>
      </c>
      <c r="B3666" s="1" t="s">
        <v>2128</v>
      </c>
      <c r="D3666" s="1" t="s">
        <v>410</v>
      </c>
      <c r="E3666" s="1" t="s">
        <v>413</v>
      </c>
      <c r="F3666" s="3">
        <v>0</v>
      </c>
      <c r="G3666" s="24" t="s">
        <v>7989</v>
      </c>
      <c r="H3666" s="24" t="s">
        <v>6542</v>
      </c>
      <c r="I3666" s="24" t="s">
        <v>3265</v>
      </c>
      <c r="J3666" s="24" t="s">
        <v>2920</v>
      </c>
      <c r="K3666" s="3">
        <v>25</v>
      </c>
      <c r="L3666" s="3" t="s">
        <v>7154</v>
      </c>
      <c r="M3666" s="3" t="str">
        <f>HYPERLINK("http://ictvonline.org/taxonomyHistory.asp?taxnode_id=20154568","ICTVonline=20154568")</f>
        <v>ICTVonline=20154568</v>
      </c>
    </row>
    <row r="3667" spans="1:13" x14ac:dyDescent="0.15">
      <c r="A3667" s="1" t="s">
        <v>934</v>
      </c>
      <c r="B3667" s="1" t="s">
        <v>2128</v>
      </c>
      <c r="D3667" s="1" t="s">
        <v>410</v>
      </c>
      <c r="E3667" s="1" t="s">
        <v>414</v>
      </c>
      <c r="F3667" s="3">
        <v>1</v>
      </c>
      <c r="G3667" s="24" t="s">
        <v>7990</v>
      </c>
      <c r="H3667" s="24" t="s">
        <v>6650</v>
      </c>
      <c r="I3667" s="24" t="s">
        <v>3265</v>
      </c>
      <c r="J3667" s="24" t="s">
        <v>2920</v>
      </c>
      <c r="K3667" s="3">
        <v>25</v>
      </c>
      <c r="L3667" s="3" t="s">
        <v>7154</v>
      </c>
      <c r="M3667" s="3" t="str">
        <f>HYPERLINK("http://ictvonline.org/taxonomyHistory.asp?taxnode_id=20154569","ICTVonline=20154569")</f>
        <v>ICTVonline=20154569</v>
      </c>
    </row>
    <row r="3668" spans="1:13" x14ac:dyDescent="0.15">
      <c r="A3668" s="1" t="s">
        <v>934</v>
      </c>
      <c r="B3668" s="1" t="s">
        <v>2128</v>
      </c>
      <c r="D3668" s="1" t="s">
        <v>455</v>
      </c>
      <c r="E3668" s="1" t="s">
        <v>2437</v>
      </c>
      <c r="F3668" s="3">
        <v>0</v>
      </c>
      <c r="G3668" s="24" t="s">
        <v>6651</v>
      </c>
      <c r="H3668" s="24" t="s">
        <v>6382</v>
      </c>
      <c r="I3668" s="24" t="s">
        <v>3265</v>
      </c>
      <c r="J3668" s="24" t="s">
        <v>2919</v>
      </c>
      <c r="K3668" s="3">
        <v>27</v>
      </c>
      <c r="L3668" s="3" t="s">
        <v>7157</v>
      </c>
      <c r="M3668" s="3" t="str">
        <f>HYPERLINK("http://ictvonline.org/taxonomyHistory.asp?taxnode_id=20154571","ICTVonline=20154571")</f>
        <v>ICTVonline=20154571</v>
      </c>
    </row>
    <row r="3669" spans="1:13" x14ac:dyDescent="0.15">
      <c r="A3669" s="1" t="s">
        <v>934</v>
      </c>
      <c r="B3669" s="1" t="s">
        <v>2128</v>
      </c>
      <c r="D3669" s="1" t="s">
        <v>455</v>
      </c>
      <c r="E3669" s="1" t="s">
        <v>1626</v>
      </c>
      <c r="F3669" s="3">
        <v>0</v>
      </c>
      <c r="G3669" s="24" t="s">
        <v>6652</v>
      </c>
      <c r="H3669" s="24" t="s">
        <v>6744</v>
      </c>
      <c r="I3669" s="24" t="s">
        <v>3265</v>
      </c>
      <c r="J3669" s="24" t="s">
        <v>2919</v>
      </c>
      <c r="K3669" s="3">
        <v>25</v>
      </c>
      <c r="L3669" s="3" t="s">
        <v>7158</v>
      </c>
      <c r="M3669" s="3" t="str">
        <f>HYPERLINK("http://ictvonline.org/taxonomyHistory.asp?taxnode_id=20154572","ICTVonline=20154572")</f>
        <v>ICTVonline=20154572</v>
      </c>
    </row>
    <row r="3670" spans="1:13" x14ac:dyDescent="0.15">
      <c r="A3670" s="1" t="s">
        <v>934</v>
      </c>
      <c r="B3670" s="1" t="s">
        <v>2128</v>
      </c>
      <c r="D3670" s="1" t="s">
        <v>455</v>
      </c>
      <c r="E3670" s="1" t="s">
        <v>2438</v>
      </c>
      <c r="F3670" s="3">
        <v>0</v>
      </c>
      <c r="G3670" s="24" t="s">
        <v>6653</v>
      </c>
      <c r="H3670" s="24" t="s">
        <v>6654</v>
      </c>
      <c r="I3670" s="24" t="s">
        <v>3265</v>
      </c>
      <c r="J3670" s="24" t="s">
        <v>2919</v>
      </c>
      <c r="K3670" s="3">
        <v>27</v>
      </c>
      <c r="L3670" s="3" t="s">
        <v>7157</v>
      </c>
      <c r="M3670" s="3" t="str">
        <f>HYPERLINK("http://ictvonline.org/taxonomyHistory.asp?taxnode_id=20154573","ICTVonline=20154573")</f>
        <v>ICTVonline=20154573</v>
      </c>
    </row>
    <row r="3671" spans="1:13" x14ac:dyDescent="0.15">
      <c r="A3671" s="1" t="s">
        <v>934</v>
      </c>
      <c r="B3671" s="1" t="s">
        <v>2128</v>
      </c>
      <c r="D3671" s="1" t="s">
        <v>455</v>
      </c>
      <c r="E3671" s="1" t="s">
        <v>2439</v>
      </c>
      <c r="F3671" s="3">
        <v>0</v>
      </c>
      <c r="G3671" s="24" t="s">
        <v>6655</v>
      </c>
      <c r="H3671" s="24" t="s">
        <v>6656</v>
      </c>
      <c r="I3671" s="24" t="s">
        <v>3265</v>
      </c>
      <c r="J3671" s="24" t="s">
        <v>2919</v>
      </c>
      <c r="K3671" s="3">
        <v>27</v>
      </c>
      <c r="L3671" s="3" t="s">
        <v>7157</v>
      </c>
      <c r="M3671" s="3" t="str">
        <f>HYPERLINK("http://ictvonline.org/taxonomyHistory.asp?taxnode_id=20154574","ICTVonline=20154574")</f>
        <v>ICTVonline=20154574</v>
      </c>
    </row>
    <row r="3672" spans="1:13" x14ac:dyDescent="0.15">
      <c r="A3672" s="1" t="s">
        <v>934</v>
      </c>
      <c r="B3672" s="1" t="s">
        <v>2128</v>
      </c>
      <c r="D3672" s="1" t="s">
        <v>455</v>
      </c>
      <c r="E3672" s="1" t="s">
        <v>456</v>
      </c>
      <c r="F3672" s="3">
        <v>0</v>
      </c>
      <c r="G3672" s="24" t="s">
        <v>6657</v>
      </c>
      <c r="H3672" s="24" t="s">
        <v>6503</v>
      </c>
      <c r="I3672" s="24" t="s">
        <v>3265</v>
      </c>
      <c r="J3672" s="24" t="s">
        <v>2920</v>
      </c>
      <c r="K3672" s="3">
        <v>25</v>
      </c>
      <c r="L3672" s="3" t="s">
        <v>7154</v>
      </c>
      <c r="M3672" s="3" t="str">
        <f>HYPERLINK("http://ictvonline.org/taxonomyHistory.asp?taxnode_id=20154575","ICTVonline=20154575")</f>
        <v>ICTVonline=20154575</v>
      </c>
    </row>
    <row r="3673" spans="1:13" x14ac:dyDescent="0.15">
      <c r="A3673" s="1" t="s">
        <v>934</v>
      </c>
      <c r="B3673" s="1" t="s">
        <v>2128</v>
      </c>
      <c r="D3673" s="1" t="s">
        <v>455</v>
      </c>
      <c r="E3673" s="1" t="s">
        <v>457</v>
      </c>
      <c r="F3673" s="3">
        <v>0</v>
      </c>
      <c r="G3673" s="24" t="s">
        <v>6658</v>
      </c>
      <c r="H3673" s="24" t="s">
        <v>6659</v>
      </c>
      <c r="I3673" s="24" t="s">
        <v>3265</v>
      </c>
      <c r="J3673" s="24" t="s">
        <v>2920</v>
      </c>
      <c r="K3673" s="3">
        <v>25</v>
      </c>
      <c r="L3673" s="3" t="s">
        <v>7154</v>
      </c>
      <c r="M3673" s="3" t="str">
        <f>HYPERLINK("http://ictvonline.org/taxonomyHistory.asp?taxnode_id=20154576","ICTVonline=20154576")</f>
        <v>ICTVonline=20154576</v>
      </c>
    </row>
    <row r="3674" spans="1:13" x14ac:dyDescent="0.15">
      <c r="A3674" s="1" t="s">
        <v>934</v>
      </c>
      <c r="B3674" s="1" t="s">
        <v>2128</v>
      </c>
      <c r="D3674" s="1" t="s">
        <v>455</v>
      </c>
      <c r="E3674" s="1" t="s">
        <v>2440</v>
      </c>
      <c r="F3674" s="3">
        <v>0</v>
      </c>
      <c r="G3674" s="24" t="s">
        <v>6660</v>
      </c>
      <c r="H3674" s="24" t="s">
        <v>6661</v>
      </c>
      <c r="I3674" s="24" t="s">
        <v>3265</v>
      </c>
      <c r="J3674" s="24" t="s">
        <v>2919</v>
      </c>
      <c r="K3674" s="3">
        <v>27</v>
      </c>
      <c r="L3674" s="3" t="s">
        <v>7157</v>
      </c>
      <c r="M3674" s="3" t="str">
        <f>HYPERLINK("http://ictvonline.org/taxonomyHistory.asp?taxnode_id=20154577","ICTVonline=20154577")</f>
        <v>ICTVonline=20154577</v>
      </c>
    </row>
    <row r="3675" spans="1:13" x14ac:dyDescent="0.15">
      <c r="A3675" s="1" t="s">
        <v>934</v>
      </c>
      <c r="B3675" s="1" t="s">
        <v>2128</v>
      </c>
      <c r="D3675" s="1" t="s">
        <v>455</v>
      </c>
      <c r="E3675" s="1" t="s">
        <v>458</v>
      </c>
      <c r="F3675" s="3">
        <v>0</v>
      </c>
      <c r="G3675" s="24" t="s">
        <v>6662</v>
      </c>
      <c r="H3675" s="24" t="s">
        <v>6663</v>
      </c>
      <c r="I3675" s="24" t="s">
        <v>3265</v>
      </c>
      <c r="J3675" s="24" t="s">
        <v>2920</v>
      </c>
      <c r="K3675" s="3">
        <v>25</v>
      </c>
      <c r="L3675" s="3" t="s">
        <v>7154</v>
      </c>
      <c r="M3675" s="3" t="str">
        <f>HYPERLINK("http://ictvonline.org/taxonomyHistory.asp?taxnode_id=20154578","ICTVonline=20154578")</f>
        <v>ICTVonline=20154578</v>
      </c>
    </row>
    <row r="3676" spans="1:13" x14ac:dyDescent="0.15">
      <c r="A3676" s="1" t="s">
        <v>934</v>
      </c>
      <c r="B3676" s="1" t="s">
        <v>2128</v>
      </c>
      <c r="D3676" s="1" t="s">
        <v>455</v>
      </c>
      <c r="E3676" s="1" t="s">
        <v>459</v>
      </c>
      <c r="F3676" s="3">
        <v>0</v>
      </c>
      <c r="G3676" s="24" t="s">
        <v>6664</v>
      </c>
      <c r="H3676" s="24" t="s">
        <v>4801</v>
      </c>
      <c r="I3676" s="24" t="s">
        <v>3265</v>
      </c>
      <c r="J3676" s="24" t="s">
        <v>2920</v>
      </c>
      <c r="K3676" s="3">
        <v>25</v>
      </c>
      <c r="L3676" s="3" t="s">
        <v>7154</v>
      </c>
      <c r="M3676" s="3" t="str">
        <f>HYPERLINK("http://ictvonline.org/taxonomyHistory.asp?taxnode_id=20154579","ICTVonline=20154579")</f>
        <v>ICTVonline=20154579</v>
      </c>
    </row>
    <row r="3677" spans="1:13" x14ac:dyDescent="0.15">
      <c r="A3677" s="1" t="s">
        <v>934</v>
      </c>
      <c r="B3677" s="1" t="s">
        <v>2128</v>
      </c>
      <c r="D3677" s="1" t="s">
        <v>455</v>
      </c>
      <c r="E3677" s="1" t="s">
        <v>460</v>
      </c>
      <c r="F3677" s="3">
        <v>0</v>
      </c>
      <c r="G3677" s="24" t="s">
        <v>6665</v>
      </c>
      <c r="H3677" s="24" t="s">
        <v>6666</v>
      </c>
      <c r="I3677" s="24" t="s">
        <v>3265</v>
      </c>
      <c r="J3677" s="24" t="s">
        <v>2920</v>
      </c>
      <c r="K3677" s="3">
        <v>25</v>
      </c>
      <c r="L3677" s="3" t="s">
        <v>7154</v>
      </c>
      <c r="M3677" s="3" t="str">
        <f>HYPERLINK("http://ictvonline.org/taxonomyHistory.asp?taxnode_id=20154580","ICTVonline=20154580")</f>
        <v>ICTVonline=20154580</v>
      </c>
    </row>
    <row r="3678" spans="1:13" x14ac:dyDescent="0.15">
      <c r="A3678" s="1" t="s">
        <v>934</v>
      </c>
      <c r="B3678" s="1" t="s">
        <v>2128</v>
      </c>
      <c r="D3678" s="1" t="s">
        <v>455</v>
      </c>
      <c r="E3678" s="1" t="s">
        <v>461</v>
      </c>
      <c r="F3678" s="3">
        <v>0</v>
      </c>
      <c r="G3678" s="24" t="s">
        <v>6667</v>
      </c>
      <c r="H3678" s="24" t="s">
        <v>3754</v>
      </c>
      <c r="I3678" s="24" t="s">
        <v>3265</v>
      </c>
      <c r="J3678" s="24" t="s">
        <v>2920</v>
      </c>
      <c r="K3678" s="3">
        <v>25</v>
      </c>
      <c r="L3678" s="3" t="s">
        <v>7154</v>
      </c>
      <c r="M3678" s="3" t="str">
        <f>HYPERLINK("http://ictvonline.org/taxonomyHistory.asp?taxnode_id=20154581","ICTVonline=20154581")</f>
        <v>ICTVonline=20154581</v>
      </c>
    </row>
    <row r="3679" spans="1:13" x14ac:dyDescent="0.15">
      <c r="A3679" s="1" t="s">
        <v>934</v>
      </c>
      <c r="B3679" s="1" t="s">
        <v>2128</v>
      </c>
      <c r="D3679" s="1" t="s">
        <v>455</v>
      </c>
      <c r="E3679" s="1" t="s">
        <v>2441</v>
      </c>
      <c r="F3679" s="3">
        <v>0</v>
      </c>
      <c r="G3679" s="24" t="s">
        <v>6668</v>
      </c>
      <c r="H3679" s="24" t="s">
        <v>4969</v>
      </c>
      <c r="I3679" s="24" t="s">
        <v>3265</v>
      </c>
      <c r="J3679" s="24" t="s">
        <v>2919</v>
      </c>
      <c r="K3679" s="3">
        <v>27</v>
      </c>
      <c r="L3679" s="3" t="s">
        <v>7157</v>
      </c>
      <c r="M3679" s="3" t="str">
        <f>HYPERLINK("http://ictvonline.org/taxonomyHistory.asp?taxnode_id=20154582","ICTVonline=20154582")</f>
        <v>ICTVonline=20154582</v>
      </c>
    </row>
    <row r="3680" spans="1:13" x14ac:dyDescent="0.15">
      <c r="A3680" s="1" t="s">
        <v>934</v>
      </c>
      <c r="B3680" s="1" t="s">
        <v>2128</v>
      </c>
      <c r="D3680" s="1" t="s">
        <v>455</v>
      </c>
      <c r="E3680" s="1" t="s">
        <v>439</v>
      </c>
      <c r="F3680" s="3">
        <v>0</v>
      </c>
      <c r="G3680" s="24" t="s">
        <v>6669</v>
      </c>
      <c r="H3680" s="24" t="s">
        <v>6670</v>
      </c>
      <c r="I3680" s="24" t="s">
        <v>3265</v>
      </c>
      <c r="J3680" s="24" t="s">
        <v>2920</v>
      </c>
      <c r="K3680" s="3">
        <v>25</v>
      </c>
      <c r="L3680" s="3" t="s">
        <v>7154</v>
      </c>
      <c r="M3680" s="3" t="str">
        <f>HYPERLINK("http://ictvonline.org/taxonomyHistory.asp?taxnode_id=20154583","ICTVonline=20154583")</f>
        <v>ICTVonline=20154583</v>
      </c>
    </row>
    <row r="3681" spans="1:13" x14ac:dyDescent="0.15">
      <c r="A3681" s="1" t="s">
        <v>934</v>
      </c>
      <c r="B3681" s="1" t="s">
        <v>2128</v>
      </c>
      <c r="D3681" s="1" t="s">
        <v>455</v>
      </c>
      <c r="E3681" s="1" t="s">
        <v>440</v>
      </c>
      <c r="F3681" s="3">
        <v>0</v>
      </c>
      <c r="G3681" s="24" t="s">
        <v>6671</v>
      </c>
      <c r="H3681" s="24" t="s">
        <v>6672</v>
      </c>
      <c r="I3681" s="24" t="s">
        <v>3265</v>
      </c>
      <c r="J3681" s="24" t="s">
        <v>2920</v>
      </c>
      <c r="K3681" s="3">
        <v>25</v>
      </c>
      <c r="L3681" s="3" t="s">
        <v>7154</v>
      </c>
      <c r="M3681" s="3" t="str">
        <f>HYPERLINK("http://ictvonline.org/taxonomyHistory.asp?taxnode_id=20154584","ICTVonline=20154584")</f>
        <v>ICTVonline=20154584</v>
      </c>
    </row>
    <row r="3682" spans="1:13" x14ac:dyDescent="0.15">
      <c r="A3682" s="1" t="s">
        <v>934</v>
      </c>
      <c r="B3682" s="1" t="s">
        <v>2128</v>
      </c>
      <c r="D3682" s="1" t="s">
        <v>455</v>
      </c>
      <c r="E3682" s="1" t="s">
        <v>441</v>
      </c>
      <c r="F3682" s="3">
        <v>0</v>
      </c>
      <c r="G3682" s="24" t="s">
        <v>6673</v>
      </c>
      <c r="H3682" s="24" t="s">
        <v>4710</v>
      </c>
      <c r="I3682" s="24" t="s">
        <v>3265</v>
      </c>
      <c r="J3682" s="24" t="s">
        <v>2920</v>
      </c>
      <c r="K3682" s="3">
        <v>25</v>
      </c>
      <c r="L3682" s="3" t="s">
        <v>7154</v>
      </c>
      <c r="M3682" s="3" t="str">
        <f>HYPERLINK("http://ictvonline.org/taxonomyHistory.asp?taxnode_id=20154585","ICTVonline=20154585")</f>
        <v>ICTVonline=20154585</v>
      </c>
    </row>
    <row r="3683" spans="1:13" x14ac:dyDescent="0.15">
      <c r="A3683" s="1" t="s">
        <v>934</v>
      </c>
      <c r="B3683" s="1" t="s">
        <v>2128</v>
      </c>
      <c r="D3683" s="1" t="s">
        <v>455</v>
      </c>
      <c r="E3683" s="1" t="s">
        <v>2442</v>
      </c>
      <c r="F3683" s="3">
        <v>0</v>
      </c>
      <c r="G3683" s="24" t="s">
        <v>6674</v>
      </c>
      <c r="H3683" s="24" t="s">
        <v>4744</v>
      </c>
      <c r="I3683" s="24" t="s">
        <v>3265</v>
      </c>
      <c r="J3683" s="24" t="s">
        <v>2919</v>
      </c>
      <c r="K3683" s="3">
        <v>27</v>
      </c>
      <c r="L3683" s="3" t="s">
        <v>7157</v>
      </c>
      <c r="M3683" s="3" t="str">
        <f>HYPERLINK("http://ictvonline.org/taxonomyHistory.asp?taxnode_id=20154586","ICTVonline=20154586")</f>
        <v>ICTVonline=20154586</v>
      </c>
    </row>
    <row r="3684" spans="1:13" x14ac:dyDescent="0.15">
      <c r="A3684" s="1" t="s">
        <v>934</v>
      </c>
      <c r="B3684" s="1" t="s">
        <v>2128</v>
      </c>
      <c r="D3684" s="1" t="s">
        <v>455</v>
      </c>
      <c r="E3684" s="1" t="s">
        <v>311</v>
      </c>
      <c r="F3684" s="3">
        <v>0</v>
      </c>
      <c r="G3684" s="24" t="s">
        <v>6675</v>
      </c>
      <c r="H3684" s="24" t="s">
        <v>5093</v>
      </c>
      <c r="I3684" s="24" t="s">
        <v>3265</v>
      </c>
      <c r="J3684" s="24" t="s">
        <v>2920</v>
      </c>
      <c r="K3684" s="3">
        <v>25</v>
      </c>
      <c r="L3684" s="3" t="s">
        <v>7154</v>
      </c>
      <c r="M3684" s="3" t="str">
        <f>HYPERLINK("http://ictvonline.org/taxonomyHistory.asp?taxnode_id=20154587","ICTVonline=20154587")</f>
        <v>ICTVonline=20154587</v>
      </c>
    </row>
    <row r="3685" spans="1:13" x14ac:dyDescent="0.15">
      <c r="A3685" s="1" t="s">
        <v>934</v>
      </c>
      <c r="B3685" s="1" t="s">
        <v>2128</v>
      </c>
      <c r="D3685" s="1" t="s">
        <v>455</v>
      </c>
      <c r="E3685" s="1" t="s">
        <v>2443</v>
      </c>
      <c r="F3685" s="3">
        <v>0</v>
      </c>
      <c r="G3685" s="24" t="s">
        <v>6676</v>
      </c>
      <c r="H3685" s="24" t="s">
        <v>6460</v>
      </c>
      <c r="I3685" s="24" t="s">
        <v>3265</v>
      </c>
      <c r="J3685" s="24" t="s">
        <v>2919</v>
      </c>
      <c r="K3685" s="3">
        <v>27</v>
      </c>
      <c r="L3685" s="3" t="s">
        <v>7157</v>
      </c>
      <c r="M3685" s="3" t="str">
        <f>HYPERLINK("http://ictvonline.org/taxonomyHistory.asp?taxnode_id=20154588","ICTVonline=20154588")</f>
        <v>ICTVonline=20154588</v>
      </c>
    </row>
    <row r="3686" spans="1:13" x14ac:dyDescent="0.15">
      <c r="A3686" s="1" t="s">
        <v>934</v>
      </c>
      <c r="B3686" s="1" t="s">
        <v>2128</v>
      </c>
      <c r="D3686" s="1" t="s">
        <v>455</v>
      </c>
      <c r="E3686" s="1" t="s">
        <v>1625</v>
      </c>
      <c r="F3686" s="3">
        <v>0</v>
      </c>
      <c r="G3686" s="24" t="s">
        <v>6677</v>
      </c>
      <c r="H3686" s="24" t="s">
        <v>6678</v>
      </c>
      <c r="I3686" s="24" t="s">
        <v>3265</v>
      </c>
      <c r="J3686" s="24" t="s">
        <v>2919</v>
      </c>
      <c r="K3686" s="3">
        <v>25</v>
      </c>
      <c r="L3686" s="3" t="s">
        <v>7159</v>
      </c>
      <c r="M3686" s="3" t="str">
        <f>HYPERLINK("http://ictvonline.org/taxonomyHistory.asp?taxnode_id=20154589","ICTVonline=20154589")</f>
        <v>ICTVonline=20154589</v>
      </c>
    </row>
    <row r="3687" spans="1:13" x14ac:dyDescent="0.15">
      <c r="A3687" s="1" t="s">
        <v>934</v>
      </c>
      <c r="B3687" s="1" t="s">
        <v>2128</v>
      </c>
      <c r="D3687" s="1" t="s">
        <v>455</v>
      </c>
      <c r="E3687" s="1" t="s">
        <v>312</v>
      </c>
      <c r="F3687" s="3">
        <v>0</v>
      </c>
      <c r="G3687" s="24" t="s">
        <v>6679</v>
      </c>
      <c r="H3687" s="24" t="s">
        <v>7764</v>
      </c>
      <c r="I3687" s="24" t="s">
        <v>3265</v>
      </c>
      <c r="J3687" s="24" t="s">
        <v>2920</v>
      </c>
      <c r="K3687" s="3">
        <v>25</v>
      </c>
      <c r="L3687" s="3" t="s">
        <v>7154</v>
      </c>
      <c r="M3687" s="3" t="str">
        <f>HYPERLINK("http://ictvonline.org/taxonomyHistory.asp?taxnode_id=20154590","ICTVonline=20154590")</f>
        <v>ICTVonline=20154590</v>
      </c>
    </row>
    <row r="3688" spans="1:13" x14ac:dyDescent="0.15">
      <c r="A3688" s="1" t="s">
        <v>934</v>
      </c>
      <c r="B3688" s="1" t="s">
        <v>2128</v>
      </c>
      <c r="D3688" s="1" t="s">
        <v>455</v>
      </c>
      <c r="E3688" s="1" t="s">
        <v>1928</v>
      </c>
      <c r="F3688" s="3">
        <v>0</v>
      </c>
      <c r="I3688" s="24" t="s">
        <v>3265</v>
      </c>
      <c r="J3688" s="24" t="s">
        <v>2920</v>
      </c>
      <c r="K3688" s="3">
        <v>25</v>
      </c>
      <c r="L3688" s="3" t="s">
        <v>7154</v>
      </c>
      <c r="M3688" s="3" t="str">
        <f>HYPERLINK("http://ictvonline.org/taxonomyHistory.asp?taxnode_id=20154591","ICTVonline=20154591")</f>
        <v>ICTVonline=20154591</v>
      </c>
    </row>
    <row r="3689" spans="1:13" x14ac:dyDescent="0.15">
      <c r="A3689" s="1" t="s">
        <v>934</v>
      </c>
      <c r="B3689" s="1" t="s">
        <v>2128</v>
      </c>
      <c r="D3689" s="1" t="s">
        <v>455</v>
      </c>
      <c r="E3689" s="1" t="s">
        <v>1627</v>
      </c>
      <c r="F3689" s="3">
        <v>0</v>
      </c>
      <c r="G3689" s="24" t="s">
        <v>6680</v>
      </c>
      <c r="H3689" s="24" t="s">
        <v>6681</v>
      </c>
      <c r="I3689" s="24" t="s">
        <v>3265</v>
      </c>
      <c r="J3689" s="24" t="s">
        <v>2919</v>
      </c>
      <c r="K3689" s="3">
        <v>25</v>
      </c>
      <c r="L3689" s="3" t="s">
        <v>7158</v>
      </c>
      <c r="M3689" s="3" t="str">
        <f>HYPERLINK("http://ictvonline.org/taxonomyHistory.asp?taxnode_id=20154592","ICTVonline=20154592")</f>
        <v>ICTVonline=20154592</v>
      </c>
    </row>
    <row r="3690" spans="1:13" x14ac:dyDescent="0.15">
      <c r="A3690" s="1" t="s">
        <v>934</v>
      </c>
      <c r="B3690" s="1" t="s">
        <v>2128</v>
      </c>
      <c r="D3690" s="1" t="s">
        <v>455</v>
      </c>
      <c r="E3690" s="1" t="s">
        <v>313</v>
      </c>
      <c r="F3690" s="3">
        <v>0</v>
      </c>
      <c r="I3690" s="24" t="s">
        <v>3265</v>
      </c>
      <c r="J3690" s="24" t="s">
        <v>2920</v>
      </c>
      <c r="K3690" s="3">
        <v>25</v>
      </c>
      <c r="L3690" s="3" t="s">
        <v>7154</v>
      </c>
      <c r="M3690" s="3" t="str">
        <f>HYPERLINK("http://ictvonline.org/taxonomyHistory.asp?taxnode_id=20154593","ICTVonline=20154593")</f>
        <v>ICTVonline=20154593</v>
      </c>
    </row>
    <row r="3691" spans="1:13" x14ac:dyDescent="0.15">
      <c r="A3691" s="1" t="s">
        <v>934</v>
      </c>
      <c r="B3691" s="1" t="s">
        <v>2128</v>
      </c>
      <c r="D3691" s="1" t="s">
        <v>455</v>
      </c>
      <c r="E3691" s="1" t="s">
        <v>1220</v>
      </c>
      <c r="F3691" s="3">
        <v>0</v>
      </c>
      <c r="I3691" s="24" t="s">
        <v>3265</v>
      </c>
      <c r="J3691" s="24" t="s">
        <v>2920</v>
      </c>
      <c r="K3691" s="3">
        <v>25</v>
      </c>
      <c r="L3691" s="3" t="s">
        <v>7154</v>
      </c>
      <c r="M3691" s="3" t="str">
        <f>HYPERLINK("http://ictvonline.org/taxonomyHistory.asp?taxnode_id=20154594","ICTVonline=20154594")</f>
        <v>ICTVonline=20154594</v>
      </c>
    </row>
    <row r="3692" spans="1:13" x14ac:dyDescent="0.15">
      <c r="A3692" s="1" t="s">
        <v>934</v>
      </c>
      <c r="B3692" s="1" t="s">
        <v>2128</v>
      </c>
      <c r="D3692" s="1" t="s">
        <v>455</v>
      </c>
      <c r="E3692" s="1" t="s">
        <v>1815</v>
      </c>
      <c r="F3692" s="3">
        <v>0</v>
      </c>
      <c r="G3692" s="24" t="s">
        <v>6682</v>
      </c>
      <c r="H3692" s="24" t="s">
        <v>6683</v>
      </c>
      <c r="I3692" s="24" t="s">
        <v>3265</v>
      </c>
      <c r="J3692" s="24" t="s">
        <v>2920</v>
      </c>
      <c r="K3692" s="3">
        <v>25</v>
      </c>
      <c r="L3692" s="3" t="s">
        <v>7154</v>
      </c>
      <c r="M3692" s="3" t="str">
        <f>HYPERLINK("http://ictvonline.org/taxonomyHistory.asp?taxnode_id=20154595","ICTVonline=20154595")</f>
        <v>ICTVonline=20154595</v>
      </c>
    </row>
    <row r="3693" spans="1:13" x14ac:dyDescent="0.15">
      <c r="A3693" s="1" t="s">
        <v>934</v>
      </c>
      <c r="B3693" s="1" t="s">
        <v>2128</v>
      </c>
      <c r="D3693" s="1" t="s">
        <v>455</v>
      </c>
      <c r="E3693" s="1" t="s">
        <v>1816</v>
      </c>
      <c r="F3693" s="3">
        <v>1</v>
      </c>
      <c r="G3693" s="24" t="s">
        <v>6684</v>
      </c>
      <c r="H3693" s="24" t="s">
        <v>6685</v>
      </c>
      <c r="I3693" s="24" t="s">
        <v>3265</v>
      </c>
      <c r="J3693" s="24" t="s">
        <v>2920</v>
      </c>
      <c r="K3693" s="3">
        <v>25</v>
      </c>
      <c r="L3693" s="3" t="s">
        <v>7154</v>
      </c>
      <c r="M3693" s="3" t="str">
        <f>HYPERLINK("http://ictvonline.org/taxonomyHistory.asp?taxnode_id=20154596","ICTVonline=20154596")</f>
        <v>ICTVonline=20154596</v>
      </c>
    </row>
    <row r="3694" spans="1:13" x14ac:dyDescent="0.15">
      <c r="A3694" s="1" t="s">
        <v>934</v>
      </c>
      <c r="B3694" s="1" t="s">
        <v>2128</v>
      </c>
      <c r="D3694" s="1" t="s">
        <v>455</v>
      </c>
      <c r="E3694" s="1" t="s">
        <v>1817</v>
      </c>
      <c r="F3694" s="3">
        <v>0</v>
      </c>
      <c r="G3694" s="24" t="s">
        <v>6686</v>
      </c>
      <c r="H3694" s="24" t="s">
        <v>6687</v>
      </c>
      <c r="I3694" s="24" t="s">
        <v>3265</v>
      </c>
      <c r="J3694" s="24" t="s">
        <v>2920</v>
      </c>
      <c r="K3694" s="3">
        <v>25</v>
      </c>
      <c r="L3694" s="3" t="s">
        <v>7154</v>
      </c>
      <c r="M3694" s="3" t="str">
        <f>HYPERLINK("http://ictvonline.org/taxonomyHistory.asp?taxnode_id=20154597","ICTVonline=20154597")</f>
        <v>ICTVonline=20154597</v>
      </c>
    </row>
    <row r="3695" spans="1:13" x14ac:dyDescent="0.15">
      <c r="A3695" s="1" t="s">
        <v>934</v>
      </c>
      <c r="B3695" s="1" t="s">
        <v>2128</v>
      </c>
      <c r="D3695" s="1" t="s">
        <v>455</v>
      </c>
      <c r="E3695" s="1" t="s">
        <v>2917</v>
      </c>
      <c r="F3695" s="3">
        <v>0</v>
      </c>
      <c r="G3695" s="24" t="s">
        <v>3337</v>
      </c>
      <c r="H3695" s="24" t="s">
        <v>6688</v>
      </c>
      <c r="I3695" s="24" t="s">
        <v>3265</v>
      </c>
      <c r="J3695" s="24" t="s">
        <v>2919</v>
      </c>
      <c r="K3695" s="3">
        <v>29</v>
      </c>
      <c r="L3695" s="3" t="s">
        <v>7160</v>
      </c>
      <c r="M3695" s="3" t="str">
        <f>HYPERLINK("http://ictvonline.org/taxonomyHistory.asp?taxnode_id=20154598","ICTVonline=20154598")</f>
        <v>ICTVonline=20154598</v>
      </c>
    </row>
    <row r="3696" spans="1:13" x14ac:dyDescent="0.15">
      <c r="A3696" s="1" t="s">
        <v>934</v>
      </c>
      <c r="B3696" s="1" t="s">
        <v>2128</v>
      </c>
      <c r="D3696" s="1" t="s">
        <v>455</v>
      </c>
      <c r="E3696" s="1" t="s">
        <v>2444</v>
      </c>
      <c r="F3696" s="3">
        <v>0</v>
      </c>
      <c r="I3696" s="24" t="s">
        <v>3265</v>
      </c>
      <c r="J3696" s="24" t="s">
        <v>2919</v>
      </c>
      <c r="K3696" s="3">
        <v>27</v>
      </c>
      <c r="L3696" s="3" t="s">
        <v>7157</v>
      </c>
      <c r="M3696" s="3" t="str">
        <f>HYPERLINK("http://ictvonline.org/taxonomyHistory.asp?taxnode_id=20154599","ICTVonline=20154599")</f>
        <v>ICTVonline=20154599</v>
      </c>
    </row>
    <row r="3697" spans="1:13" x14ac:dyDescent="0.15">
      <c r="A3697" s="1" t="s">
        <v>934</v>
      </c>
      <c r="B3697" s="1" t="s">
        <v>2128</v>
      </c>
      <c r="D3697" s="1" t="s">
        <v>455</v>
      </c>
      <c r="E3697" s="1" t="s">
        <v>1818</v>
      </c>
      <c r="F3697" s="3">
        <v>0</v>
      </c>
      <c r="G3697" s="24" t="s">
        <v>6689</v>
      </c>
      <c r="H3697" s="24" t="s">
        <v>6690</v>
      </c>
      <c r="I3697" s="24" t="s">
        <v>3265</v>
      </c>
      <c r="J3697" s="24" t="s">
        <v>2920</v>
      </c>
      <c r="K3697" s="3">
        <v>25</v>
      </c>
      <c r="L3697" s="3" t="s">
        <v>7154</v>
      </c>
      <c r="M3697" s="3" t="str">
        <f>HYPERLINK("http://ictvonline.org/taxonomyHistory.asp?taxnode_id=20154600","ICTVonline=20154600")</f>
        <v>ICTVonline=20154600</v>
      </c>
    </row>
    <row r="3698" spans="1:13" x14ac:dyDescent="0.15">
      <c r="A3698" s="1" t="s">
        <v>934</v>
      </c>
      <c r="B3698" s="1" t="s">
        <v>2128</v>
      </c>
      <c r="D3698" s="1" t="s">
        <v>455</v>
      </c>
      <c r="E3698" s="1" t="s">
        <v>1819</v>
      </c>
      <c r="F3698" s="3">
        <v>0</v>
      </c>
      <c r="I3698" s="24" t="s">
        <v>3265</v>
      </c>
      <c r="J3698" s="24" t="s">
        <v>2920</v>
      </c>
      <c r="K3698" s="3">
        <v>25</v>
      </c>
      <c r="L3698" s="3" t="s">
        <v>7154</v>
      </c>
      <c r="M3698" s="3" t="str">
        <f>HYPERLINK("http://ictvonline.org/taxonomyHistory.asp?taxnode_id=20154601","ICTVonline=20154601")</f>
        <v>ICTVonline=20154601</v>
      </c>
    </row>
    <row r="3699" spans="1:13" x14ac:dyDescent="0.15">
      <c r="A3699" s="1" t="s">
        <v>934</v>
      </c>
      <c r="B3699" s="1" t="s">
        <v>2128</v>
      </c>
      <c r="D3699" s="1" t="s">
        <v>455</v>
      </c>
      <c r="E3699" s="1" t="s">
        <v>1820</v>
      </c>
      <c r="F3699" s="3">
        <v>0</v>
      </c>
      <c r="G3699" s="24" t="s">
        <v>6691</v>
      </c>
      <c r="H3699" s="24" t="s">
        <v>6692</v>
      </c>
      <c r="I3699" s="24" t="s">
        <v>3265</v>
      </c>
      <c r="J3699" s="24" t="s">
        <v>2920</v>
      </c>
      <c r="K3699" s="3">
        <v>25</v>
      </c>
      <c r="L3699" s="3" t="s">
        <v>7154</v>
      </c>
      <c r="M3699" s="3" t="str">
        <f>HYPERLINK("http://ictvonline.org/taxonomyHistory.asp?taxnode_id=20154602","ICTVonline=20154602")</f>
        <v>ICTVonline=20154602</v>
      </c>
    </row>
    <row r="3700" spans="1:13" x14ac:dyDescent="0.15">
      <c r="A3700" s="1" t="s">
        <v>934</v>
      </c>
      <c r="B3700" s="1" t="s">
        <v>2128</v>
      </c>
      <c r="D3700" s="1" t="s">
        <v>455</v>
      </c>
      <c r="E3700" s="1" t="s">
        <v>2918</v>
      </c>
      <c r="F3700" s="3">
        <v>0</v>
      </c>
      <c r="G3700" s="24" t="s">
        <v>3338</v>
      </c>
      <c r="H3700" s="24" t="s">
        <v>6693</v>
      </c>
      <c r="I3700" s="24" t="s">
        <v>3265</v>
      </c>
      <c r="J3700" s="24" t="s">
        <v>2919</v>
      </c>
      <c r="K3700" s="3">
        <v>29</v>
      </c>
      <c r="L3700" s="3" t="s">
        <v>7160</v>
      </c>
      <c r="M3700" s="3" t="str">
        <f>HYPERLINK("http://ictvonline.org/taxonomyHistory.asp?taxnode_id=20154603","ICTVonline=20154603")</f>
        <v>ICTVonline=20154603</v>
      </c>
    </row>
    <row r="3701" spans="1:13" x14ac:dyDescent="0.15">
      <c r="A3701" s="1" t="s">
        <v>934</v>
      </c>
      <c r="B3701" s="1" t="s">
        <v>2128</v>
      </c>
      <c r="D3701" s="1" t="s">
        <v>455</v>
      </c>
      <c r="E3701" s="1" t="s">
        <v>1821</v>
      </c>
      <c r="F3701" s="3">
        <v>0</v>
      </c>
      <c r="G3701" s="24" t="s">
        <v>6694</v>
      </c>
      <c r="H3701" s="24" t="s">
        <v>6695</v>
      </c>
      <c r="I3701" s="24" t="s">
        <v>3265</v>
      </c>
      <c r="J3701" s="24" t="s">
        <v>2920</v>
      </c>
      <c r="K3701" s="3">
        <v>25</v>
      </c>
      <c r="L3701" s="3" t="s">
        <v>7154</v>
      </c>
      <c r="M3701" s="3" t="str">
        <f>HYPERLINK("http://ictvonline.org/taxonomyHistory.asp?taxnode_id=20154604","ICTVonline=20154604")</f>
        <v>ICTVonline=20154604</v>
      </c>
    </row>
    <row r="3702" spans="1:13" x14ac:dyDescent="0.15">
      <c r="A3702" s="1" t="s">
        <v>934</v>
      </c>
      <c r="B3702" s="1" t="s">
        <v>2128</v>
      </c>
      <c r="D3702" s="1" t="s">
        <v>455</v>
      </c>
      <c r="E3702" s="1" t="s">
        <v>1822</v>
      </c>
      <c r="F3702" s="3">
        <v>0</v>
      </c>
      <c r="G3702" s="24" t="s">
        <v>6696</v>
      </c>
      <c r="H3702" s="24" t="s">
        <v>6697</v>
      </c>
      <c r="I3702" s="24" t="s">
        <v>3265</v>
      </c>
      <c r="J3702" s="24" t="s">
        <v>2920</v>
      </c>
      <c r="K3702" s="3">
        <v>25</v>
      </c>
      <c r="L3702" s="3" t="s">
        <v>7154</v>
      </c>
      <c r="M3702" s="3" t="str">
        <f>HYPERLINK("http://ictvonline.org/taxonomyHistory.asp?taxnode_id=20154605","ICTVonline=20154605")</f>
        <v>ICTVonline=20154605</v>
      </c>
    </row>
    <row r="3703" spans="1:13" x14ac:dyDescent="0.15">
      <c r="A3703" s="1" t="s">
        <v>934</v>
      </c>
      <c r="B3703" s="1" t="s">
        <v>2128</v>
      </c>
      <c r="D3703" s="1" t="s">
        <v>1823</v>
      </c>
      <c r="E3703" s="1" t="s">
        <v>1824</v>
      </c>
      <c r="F3703" s="3">
        <v>0</v>
      </c>
      <c r="G3703" s="24" t="s">
        <v>7991</v>
      </c>
      <c r="H3703" s="24" t="s">
        <v>6698</v>
      </c>
      <c r="I3703" s="24" t="s">
        <v>3265</v>
      </c>
      <c r="J3703" s="24" t="s">
        <v>2920</v>
      </c>
      <c r="K3703" s="3">
        <v>25</v>
      </c>
      <c r="L3703" s="3" t="s">
        <v>7154</v>
      </c>
      <c r="M3703" s="3" t="str">
        <f>HYPERLINK("http://ictvonline.org/taxonomyHistory.asp?taxnode_id=20154607","ICTVonline=20154607")</f>
        <v>ICTVonline=20154607</v>
      </c>
    </row>
    <row r="3704" spans="1:13" x14ac:dyDescent="0.15">
      <c r="A3704" s="1" t="s">
        <v>934</v>
      </c>
      <c r="B3704" s="1" t="s">
        <v>2128</v>
      </c>
      <c r="D3704" s="1" t="s">
        <v>1823</v>
      </c>
      <c r="E3704" s="1" t="s">
        <v>1825</v>
      </c>
      <c r="F3704" s="3">
        <v>0</v>
      </c>
      <c r="G3704" s="24" t="s">
        <v>7992</v>
      </c>
      <c r="H3704" s="24" t="s">
        <v>6699</v>
      </c>
      <c r="I3704" s="24" t="s">
        <v>3265</v>
      </c>
      <c r="J3704" s="24" t="s">
        <v>2920</v>
      </c>
      <c r="K3704" s="3">
        <v>25</v>
      </c>
      <c r="L3704" s="3" t="s">
        <v>7154</v>
      </c>
      <c r="M3704" s="3" t="str">
        <f>HYPERLINK("http://ictvonline.org/taxonomyHistory.asp?taxnode_id=20154608","ICTVonline=20154608")</f>
        <v>ICTVonline=20154608</v>
      </c>
    </row>
    <row r="3705" spans="1:13" x14ac:dyDescent="0.15">
      <c r="A3705" s="1" t="s">
        <v>934</v>
      </c>
      <c r="B3705" s="1" t="s">
        <v>2128</v>
      </c>
      <c r="D3705" s="1" t="s">
        <v>1823</v>
      </c>
      <c r="E3705" s="1" t="s">
        <v>1826</v>
      </c>
      <c r="F3705" s="3">
        <v>1</v>
      </c>
      <c r="G3705" s="24" t="s">
        <v>7993</v>
      </c>
      <c r="H3705" s="24" t="s">
        <v>6700</v>
      </c>
      <c r="I3705" s="24" t="s">
        <v>3265</v>
      </c>
      <c r="J3705" s="24" t="s">
        <v>2920</v>
      </c>
      <c r="K3705" s="3">
        <v>25</v>
      </c>
      <c r="L3705" s="3" t="s">
        <v>7154</v>
      </c>
      <c r="M3705" s="3" t="str">
        <f>HYPERLINK("http://ictvonline.org/taxonomyHistory.asp?taxnode_id=20154609","ICTVonline=20154609")</f>
        <v>ICTVonline=20154609</v>
      </c>
    </row>
  </sheetData>
  <sortState ref="A1:F2476">
    <sortCondition ref="A2:A2476"/>
    <sortCondition ref="B2:B2476"/>
    <sortCondition ref="C2:C2476"/>
    <sortCondition ref="D2:D2476"/>
    <sortCondition ref="E2:E2476"/>
  </sortState>
  <phoneticPr fontId="1" type="noConversion"/>
  <conditionalFormatting sqref="F1:F1048576">
    <cfRule type="cellIs" dxfId="3" priority="14" stopIfTrue="1" operator="equal">
      <formula>1</formula>
    </cfRule>
  </conditionalFormatting>
  <conditionalFormatting sqref="A1:F1048576">
    <cfRule type="expression" dxfId="2" priority="10" stopIfTrue="1">
      <formula>A1="Unassigned"</formula>
    </cfRule>
  </conditionalFormatting>
  <conditionalFormatting sqref="A1:XFD1048576">
    <cfRule type="cellIs" dxfId="1" priority="9" stopIfTrue="1" operator="equal">
      <formula>"NULL"</formula>
    </cfRule>
  </conditionalFormatting>
  <conditionalFormatting sqref="L2:L1721 K1 L1723:L65536">
    <cfRule type="cellIs" dxfId="0" priority="8" stopIfTrue="1" operator="equal">
      <formula>29</formula>
    </cfRule>
  </conditionalFormatting>
  <printOptions gridLines="1"/>
  <pageMargins left="0.75" right="0.75" top="1" bottom="1" header="0.5" footer="0.5"/>
  <pageSetup scale="54" fitToHeight="100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Version</vt:lpstr>
      <vt:lpstr>Column Definitions</vt:lpstr>
      <vt:lpstr>ICTV 2015 Master Species #30</vt:lpstr>
    </vt:vector>
  </TitlesOfParts>
  <Company>UAB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Hendrickson</dc:creator>
  <cp:lastModifiedBy>Elliot J. Lefkowitz</cp:lastModifiedBy>
  <cp:lastPrinted>2009-10-04T23:39:18Z</cp:lastPrinted>
  <dcterms:created xsi:type="dcterms:W3CDTF">2009-08-13T19:43:48Z</dcterms:created>
  <dcterms:modified xsi:type="dcterms:W3CDTF">2016-05-26T18:12:22Z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b3e54a7d-6175-4c77-9337-59c65cfd6551</vt:lpwstr>
  </property>
</Properties>
</file>